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80" windowWidth="19440" windowHeight="7170" activeTab="11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P" sheetId="10" r:id="rId9"/>
    <sheet name="OCT" sheetId="11" r:id="rId10"/>
    <sheet name="NOV" sheetId="12" r:id="rId11"/>
    <sheet name="DIC" sheetId="13" r:id="rId12"/>
  </sheets>
  <definedNames>
    <definedName name="_xlnm._FilterDatabase" localSheetId="11" hidden="1">DIC!$A$5:$CU$5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126" i="13" l="1"/>
  <c r="AZ122" i="13"/>
  <c r="AZ146" i="13" l="1"/>
  <c r="AZ81" i="13"/>
  <c r="BB147" i="13" l="1"/>
  <c r="BB126" i="13" l="1"/>
  <c r="BB122" i="13"/>
  <c r="BB101" i="13"/>
  <c r="BB123" i="13" s="1"/>
  <c r="BB69" i="13"/>
  <c r="AZ123" i="13" l="1"/>
  <c r="AZ142" i="13" l="1"/>
  <c r="AZ71" i="13"/>
  <c r="AX126" i="13" l="1"/>
  <c r="AX149" i="13"/>
  <c r="AX101" i="13"/>
  <c r="AX82" i="13"/>
  <c r="AX137" i="13"/>
  <c r="AX94" i="13"/>
  <c r="AX123" i="13" s="1"/>
  <c r="AX66" i="13"/>
  <c r="AX122" i="13" s="1"/>
  <c r="AV126" i="13" l="1"/>
  <c r="AV141" i="13"/>
  <c r="AV73" i="13"/>
  <c r="AT156" i="13" l="1"/>
  <c r="AT126" i="13"/>
  <c r="AT123" i="13"/>
  <c r="AT77" i="13"/>
  <c r="AT96" i="13"/>
  <c r="AV136" i="13" l="1"/>
  <c r="AV69" i="13"/>
  <c r="AV122" i="13" s="1"/>
  <c r="AV101" i="13"/>
  <c r="AV123" i="13" s="1"/>
  <c r="AT139" i="13" l="1"/>
  <c r="AT67" i="13"/>
  <c r="AT122" i="13" s="1"/>
  <c r="AJ4" i="13" l="1"/>
  <c r="AJ3" i="13"/>
  <c r="AP154" i="13" l="1"/>
  <c r="AP126" i="13"/>
  <c r="AP104" i="13"/>
  <c r="AP80" i="13"/>
  <c r="AR146" i="13" l="1"/>
  <c r="AR126" i="13" l="1"/>
  <c r="AR98" i="13"/>
  <c r="AR123" i="13" s="1"/>
  <c r="AR72" i="13"/>
  <c r="AR122" i="13" s="1"/>
  <c r="AP148" i="13"/>
  <c r="AP124" i="13"/>
  <c r="AP96" i="13"/>
  <c r="AP123" i="13" s="1"/>
  <c r="AP72" i="13"/>
  <c r="AP122" i="13" s="1"/>
  <c r="AN126" i="13" l="1"/>
  <c r="AN51" i="13"/>
  <c r="AP51" i="13"/>
  <c r="AR51" i="13"/>
  <c r="AT51" i="13"/>
  <c r="AV51" i="13"/>
  <c r="AX51" i="13"/>
  <c r="AZ51" i="13"/>
  <c r="BB51" i="13"/>
  <c r="AN52" i="13"/>
  <c r="AN53" i="13" s="1"/>
  <c r="AP52" i="13"/>
  <c r="AR52" i="13"/>
  <c r="AT52" i="13"/>
  <c r="AV52" i="13"/>
  <c r="AX52" i="13"/>
  <c r="AZ52" i="13"/>
  <c r="BB52" i="13"/>
  <c r="BB53" i="13" s="1"/>
  <c r="AN79" i="13"/>
  <c r="AN108" i="13"/>
  <c r="AN123" i="13" s="1"/>
  <c r="AN153" i="13"/>
  <c r="AN143" i="13"/>
  <c r="AN103" i="13"/>
  <c r="AN70" i="13"/>
  <c r="AN122" i="13" s="1"/>
  <c r="AL147" i="13"/>
  <c r="AP125" i="13"/>
  <c r="AP127" i="13" s="1"/>
  <c r="AR125" i="13"/>
  <c r="AR127" i="13" s="1"/>
  <c r="AT125" i="13"/>
  <c r="AT127" i="13" s="1"/>
  <c r="AV125" i="13"/>
  <c r="AV127" i="13" s="1"/>
  <c r="AX125" i="13"/>
  <c r="AX127" i="13" s="1"/>
  <c r="AZ125" i="13"/>
  <c r="AZ127" i="13" s="1"/>
  <c r="BB125" i="13"/>
  <c r="BB127" i="13" s="1"/>
  <c r="AL126" i="13"/>
  <c r="AL84" i="13"/>
  <c r="AL140" i="13"/>
  <c r="AL98" i="13"/>
  <c r="AL123" i="13" s="1"/>
  <c r="AL73" i="13"/>
  <c r="AL122" i="13" s="1"/>
  <c r="AJ51" i="13"/>
  <c r="AL51" i="13"/>
  <c r="AJ52" i="13"/>
  <c r="AJ53" i="13" s="1"/>
  <c r="AL52" i="13"/>
  <c r="AZ53" i="13" l="1"/>
  <c r="AT53" i="13"/>
  <c r="AV53" i="13"/>
  <c r="AL125" i="13"/>
  <c r="AR53" i="13"/>
  <c r="AX53" i="13"/>
  <c r="AP53" i="13"/>
  <c r="AL127" i="13"/>
  <c r="AN125" i="13"/>
  <c r="AN127" i="13" s="1"/>
  <c r="AL53" i="13"/>
  <c r="AJ126" i="13"/>
  <c r="AJ124" i="13"/>
  <c r="AJ103" i="13"/>
  <c r="AJ96" i="13"/>
  <c r="AJ80" i="13"/>
  <c r="AJ65" i="13"/>
  <c r="AJ122" i="13" s="1"/>
  <c r="AJ148" i="13"/>
  <c r="AJ136" i="13"/>
  <c r="AJ123" i="13" l="1"/>
  <c r="AJ125" i="13" s="1"/>
  <c r="AJ127" i="13" s="1"/>
  <c r="AH126" i="13"/>
  <c r="AH124" i="13"/>
  <c r="AH99" i="13"/>
  <c r="AH123" i="13" s="1"/>
  <c r="AH75" i="13"/>
  <c r="AH51" i="13"/>
  <c r="AH52" i="13"/>
  <c r="AH53" i="13" l="1"/>
  <c r="AD126" i="13"/>
  <c r="AF122" i="13"/>
  <c r="AF123" i="13"/>
  <c r="AD124" i="13"/>
  <c r="AF124" i="13"/>
  <c r="AH136" i="13"/>
  <c r="AH62" i="13"/>
  <c r="AH122" i="13" s="1"/>
  <c r="AH125" i="13" s="1"/>
  <c r="AF51" i="13"/>
  <c r="AF52" i="13"/>
  <c r="AF125" i="13" l="1"/>
  <c r="AF127" i="13" s="1"/>
  <c r="AF53" i="13"/>
  <c r="AH127" i="13"/>
  <c r="AD51" i="13"/>
  <c r="AD52" i="13"/>
  <c r="AD103" i="13"/>
  <c r="AD123" i="13" s="1"/>
  <c r="AD136" i="13"/>
  <c r="AD73" i="13"/>
  <c r="AD122" i="13" s="1"/>
  <c r="AB152" i="13"/>
  <c r="AB126" i="13"/>
  <c r="AB124" i="13"/>
  <c r="AB99" i="13"/>
  <c r="AB80" i="13"/>
  <c r="AD125" i="13" l="1"/>
  <c r="AD127" i="13" s="1"/>
  <c r="AD53" i="13"/>
  <c r="AB145" i="13"/>
  <c r="AB94" i="13"/>
  <c r="AB123" i="13" s="1"/>
  <c r="AB72" i="13"/>
  <c r="AB122" i="13" s="1"/>
  <c r="AB52" i="13"/>
  <c r="AB51" i="13"/>
  <c r="Z148" i="13"/>
  <c r="Z126" i="13"/>
  <c r="Z100" i="13"/>
  <c r="Z74" i="13"/>
  <c r="Z136" i="13"/>
  <c r="Z97" i="13"/>
  <c r="Z70" i="13"/>
  <c r="Z15" i="13"/>
  <c r="Z122" i="13" l="1"/>
  <c r="Z123" i="13"/>
  <c r="AB125" i="13"/>
  <c r="AB127" i="13" s="1"/>
  <c r="AB53" i="13"/>
  <c r="X144" i="13"/>
  <c r="X126" i="13"/>
  <c r="X52" i="13"/>
  <c r="X51" i="13"/>
  <c r="X99" i="13"/>
  <c r="X74" i="13"/>
  <c r="X66" i="13"/>
  <c r="Z52" i="13"/>
  <c r="Z51" i="13"/>
  <c r="X122" i="13" l="1"/>
  <c r="Z125" i="13"/>
  <c r="Z127" i="13" s="1"/>
  <c r="Z53" i="13"/>
  <c r="X137" i="13"/>
  <c r="X95" i="13"/>
  <c r="X123" i="13" s="1"/>
  <c r="X125" i="13" s="1"/>
  <c r="X127" i="13" s="1"/>
  <c r="X53" i="13" l="1"/>
  <c r="V138" i="13"/>
  <c r="V134" i="13" l="1"/>
  <c r="V123" i="13"/>
  <c r="V125" i="13" s="1"/>
  <c r="V127" i="13" s="1"/>
  <c r="V52" i="13"/>
  <c r="V51" i="13"/>
  <c r="T140" i="13"/>
  <c r="T126" i="13"/>
  <c r="T79" i="13"/>
  <c r="T51" i="13"/>
  <c r="T134" i="13"/>
  <c r="T98" i="13"/>
  <c r="T123" i="13" s="1"/>
  <c r="T74" i="13"/>
  <c r="T11" i="13"/>
  <c r="T52" i="13" s="1"/>
  <c r="P148" i="13"/>
  <c r="P126" i="13"/>
  <c r="P78" i="13"/>
  <c r="N149" i="13"/>
  <c r="N126" i="13"/>
  <c r="N102" i="13"/>
  <c r="N74" i="13"/>
  <c r="N52" i="13"/>
  <c r="N51" i="13"/>
  <c r="P70" i="13"/>
  <c r="N143" i="13"/>
  <c r="N124" i="13"/>
  <c r="N95" i="13"/>
  <c r="N68" i="13"/>
  <c r="N122" i="13" l="1"/>
  <c r="P122" i="13"/>
  <c r="T122" i="13"/>
  <c r="T125" i="13" s="1"/>
  <c r="T127" i="13" s="1"/>
  <c r="N123" i="13"/>
  <c r="T53" i="13"/>
  <c r="N53" i="13"/>
  <c r="V53" i="13"/>
  <c r="R139" i="13"/>
  <c r="R126" i="13"/>
  <c r="R100" i="13"/>
  <c r="R123" i="13" s="1"/>
  <c r="R52" i="13"/>
  <c r="R51" i="13"/>
  <c r="R63" i="13"/>
  <c r="R79" i="13" s="1"/>
  <c r="R122" i="13" s="1"/>
  <c r="P124" i="13"/>
  <c r="P139" i="13"/>
  <c r="P95" i="13"/>
  <c r="P123" i="13" s="1"/>
  <c r="P52" i="13"/>
  <c r="P51" i="13"/>
  <c r="N125" i="13" l="1"/>
  <c r="N127" i="13" s="1"/>
  <c r="R125" i="13"/>
  <c r="R127" i="13" s="1"/>
  <c r="R53" i="13"/>
  <c r="P53" i="13"/>
  <c r="P125" i="13"/>
  <c r="P127" i="13" s="1"/>
  <c r="L153" i="13"/>
  <c r="L126" i="13"/>
  <c r="L100" i="13"/>
  <c r="L123" i="13" s="1"/>
  <c r="L71" i="13"/>
  <c r="L76" i="13" s="1"/>
  <c r="J126" i="13"/>
  <c r="J100" i="13"/>
  <c r="J76" i="13"/>
  <c r="L145" i="13" l="1"/>
  <c r="L13" i="13"/>
  <c r="L64" i="13"/>
  <c r="L122" i="13" s="1"/>
  <c r="L125" i="13" s="1"/>
  <c r="L127" i="13" s="1"/>
  <c r="L51" i="13"/>
  <c r="L9" i="13"/>
  <c r="J141" i="13"/>
  <c r="J96" i="13"/>
  <c r="J123" i="13" s="1"/>
  <c r="J68" i="13"/>
  <c r="J122" i="13" s="1"/>
  <c r="J51" i="13"/>
  <c r="J14" i="13"/>
  <c r="J13" i="13"/>
  <c r="J10" i="13"/>
  <c r="H149" i="13"/>
  <c r="H126" i="13"/>
  <c r="H105" i="13"/>
  <c r="H69" i="13"/>
  <c r="H122" i="13" s="1"/>
  <c r="J125" i="13" l="1"/>
  <c r="J127" i="13" s="1"/>
  <c r="L52" i="13"/>
  <c r="L53" i="13" s="1"/>
  <c r="J52" i="13"/>
  <c r="J53" i="13" s="1"/>
  <c r="H137" i="13"/>
  <c r="H142" i="13" s="1"/>
  <c r="H98" i="13"/>
  <c r="H123" i="13" s="1"/>
  <c r="H125" i="13" s="1"/>
  <c r="H127" i="13" s="1"/>
  <c r="H51" i="13"/>
  <c r="H15" i="13"/>
  <c r="H52" i="13" s="1"/>
  <c r="D11" i="13"/>
  <c r="D134" i="13"/>
  <c r="D126" i="13"/>
  <c r="D116" i="13"/>
  <c r="D124" i="13" s="1"/>
  <c r="D70" i="13"/>
  <c r="D71" i="13" s="1"/>
  <c r="D122" i="13" s="1"/>
  <c r="D95" i="13"/>
  <c r="D94" i="13"/>
  <c r="D98" i="13" l="1"/>
  <c r="D123" i="13" s="1"/>
  <c r="D125" i="13" s="1"/>
  <c r="D127" i="13" s="1"/>
  <c r="H53" i="13"/>
  <c r="B144" i="13"/>
  <c r="B126" i="13"/>
  <c r="B94" i="13"/>
  <c r="B123" i="13" s="1"/>
  <c r="B78" i="13"/>
  <c r="B12" i="13"/>
  <c r="F51" i="13" l="1"/>
  <c r="F52" i="13"/>
  <c r="D52" i="13"/>
  <c r="D51" i="13"/>
  <c r="BF153" i="12"/>
  <c r="BF126" i="12"/>
  <c r="BF98" i="12"/>
  <c r="BF123" i="12" s="1"/>
  <c r="BF75" i="12"/>
  <c r="BD155" i="12"/>
  <c r="BB126" i="12"/>
  <c r="BD126" i="12"/>
  <c r="BD99" i="12"/>
  <c r="BD75" i="12"/>
  <c r="F53" i="13" l="1"/>
  <c r="D53" i="13"/>
  <c r="BB157" i="12"/>
  <c r="BB34" i="12"/>
  <c r="BB98" i="12"/>
  <c r="BB123" i="12" s="1"/>
  <c r="BB76" i="12"/>
  <c r="B134" i="13" l="1"/>
  <c r="B64" i="13"/>
  <c r="B122" i="13" s="1"/>
  <c r="B125" i="13" s="1"/>
  <c r="B127" i="13" s="1"/>
  <c r="B52" i="13"/>
  <c r="B51" i="13"/>
  <c r="BF143" i="12"/>
  <c r="BF52" i="12"/>
  <c r="BF51" i="12"/>
  <c r="BF64" i="12"/>
  <c r="BF63" i="12"/>
  <c r="BF68" i="12" s="1"/>
  <c r="BF122" i="12" s="1"/>
  <c r="BF125" i="12" s="1"/>
  <c r="BF127" i="12" s="1"/>
  <c r="BD94" i="12"/>
  <c r="BD123" i="12" s="1"/>
  <c r="BD63" i="12"/>
  <c r="BD122" i="12" s="1"/>
  <c r="BD125" i="12" s="1"/>
  <c r="BD127" i="12" s="1"/>
  <c r="BD52" i="12"/>
  <c r="BD51" i="12"/>
  <c r="BD141" i="12"/>
  <c r="BD144" i="12" s="1"/>
  <c r="BF53" i="12" l="1"/>
  <c r="B53" i="13"/>
  <c r="BD53" i="12"/>
  <c r="BB137" i="12"/>
  <c r="BB124" i="12"/>
  <c r="BB64" i="12"/>
  <c r="BB122" i="12" s="1"/>
  <c r="BB125" i="12" s="1"/>
  <c r="BB127" i="12" s="1"/>
  <c r="BB52" i="12"/>
  <c r="BB51" i="12"/>
  <c r="AZ146" i="12"/>
  <c r="AZ126" i="12"/>
  <c r="AZ116" i="12"/>
  <c r="AZ124" i="12" s="1"/>
  <c r="AZ104" i="12"/>
  <c r="AZ77" i="12"/>
  <c r="BB53" i="12" l="1"/>
  <c r="AZ135" i="12"/>
  <c r="AZ94" i="12"/>
  <c r="AZ123" i="12" s="1"/>
  <c r="AZ62" i="12"/>
  <c r="AZ122" i="12" s="1"/>
  <c r="AZ125" i="12" s="1"/>
  <c r="AZ127" i="12" s="1"/>
  <c r="AZ52" i="12"/>
  <c r="AZ51" i="12"/>
  <c r="AX122" i="12"/>
  <c r="AX125" i="12" s="1"/>
  <c r="AX127" i="12" s="1"/>
  <c r="AX52" i="12"/>
  <c r="AX51" i="12"/>
  <c r="AV143" i="12"/>
  <c r="AV126" i="12"/>
  <c r="AV100" i="12"/>
  <c r="AV123" i="12" s="1"/>
  <c r="AV74" i="12"/>
  <c r="AV122" i="12" s="1"/>
  <c r="AV52" i="12"/>
  <c r="AV51" i="12"/>
  <c r="AT126" i="12"/>
  <c r="AT124" i="12"/>
  <c r="AT103" i="12"/>
  <c r="AT81" i="12"/>
  <c r="AX53" i="12" l="1"/>
  <c r="AV125" i="12"/>
  <c r="AV127" i="12" s="1"/>
  <c r="AV53" i="12"/>
  <c r="AZ53" i="12"/>
  <c r="AT139" i="12"/>
  <c r="AT98" i="12"/>
  <c r="AT123" i="12" s="1"/>
  <c r="AT77" i="12"/>
  <c r="AT122" i="12" s="1"/>
  <c r="AT125" i="12" s="1"/>
  <c r="AT52" i="12"/>
  <c r="AT51" i="12"/>
  <c r="AT53" i="12" l="1"/>
  <c r="AT127" i="12"/>
  <c r="AR144" i="12"/>
  <c r="AR126" i="12"/>
  <c r="AR124" i="12"/>
  <c r="AR99" i="12"/>
  <c r="AR77" i="12"/>
  <c r="AR139" i="12"/>
  <c r="AR72" i="12"/>
  <c r="AR94" i="12"/>
  <c r="AR123" i="12" s="1"/>
  <c r="AR52" i="12"/>
  <c r="AR51" i="12"/>
  <c r="AP152" i="12"/>
  <c r="AP126" i="12"/>
  <c r="AP99" i="12"/>
  <c r="AP81" i="12"/>
  <c r="AR122" i="12" l="1"/>
  <c r="AR125" i="12" s="1"/>
  <c r="AR127" i="12" s="1"/>
  <c r="AR53" i="12"/>
  <c r="AP140" i="12"/>
  <c r="AP95" i="12"/>
  <c r="AP123" i="12" s="1"/>
  <c r="AP74" i="12"/>
  <c r="AP122" i="12" s="1"/>
  <c r="AP125" i="12" s="1"/>
  <c r="AP51" i="12"/>
  <c r="AP15" i="12"/>
  <c r="AP52" i="12" s="1"/>
  <c r="AP53" i="12" l="1"/>
  <c r="AP127" i="12"/>
  <c r="AN142" i="12"/>
  <c r="AN126" i="12"/>
  <c r="AN98" i="12"/>
  <c r="AN77" i="12"/>
  <c r="AN137" i="12"/>
  <c r="AN94" i="12"/>
  <c r="AN123" i="12" s="1"/>
  <c r="AN69" i="12"/>
  <c r="AN52" i="12"/>
  <c r="AN51" i="12"/>
  <c r="AH136" i="12"/>
  <c r="AH126" i="12"/>
  <c r="AH98" i="12"/>
  <c r="AH123" i="12" s="1"/>
  <c r="AH51" i="12"/>
  <c r="AH13" i="12"/>
  <c r="AH52" i="12" s="1"/>
  <c r="AH61" i="12"/>
  <c r="AH66" i="12" s="1"/>
  <c r="AH122" i="12" s="1"/>
  <c r="AH125" i="12" l="1"/>
  <c r="AH127" i="12" s="1"/>
  <c r="AN122" i="12"/>
  <c r="AN125" i="12"/>
  <c r="AN127" i="12" s="1"/>
  <c r="AH53" i="12"/>
  <c r="AN53" i="12"/>
  <c r="AL126" i="12"/>
  <c r="AL123" i="12"/>
  <c r="AL61" i="12"/>
  <c r="AL122" i="12" s="1"/>
  <c r="AL52" i="12"/>
  <c r="AL51" i="12"/>
  <c r="AJ52" i="12"/>
  <c r="AJ51" i="12"/>
  <c r="AJ122" i="12"/>
  <c r="AJ125" i="12" s="1"/>
  <c r="AJ127" i="12" s="1"/>
  <c r="AF126" i="12"/>
  <c r="AF101" i="12"/>
  <c r="AF73" i="12"/>
  <c r="AF151" i="12"/>
  <c r="AF145" i="12"/>
  <c r="AF95" i="12"/>
  <c r="AF123" i="12" s="1"/>
  <c r="AF68" i="12"/>
  <c r="AF122" i="12" s="1"/>
  <c r="AF52" i="12"/>
  <c r="AF51" i="12"/>
  <c r="AD144" i="12"/>
  <c r="AD126" i="12"/>
  <c r="AD78" i="12"/>
  <c r="AD139" i="12"/>
  <c r="L126" i="12"/>
  <c r="AD95" i="12"/>
  <c r="AD123" i="12" s="1"/>
  <c r="AD70" i="12"/>
  <c r="AD122" i="12" s="1"/>
  <c r="AD52" i="12"/>
  <c r="AD51" i="12"/>
  <c r="AB145" i="12"/>
  <c r="AB126" i="12"/>
  <c r="AB76" i="12"/>
  <c r="AB139" i="12"/>
  <c r="AB96" i="12"/>
  <c r="AB123" i="12" s="1"/>
  <c r="AB69" i="12"/>
  <c r="AB122" i="12" s="1"/>
  <c r="AB51" i="12"/>
  <c r="AB16" i="12"/>
  <c r="AB13" i="12"/>
  <c r="Z149" i="12"/>
  <c r="Z126" i="12"/>
  <c r="Z123" i="12"/>
  <c r="Z77" i="12"/>
  <c r="Z140" i="12"/>
  <c r="Z71" i="12"/>
  <c r="Z52" i="12"/>
  <c r="Z51" i="12"/>
  <c r="AB52" i="12" l="1"/>
  <c r="AL125" i="12"/>
  <c r="AL127" i="12" s="1"/>
  <c r="AD125" i="12"/>
  <c r="Z122" i="12"/>
  <c r="Z125" i="12" s="1"/>
  <c r="Z127" i="12" s="1"/>
  <c r="AL53" i="12"/>
  <c r="AF125" i="12"/>
  <c r="AB125" i="12"/>
  <c r="AJ53" i="12"/>
  <c r="AF53" i="12"/>
  <c r="AF127" i="12"/>
  <c r="AD53" i="12"/>
  <c r="AB127" i="12"/>
  <c r="AB53" i="12"/>
  <c r="Z53" i="12"/>
  <c r="X138" i="12"/>
  <c r="X126" i="12"/>
  <c r="X124" i="12"/>
  <c r="X99" i="12"/>
  <c r="X66" i="12"/>
  <c r="X27" i="12"/>
  <c r="X94" i="12" l="1"/>
  <c r="X123" i="12" s="1"/>
  <c r="X61" i="12"/>
  <c r="X122" i="12" s="1"/>
  <c r="X125" i="12" s="1"/>
  <c r="X127" i="12" s="1"/>
  <c r="X52" i="12"/>
  <c r="X51" i="12"/>
  <c r="X53" i="12" l="1"/>
  <c r="V94" i="12"/>
  <c r="V123" i="12" s="1"/>
  <c r="V125" i="12" s="1"/>
  <c r="V127" i="12" s="1"/>
  <c r="V52" i="12"/>
  <c r="V51" i="12"/>
  <c r="V53" i="12" s="1"/>
  <c r="T146" i="12"/>
  <c r="T126" i="12"/>
  <c r="T124" i="12"/>
  <c r="T99" i="12"/>
  <c r="T123" i="12" s="1"/>
  <c r="T71" i="12"/>
  <c r="T122" i="12" s="1"/>
  <c r="T51" i="12"/>
  <c r="T7" i="12"/>
  <c r="T52" i="12" s="1"/>
  <c r="R152" i="12"/>
  <c r="R126" i="12"/>
  <c r="R99" i="12"/>
  <c r="R123" i="12" s="1"/>
  <c r="R66" i="12"/>
  <c r="R141" i="12"/>
  <c r="R62" i="12"/>
  <c r="R51" i="12"/>
  <c r="R11" i="12"/>
  <c r="R52" i="12" s="1"/>
  <c r="P158" i="12"/>
  <c r="P126" i="12"/>
  <c r="P70" i="12"/>
  <c r="P122" i="12" s="1"/>
  <c r="P148" i="12"/>
  <c r="P124" i="12"/>
  <c r="P51" i="12"/>
  <c r="P96" i="12"/>
  <c r="P97" i="12" s="1"/>
  <c r="P123" i="12" s="1"/>
  <c r="P11" i="12"/>
  <c r="P52" i="12" s="1"/>
  <c r="P53" i="12" s="1"/>
  <c r="N142" i="12"/>
  <c r="N126" i="12"/>
  <c r="N100" i="12"/>
  <c r="N74" i="12"/>
  <c r="N134" i="12"/>
  <c r="N95" i="12"/>
  <c r="N123" i="12" s="1"/>
  <c r="N62" i="12"/>
  <c r="N52" i="12"/>
  <c r="N51" i="12"/>
  <c r="N11" i="12"/>
  <c r="L148" i="12"/>
  <c r="L78" i="12"/>
  <c r="L141" i="12"/>
  <c r="L96" i="12"/>
  <c r="L123" i="12" s="1"/>
  <c r="L51" i="12"/>
  <c r="L71" i="12"/>
  <c r="L68" i="12"/>
  <c r="L9" i="12"/>
  <c r="L52" i="12" s="1"/>
  <c r="J142" i="12"/>
  <c r="J126" i="12"/>
  <c r="J124" i="12"/>
  <c r="J96" i="12"/>
  <c r="J123" i="12" s="1"/>
  <c r="J71" i="12"/>
  <c r="J76" i="12"/>
  <c r="J122" i="12" s="1"/>
  <c r="R122" i="12" l="1"/>
  <c r="T125" i="12"/>
  <c r="T127" i="12" s="1"/>
  <c r="L73" i="12"/>
  <c r="L122" i="12" s="1"/>
  <c r="L125" i="12" s="1"/>
  <c r="L127" i="12" s="1"/>
  <c r="N122" i="12"/>
  <c r="N125" i="12" s="1"/>
  <c r="N127" i="12" s="1"/>
  <c r="P125" i="12"/>
  <c r="R125" i="12"/>
  <c r="R127" i="12" s="1"/>
  <c r="T53" i="12"/>
  <c r="R53" i="12"/>
  <c r="P127" i="12"/>
  <c r="N53" i="12"/>
  <c r="L53" i="12"/>
  <c r="F145" i="12"/>
  <c r="F126" i="12"/>
  <c r="F99" i="12"/>
  <c r="F123" i="12" s="1"/>
  <c r="F72" i="12"/>
  <c r="F122" i="12" s="1"/>
  <c r="F125" i="12" s="1"/>
  <c r="F127" i="12" l="1"/>
  <c r="J135" i="12"/>
  <c r="J125" i="12"/>
  <c r="J52" i="12"/>
  <c r="J51" i="12"/>
  <c r="H143" i="12"/>
  <c r="H126" i="12"/>
  <c r="H101" i="12"/>
  <c r="H123" i="12" s="1"/>
  <c r="H69" i="12"/>
  <c r="H122" i="12" s="1"/>
  <c r="H52" i="12"/>
  <c r="H51" i="12"/>
  <c r="F52" i="12"/>
  <c r="F51" i="12"/>
  <c r="D138" i="12"/>
  <c r="D126" i="12"/>
  <c r="D124" i="12"/>
  <c r="D51" i="12"/>
  <c r="D15" i="12"/>
  <c r="D60" i="12"/>
  <c r="D68" i="12" s="1"/>
  <c r="D122" i="12" s="1"/>
  <c r="D7" i="12"/>
  <c r="D52" i="12" s="1"/>
  <c r="B21" i="12"/>
  <c r="B52" i="12" s="1"/>
  <c r="B145" i="12"/>
  <c r="B96" i="12"/>
  <c r="B123" i="12" s="1"/>
  <c r="B74" i="12"/>
  <c r="B122" i="12" s="1"/>
  <c r="B138" i="12"/>
  <c r="B67" i="12"/>
  <c r="B51" i="12"/>
  <c r="AH165" i="12"/>
  <c r="BB161" i="11"/>
  <c r="BB126" i="11"/>
  <c r="BB71" i="11"/>
  <c r="AT145" i="11"/>
  <c r="AT126" i="11"/>
  <c r="AT124" i="11"/>
  <c r="AT75" i="11"/>
  <c r="BB149" i="11"/>
  <c r="BB97" i="11"/>
  <c r="BB123" i="11" s="1"/>
  <c r="BB63" i="11"/>
  <c r="BB52" i="11"/>
  <c r="BB51" i="11"/>
  <c r="AZ152" i="11"/>
  <c r="AZ126" i="11"/>
  <c r="AZ84" i="11"/>
  <c r="AX141" i="11"/>
  <c r="AX126" i="11"/>
  <c r="AX124" i="11"/>
  <c r="AX123" i="11"/>
  <c r="AX77" i="11"/>
  <c r="AX122" i="11" s="1"/>
  <c r="AZ147" i="11"/>
  <c r="AZ123" i="11"/>
  <c r="AZ52" i="11"/>
  <c r="AZ51" i="11"/>
  <c r="AX52" i="11"/>
  <c r="AX51" i="11"/>
  <c r="AZ64" i="11"/>
  <c r="AZ78" i="11" s="1"/>
  <c r="AZ122" i="11" s="1"/>
  <c r="AZ125" i="11" s="1"/>
  <c r="AT139" i="11"/>
  <c r="AT95" i="11"/>
  <c r="AT123" i="11" s="1"/>
  <c r="AT69" i="11"/>
  <c r="AV145" i="11"/>
  <c r="AV126" i="11"/>
  <c r="AV76" i="11"/>
  <c r="AV122" i="11" s="1"/>
  <c r="AV52" i="11"/>
  <c r="AV51" i="11"/>
  <c r="AT52" i="11"/>
  <c r="AT51" i="11"/>
  <c r="AV95" i="11"/>
  <c r="AV123" i="11" s="1"/>
  <c r="AR146" i="11"/>
  <c r="AR126" i="11"/>
  <c r="AR106" i="11"/>
  <c r="AR80" i="11"/>
  <c r="AR81" i="11" s="1"/>
  <c r="AR122" i="11" s="1"/>
  <c r="AR22" i="11"/>
  <c r="AR52" i="11" s="1"/>
  <c r="AP152" i="11"/>
  <c r="AP126" i="11"/>
  <c r="AP124" i="11"/>
  <c r="AP98" i="11"/>
  <c r="AP72" i="11"/>
  <c r="AR134" i="11"/>
  <c r="AR100" i="11"/>
  <c r="AR51" i="11"/>
  <c r="AP148" i="11"/>
  <c r="AP94" i="11"/>
  <c r="AP66" i="11"/>
  <c r="AP52" i="11"/>
  <c r="AP51" i="11"/>
  <c r="AN156" i="11"/>
  <c r="AN126" i="11"/>
  <c r="AN124" i="11"/>
  <c r="AN101" i="11"/>
  <c r="AN78" i="11"/>
  <c r="AL137" i="11"/>
  <c r="AL126" i="11"/>
  <c r="AL124" i="11"/>
  <c r="AL76" i="11"/>
  <c r="AL122" i="11" s="1"/>
  <c r="Z127" i="11"/>
  <c r="Z52" i="11"/>
  <c r="Z51" i="11"/>
  <c r="AN144" i="11"/>
  <c r="AN97" i="11"/>
  <c r="AN70" i="11"/>
  <c r="AN52" i="11"/>
  <c r="AN51" i="11"/>
  <c r="AL52" i="11"/>
  <c r="AL51" i="11"/>
  <c r="AP122" i="11" l="1"/>
  <c r="AT122" i="11"/>
  <c r="D125" i="12"/>
  <c r="D127" i="12" s="1"/>
  <c r="Z53" i="11"/>
  <c r="H125" i="12"/>
  <c r="H127" i="12" s="1"/>
  <c r="AL125" i="11"/>
  <c r="AL127" i="11" s="1"/>
  <c r="AN122" i="11"/>
  <c r="AP123" i="11"/>
  <c r="AP125" i="11" s="1"/>
  <c r="AP127" i="11" s="1"/>
  <c r="BB122" i="11"/>
  <c r="AN123" i="11"/>
  <c r="AR123" i="11"/>
  <c r="AR125" i="11" s="1"/>
  <c r="AR127" i="11" s="1"/>
  <c r="AX125" i="11"/>
  <c r="AX127" i="11" s="1"/>
  <c r="H53" i="12"/>
  <c r="AT125" i="11"/>
  <c r="AT127" i="11" s="1"/>
  <c r="D53" i="12"/>
  <c r="B125" i="12"/>
  <c r="B127" i="12" s="1"/>
  <c r="AD127" i="12" s="1"/>
  <c r="J53" i="12"/>
  <c r="F53" i="12"/>
  <c r="J127" i="12"/>
  <c r="AN125" i="11"/>
  <c r="AN127" i="11" s="1"/>
  <c r="BB125" i="11"/>
  <c r="BB127" i="11" s="1"/>
  <c r="AV125" i="11"/>
  <c r="AV127" i="11" s="1"/>
  <c r="B53" i="12"/>
  <c r="BB53" i="11"/>
  <c r="AZ127" i="11"/>
  <c r="AZ53" i="11"/>
  <c r="AX53" i="11"/>
  <c r="AV53" i="11"/>
  <c r="AT53" i="11"/>
  <c r="AR53" i="11"/>
  <c r="AP53" i="11"/>
  <c r="AN53" i="11"/>
  <c r="AL53" i="11"/>
  <c r="AJ148" i="11"/>
  <c r="AJ126" i="11"/>
  <c r="AJ123" i="11"/>
  <c r="AJ77" i="11"/>
  <c r="AJ142" i="11"/>
  <c r="AJ52" i="11"/>
  <c r="AJ51" i="11"/>
  <c r="AJ60" i="11"/>
  <c r="AJ73" i="11" s="1"/>
  <c r="AJ122" i="11" s="1"/>
  <c r="AJ125" i="11" s="1"/>
  <c r="AH165" i="11"/>
  <c r="AH126" i="11"/>
  <c r="AH98" i="11"/>
  <c r="AH123" i="11" s="1"/>
  <c r="AH73" i="11"/>
  <c r="AF141" i="11"/>
  <c r="AF126" i="11"/>
  <c r="AF124" i="11"/>
  <c r="AF97" i="11"/>
  <c r="AF123" i="11" s="1"/>
  <c r="AF76" i="11"/>
  <c r="AH149" i="11"/>
  <c r="AH68" i="11"/>
  <c r="AH52" i="11"/>
  <c r="AH51" i="11"/>
  <c r="AF62" i="11"/>
  <c r="AF52" i="11"/>
  <c r="AF51" i="11"/>
  <c r="AJ127" i="11" l="1"/>
  <c r="AH122" i="11"/>
  <c r="AF122" i="11"/>
  <c r="AF125" i="11"/>
  <c r="AF127" i="11" s="1"/>
  <c r="AH125" i="11"/>
  <c r="AH127" i="11" s="1"/>
  <c r="AJ53" i="11"/>
  <c r="AH53" i="11"/>
  <c r="AF53" i="11"/>
  <c r="AD153" i="11"/>
  <c r="AD126" i="11"/>
  <c r="AD124" i="11"/>
  <c r="AD98" i="11"/>
  <c r="AD123" i="11" s="1"/>
  <c r="AD77" i="11"/>
  <c r="AD138" i="11"/>
  <c r="AD66" i="11"/>
  <c r="AD51" i="11"/>
  <c r="AD17" i="11"/>
  <c r="AD52" i="11" s="1"/>
  <c r="AB147" i="11"/>
  <c r="AB126" i="11"/>
  <c r="AB99" i="11"/>
  <c r="AB123" i="11" s="1"/>
  <c r="AB70" i="11"/>
  <c r="AB139" i="11"/>
  <c r="AB63" i="11"/>
  <c r="AB52" i="11"/>
  <c r="AB51" i="11"/>
  <c r="X137" i="11"/>
  <c r="X126" i="11"/>
  <c r="X124" i="11"/>
  <c r="X69" i="11"/>
  <c r="X122" i="11" s="1"/>
  <c r="X52" i="11"/>
  <c r="X51" i="11"/>
  <c r="X94" i="11"/>
  <c r="X98" i="11" s="1"/>
  <c r="X123" i="11" s="1"/>
  <c r="V152" i="11"/>
  <c r="V126" i="11"/>
  <c r="V101" i="11"/>
  <c r="V69" i="11"/>
  <c r="V122" i="11" s="1"/>
  <c r="V136" i="11"/>
  <c r="V124" i="11"/>
  <c r="V94" i="11"/>
  <c r="V123" i="11" s="1"/>
  <c r="V52" i="11"/>
  <c r="V51" i="11"/>
  <c r="T148" i="11"/>
  <c r="T126" i="11"/>
  <c r="T75" i="11"/>
  <c r="T20" i="11"/>
  <c r="T52" i="11" s="1"/>
  <c r="T141" i="11"/>
  <c r="T124" i="11"/>
  <c r="T94" i="11"/>
  <c r="T123" i="11" s="1"/>
  <c r="T70" i="11"/>
  <c r="T51" i="11"/>
  <c r="R145" i="11"/>
  <c r="R126" i="11"/>
  <c r="R102" i="11"/>
  <c r="R73" i="11"/>
  <c r="R74" i="11" s="1"/>
  <c r="R122" i="11" s="1"/>
  <c r="R138" i="11"/>
  <c r="R124" i="11"/>
  <c r="R96" i="11"/>
  <c r="R123" i="11" s="1"/>
  <c r="R52" i="11"/>
  <c r="R51" i="11"/>
  <c r="P143" i="11"/>
  <c r="P126" i="11"/>
  <c r="P124" i="11"/>
  <c r="P74" i="11"/>
  <c r="P135" i="11"/>
  <c r="P94" i="11"/>
  <c r="P123" i="11" s="1"/>
  <c r="P65" i="11"/>
  <c r="P122" i="11" s="1"/>
  <c r="P52" i="11"/>
  <c r="P51" i="11"/>
  <c r="N141" i="11"/>
  <c r="N126" i="11"/>
  <c r="N99" i="11"/>
  <c r="N74" i="11"/>
  <c r="L137" i="11"/>
  <c r="L126" i="11"/>
  <c r="L99" i="11"/>
  <c r="L123" i="11" s="1"/>
  <c r="L68" i="11"/>
  <c r="L122" i="11" s="1"/>
  <c r="N137" i="11"/>
  <c r="N95" i="11"/>
  <c r="N123" i="11" s="1"/>
  <c r="N62" i="11"/>
  <c r="N52" i="11"/>
  <c r="N51" i="11"/>
  <c r="L52" i="11"/>
  <c r="L51" i="11"/>
  <c r="J145" i="11"/>
  <c r="J126" i="11"/>
  <c r="J124" i="11"/>
  <c r="J102" i="11"/>
  <c r="J77" i="11"/>
  <c r="J22" i="11"/>
  <c r="J52" i="11" s="1"/>
  <c r="J135" i="11"/>
  <c r="J97" i="11"/>
  <c r="J123" i="11" s="1"/>
  <c r="J66" i="11"/>
  <c r="J51" i="11"/>
  <c r="H144" i="11"/>
  <c r="H126" i="11"/>
  <c r="H102" i="11"/>
  <c r="H81" i="11"/>
  <c r="F126" i="11"/>
  <c r="F109" i="11"/>
  <c r="F70" i="11"/>
  <c r="F122" i="11" s="1"/>
  <c r="N122" i="11" l="1"/>
  <c r="V125" i="11"/>
  <c r="V127" i="11" s="1"/>
  <c r="X53" i="11"/>
  <c r="AB122" i="11"/>
  <c r="AB125" i="11" s="1"/>
  <c r="AB127" i="11" s="1"/>
  <c r="AD122" i="11"/>
  <c r="AD125" i="11" s="1"/>
  <c r="AD127" i="11" s="1"/>
  <c r="V53" i="11"/>
  <c r="L125" i="11"/>
  <c r="L127" i="11" s="1"/>
  <c r="P125" i="11"/>
  <c r="P127" i="11" s="1"/>
  <c r="N125" i="11"/>
  <c r="N127" i="11" s="1"/>
  <c r="T122" i="11"/>
  <c r="T125" i="11" s="1"/>
  <c r="T127" i="11" s="1"/>
  <c r="J122" i="11"/>
  <c r="J125" i="11" s="1"/>
  <c r="J127" i="11" s="1"/>
  <c r="X125" i="11"/>
  <c r="X127" i="11" s="1"/>
  <c r="R125" i="11"/>
  <c r="R127" i="11" s="1"/>
  <c r="AB53" i="11"/>
  <c r="AD53" i="11"/>
  <c r="T53" i="11"/>
  <c r="R53" i="11"/>
  <c r="P53" i="11"/>
  <c r="N53" i="11"/>
  <c r="L53" i="11"/>
  <c r="J53" i="11"/>
  <c r="F140" i="11"/>
  <c r="F141" i="11" s="1"/>
  <c r="H137" i="11"/>
  <c r="H96" i="11"/>
  <c r="H123" i="11" s="1"/>
  <c r="H71" i="11"/>
  <c r="H122" i="11" s="1"/>
  <c r="H52" i="11"/>
  <c r="H51" i="11"/>
  <c r="F134" i="11"/>
  <c r="F98" i="11"/>
  <c r="F123" i="11" s="1"/>
  <c r="F125" i="11" s="1"/>
  <c r="F127" i="11" s="1"/>
  <c r="F51" i="11"/>
  <c r="F10" i="11"/>
  <c r="F52" i="11" s="1"/>
  <c r="D146" i="11"/>
  <c r="D126" i="11"/>
  <c r="D104" i="11"/>
  <c r="D69" i="11"/>
  <c r="D134" i="11"/>
  <c r="D99" i="11"/>
  <c r="D123" i="11" s="1"/>
  <c r="D61" i="11"/>
  <c r="D52" i="11"/>
  <c r="D51" i="11"/>
  <c r="B141" i="11"/>
  <c r="B126" i="11"/>
  <c r="B94" i="11"/>
  <c r="B123" i="11" s="1"/>
  <c r="B75" i="11"/>
  <c r="B66" i="11"/>
  <c r="B52" i="11"/>
  <c r="B51" i="11"/>
  <c r="BD136" i="10"/>
  <c r="BD126" i="10"/>
  <c r="BD95" i="10"/>
  <c r="BD123" i="10" s="1"/>
  <c r="BD69" i="10"/>
  <c r="BD122" i="10" s="1"/>
  <c r="BD52" i="10"/>
  <c r="BD51" i="10"/>
  <c r="BB158" i="10"/>
  <c r="BB126" i="10"/>
  <c r="BB99" i="10"/>
  <c r="BB123" i="10" s="1"/>
  <c r="BB70" i="10"/>
  <c r="BB27" i="10"/>
  <c r="BB52" i="10" s="1"/>
  <c r="BB62" i="10"/>
  <c r="BB122" i="10" s="1"/>
  <c r="BB51" i="10"/>
  <c r="BB140" i="10"/>
  <c r="BB141" i="10" s="1"/>
  <c r="AZ154" i="10"/>
  <c r="AZ126" i="10"/>
  <c r="AZ118" i="10"/>
  <c r="AZ124" i="10" s="1"/>
  <c r="AZ100" i="10"/>
  <c r="AZ73" i="10"/>
  <c r="AZ136" i="10"/>
  <c r="AZ94" i="10"/>
  <c r="AZ61" i="10"/>
  <c r="AZ52" i="10"/>
  <c r="AZ51" i="10"/>
  <c r="AX145" i="10"/>
  <c r="AX126" i="10"/>
  <c r="AX97" i="10"/>
  <c r="AX123" i="10" s="1"/>
  <c r="AX78" i="10"/>
  <c r="AX135" i="10"/>
  <c r="AX63" i="10"/>
  <c r="AX52" i="10"/>
  <c r="AX51" i="10"/>
  <c r="AV68" i="10"/>
  <c r="AV105" i="10"/>
  <c r="AV151" i="10"/>
  <c r="AP140" i="10"/>
  <c r="AP126" i="10"/>
  <c r="AP100" i="10"/>
  <c r="AP123" i="10" s="1"/>
  <c r="AP72" i="10"/>
  <c r="AP122" i="10" s="1"/>
  <c r="AP125" i="10" s="1"/>
  <c r="AP127" i="10" s="1"/>
  <c r="AP52" i="10"/>
  <c r="AP51" i="10"/>
  <c r="AV143" i="10"/>
  <c r="AV126" i="10"/>
  <c r="AV100" i="10"/>
  <c r="AV123" i="10" s="1"/>
  <c r="AV64" i="10"/>
  <c r="AV122" i="10" s="1"/>
  <c r="AV52" i="10"/>
  <c r="AV51" i="10"/>
  <c r="AT151" i="10"/>
  <c r="AT126" i="10"/>
  <c r="AT103" i="10"/>
  <c r="AT123" i="10" s="1"/>
  <c r="AT71" i="10"/>
  <c r="AT146" i="10"/>
  <c r="AT95" i="10"/>
  <c r="AT65" i="10"/>
  <c r="AT52" i="10"/>
  <c r="AT51" i="10"/>
  <c r="AR52" i="10"/>
  <c r="AR51" i="10"/>
  <c r="AN156" i="10"/>
  <c r="AN126" i="10"/>
  <c r="AN124" i="10"/>
  <c r="AN99" i="10"/>
  <c r="AN68" i="10"/>
  <c r="AN52" i="10"/>
  <c r="AN141" i="10"/>
  <c r="AN63" i="10"/>
  <c r="AN51" i="10"/>
  <c r="AN93" i="10"/>
  <c r="AN94" i="10" s="1"/>
  <c r="AL147" i="10"/>
  <c r="AL126" i="10"/>
  <c r="AL123" i="10"/>
  <c r="AL72" i="10"/>
  <c r="AL73" i="10" s="1"/>
  <c r="AJ144" i="10"/>
  <c r="AJ126" i="10"/>
  <c r="AJ100" i="10"/>
  <c r="AJ76" i="10"/>
  <c r="AJ122" i="10" s="1"/>
  <c r="AH143" i="10"/>
  <c r="AH126" i="10"/>
  <c r="AH94" i="10"/>
  <c r="AH123" i="10" s="1"/>
  <c r="AH16" i="10"/>
  <c r="AH71" i="10"/>
  <c r="AH80" i="10" s="1"/>
  <c r="AL134" i="10"/>
  <c r="AL124" i="10"/>
  <c r="AL65" i="10"/>
  <c r="AL52" i="10"/>
  <c r="AL51" i="10"/>
  <c r="AJ135" i="10"/>
  <c r="AJ95" i="10"/>
  <c r="AJ52" i="10"/>
  <c r="AJ51" i="10"/>
  <c r="AN122" i="10" l="1"/>
  <c r="AZ122" i="10"/>
  <c r="AP53" i="10"/>
  <c r="AZ123" i="10"/>
  <c r="AZ125" i="10" s="1"/>
  <c r="AZ127" i="10" s="1"/>
  <c r="AL122" i="10"/>
  <c r="AL125" i="10" s="1"/>
  <c r="AL127" i="10" s="1"/>
  <c r="AV125" i="10"/>
  <c r="AV127" i="10" s="1"/>
  <c r="AX122" i="10"/>
  <c r="AX125" i="10" s="1"/>
  <c r="AX127" i="10" s="1"/>
  <c r="BD53" i="10"/>
  <c r="B122" i="11"/>
  <c r="B125" i="11" s="1"/>
  <c r="B127" i="11" s="1"/>
  <c r="D122" i="11"/>
  <c r="AN123" i="10"/>
  <c r="AJ123" i="10"/>
  <c r="AJ125" i="10" s="1"/>
  <c r="AJ127" i="10" s="1"/>
  <c r="AT122" i="10"/>
  <c r="AT125" i="10" s="1"/>
  <c r="AT127" i="10" s="1"/>
  <c r="BB125" i="10"/>
  <c r="BB127" i="10" s="1"/>
  <c r="BD125" i="10"/>
  <c r="BD127" i="10" s="1"/>
  <c r="H125" i="11"/>
  <c r="H127" i="11" s="1"/>
  <c r="AN125" i="10"/>
  <c r="AN127" i="10" s="1"/>
  <c r="D125" i="11"/>
  <c r="D127" i="11" s="1"/>
  <c r="H53" i="11"/>
  <c r="F53" i="11"/>
  <c r="D53" i="11"/>
  <c r="B53" i="11"/>
  <c r="BB53" i="10"/>
  <c r="AZ53" i="10"/>
  <c r="AX53" i="10"/>
  <c r="AV53" i="10"/>
  <c r="AT53" i="10"/>
  <c r="AR53" i="10"/>
  <c r="AN53" i="10"/>
  <c r="AL53" i="10"/>
  <c r="AJ53" i="10"/>
  <c r="AF138" i="10"/>
  <c r="AF126" i="10"/>
  <c r="AF100" i="10"/>
  <c r="AF68" i="10"/>
  <c r="AH134" i="10"/>
  <c r="AH67" i="10"/>
  <c r="AH122" i="10" s="1"/>
  <c r="AH125" i="10" s="1"/>
  <c r="AH127" i="10" s="1"/>
  <c r="AH52" i="10"/>
  <c r="AH51" i="10"/>
  <c r="AF96" i="10"/>
  <c r="AF61" i="10"/>
  <c r="AF52" i="10"/>
  <c r="AF51" i="10"/>
  <c r="AB144" i="10"/>
  <c r="AB126" i="10"/>
  <c r="AB70" i="10"/>
  <c r="AD52" i="10"/>
  <c r="AD51" i="10"/>
  <c r="AB138" i="10"/>
  <c r="AB94" i="10"/>
  <c r="AB123" i="10" s="1"/>
  <c r="AB65" i="10"/>
  <c r="AB52" i="10"/>
  <c r="AB51" i="10"/>
  <c r="Z155" i="10"/>
  <c r="Z126" i="10"/>
  <c r="Z104" i="10"/>
  <c r="Z23" i="10"/>
  <c r="Z80" i="10"/>
  <c r="Z78" i="10"/>
  <c r="Z81" i="10" l="1"/>
  <c r="AB122" i="10"/>
  <c r="AB125" i="10" s="1"/>
  <c r="AB127" i="10" s="1"/>
  <c r="AF122" i="10"/>
  <c r="AF123" i="10"/>
  <c r="AB53" i="10"/>
  <c r="AD53" i="10"/>
  <c r="AH53" i="10"/>
  <c r="AF53" i="10"/>
  <c r="X79" i="10"/>
  <c r="X126" i="10"/>
  <c r="X142" i="10"/>
  <c r="X97" i="10"/>
  <c r="X123" i="10" s="1"/>
  <c r="V153" i="10"/>
  <c r="V126" i="10"/>
  <c r="V124" i="10"/>
  <c r="V99" i="10"/>
  <c r="V123" i="10" s="1"/>
  <c r="V81" i="10"/>
  <c r="Z142" i="10"/>
  <c r="Z96" i="10"/>
  <c r="Z123" i="10" s="1"/>
  <c r="Z67" i="10"/>
  <c r="Z122" i="10" s="1"/>
  <c r="Z125" i="10" s="1"/>
  <c r="Z127" i="10" s="1"/>
  <c r="Z52" i="10"/>
  <c r="Z51" i="10"/>
  <c r="X136" i="10"/>
  <c r="X64" i="10"/>
  <c r="X122" i="10" s="1"/>
  <c r="X52" i="10"/>
  <c r="X51" i="10"/>
  <c r="V143" i="10"/>
  <c r="V64" i="10"/>
  <c r="T51" i="10"/>
  <c r="V52" i="10"/>
  <c r="V51" i="10"/>
  <c r="T145" i="10"/>
  <c r="T126" i="10"/>
  <c r="T101" i="10"/>
  <c r="T68" i="10"/>
  <c r="T135" i="10"/>
  <c r="T94" i="10"/>
  <c r="T123" i="10" s="1"/>
  <c r="T64" i="10"/>
  <c r="T122" i="10" s="1"/>
  <c r="T52" i="10"/>
  <c r="R52" i="10"/>
  <c r="R51" i="10"/>
  <c r="P136" i="10"/>
  <c r="P126" i="10"/>
  <c r="P103" i="10"/>
  <c r="P123" i="10" s="1"/>
  <c r="P68" i="10"/>
  <c r="P122" i="10" s="1"/>
  <c r="P52" i="10"/>
  <c r="P51" i="10"/>
  <c r="R123" i="10"/>
  <c r="R125" i="10" s="1"/>
  <c r="R127" i="10" s="1"/>
  <c r="N162" i="10"/>
  <c r="N126" i="10"/>
  <c r="N99" i="10"/>
  <c r="N106" i="10" s="1"/>
  <c r="N147" i="10"/>
  <c r="N96" i="10"/>
  <c r="N52" i="10"/>
  <c r="N51" i="10"/>
  <c r="N61" i="10"/>
  <c r="N67" i="10" s="1"/>
  <c r="N122" i="10" s="1"/>
  <c r="L143" i="10"/>
  <c r="L126" i="10"/>
  <c r="L124" i="10"/>
  <c r="L97" i="10"/>
  <c r="L123" i="10" s="1"/>
  <c r="L72" i="10"/>
  <c r="J147" i="10"/>
  <c r="J126" i="10"/>
  <c r="J124" i="10"/>
  <c r="J101" i="10"/>
  <c r="J123" i="10" s="1"/>
  <c r="J71" i="10"/>
  <c r="J28" i="10"/>
  <c r="J27" i="10"/>
  <c r="J52" i="10" s="1"/>
  <c r="L139" i="10"/>
  <c r="L63" i="10"/>
  <c r="L51" i="10"/>
  <c r="L10" i="10"/>
  <c r="L52" i="10" s="1"/>
  <c r="H143" i="10"/>
  <c r="H126" i="10"/>
  <c r="H99" i="10"/>
  <c r="H73" i="10"/>
  <c r="J135" i="10"/>
  <c r="J62" i="10"/>
  <c r="J51" i="10"/>
  <c r="H124" i="10"/>
  <c r="H94" i="10"/>
  <c r="H123" i="10" s="1"/>
  <c r="H62" i="10"/>
  <c r="H52" i="10"/>
  <c r="H51" i="10"/>
  <c r="F146" i="10"/>
  <c r="F126" i="10"/>
  <c r="F95" i="10"/>
  <c r="F123" i="10" s="1"/>
  <c r="F74" i="10"/>
  <c r="F134" i="10"/>
  <c r="F124" i="10"/>
  <c r="F63" i="10"/>
  <c r="F52" i="10"/>
  <c r="F51" i="10"/>
  <c r="B126" i="10"/>
  <c r="B101" i="10"/>
  <c r="D135" i="10"/>
  <c r="D126" i="10"/>
  <c r="D97" i="10"/>
  <c r="D123" i="10" s="1"/>
  <c r="D70" i="10"/>
  <c r="D122" i="10" s="1"/>
  <c r="D52" i="10"/>
  <c r="D53" i="10" s="1"/>
  <c r="D51" i="10"/>
  <c r="B139" i="10"/>
  <c r="B96" i="10"/>
  <c r="B123" i="10" s="1"/>
  <c r="B71" i="10"/>
  <c r="B122" i="10" s="1"/>
  <c r="B51" i="10"/>
  <c r="B17" i="10"/>
  <c r="B52" i="10" s="1"/>
  <c r="AF125" i="10" l="1"/>
  <c r="AF127" i="10" s="1"/>
  <c r="P125" i="10"/>
  <c r="P127" i="10" s="1"/>
  <c r="R53" i="10"/>
  <c r="F122" i="10"/>
  <c r="F125" i="10" s="1"/>
  <c r="F127" i="10" s="1"/>
  <c r="H122" i="10"/>
  <c r="H125" i="10" s="1"/>
  <c r="H127" i="10" s="1"/>
  <c r="P53" i="10"/>
  <c r="L122" i="10"/>
  <c r="L125" i="10" s="1"/>
  <c r="L127" i="10" s="1"/>
  <c r="J122" i="10"/>
  <c r="J125" i="10" s="1"/>
  <c r="J127" i="10" s="1"/>
  <c r="T125" i="10"/>
  <c r="T127" i="10" s="1"/>
  <c r="V122" i="10"/>
  <c r="V125" i="10" s="1"/>
  <c r="V127" i="10" s="1"/>
  <c r="X125" i="10"/>
  <c r="X127" i="10" s="1"/>
  <c r="B125" i="10"/>
  <c r="B127" i="10" s="1"/>
  <c r="D125" i="10"/>
  <c r="D127" i="10" s="1"/>
  <c r="N123" i="10"/>
  <c r="N125" i="10" s="1"/>
  <c r="N127" i="10" s="1"/>
  <c r="Z53" i="10"/>
  <c r="X53" i="10"/>
  <c r="V53" i="10"/>
  <c r="T53" i="10"/>
  <c r="N53" i="10"/>
  <c r="L53" i="10"/>
  <c r="J53" i="10"/>
  <c r="H53" i="10"/>
  <c r="F53" i="10"/>
  <c r="B53" i="10"/>
  <c r="BF149" i="8"/>
  <c r="BF126" i="8"/>
  <c r="BF99" i="8"/>
  <c r="BF123" i="8" s="1"/>
  <c r="BF74" i="8"/>
  <c r="BF51" i="8"/>
  <c r="BF52" i="8"/>
  <c r="BD160" i="8"/>
  <c r="BD126" i="8"/>
  <c r="BD124" i="8"/>
  <c r="BD52" i="8"/>
  <c r="BD63" i="8"/>
  <c r="BD65" i="8" s="1"/>
  <c r="BD122" i="8" s="1"/>
  <c r="BF124" i="8"/>
  <c r="BF64" i="8"/>
  <c r="BF137" i="8"/>
  <c r="BD143" i="8"/>
  <c r="BD94" i="8"/>
  <c r="BD123" i="8" s="1"/>
  <c r="BD51" i="8"/>
  <c r="BF53" i="8" l="1"/>
  <c r="BF122" i="8"/>
  <c r="BF125" i="8"/>
  <c r="BF127" i="8" s="1"/>
  <c r="BD125" i="8"/>
  <c r="BD127" i="8" s="1"/>
  <c r="BD53" i="8"/>
  <c r="BB153" i="8"/>
  <c r="BB126" i="8"/>
  <c r="BB106" i="8"/>
  <c r="BB71" i="8"/>
  <c r="AZ150" i="8"/>
  <c r="AZ126" i="8"/>
  <c r="AZ97" i="8"/>
  <c r="AZ123" i="8" s="1"/>
  <c r="AZ68" i="8"/>
  <c r="BB139" i="8"/>
  <c r="BB94" i="8"/>
  <c r="BB62" i="8"/>
  <c r="BB122" i="8" s="1"/>
  <c r="BB51" i="8"/>
  <c r="BB13" i="8"/>
  <c r="BB52" i="8" s="1"/>
  <c r="AV154" i="8"/>
  <c r="AV126" i="8"/>
  <c r="AV124" i="8"/>
  <c r="AV101" i="8"/>
  <c r="AV78" i="8"/>
  <c r="AZ141" i="8"/>
  <c r="AZ62" i="8"/>
  <c r="AZ51" i="8"/>
  <c r="AZ14" i="8"/>
  <c r="AZ52" i="8" s="1"/>
  <c r="AX136" i="8"/>
  <c r="AX126" i="8"/>
  <c r="AX98" i="8"/>
  <c r="AX123" i="8" s="1"/>
  <c r="AX74" i="8"/>
  <c r="AX122" i="8" s="1"/>
  <c r="AX125" i="8" s="1"/>
  <c r="AX127" i="8" s="1"/>
  <c r="AX52" i="8"/>
  <c r="AX51" i="8"/>
  <c r="AV137" i="8"/>
  <c r="AV73" i="8"/>
  <c r="AV122" i="8" s="1"/>
  <c r="AV97" i="8"/>
  <c r="AV123" i="8" s="1"/>
  <c r="AV52" i="8"/>
  <c r="AV51" i="8"/>
  <c r="AT138" i="8"/>
  <c r="AT126" i="8"/>
  <c r="AT124" i="8"/>
  <c r="AT99" i="8"/>
  <c r="AT123" i="8" s="1"/>
  <c r="AT71" i="8"/>
  <c r="AR141" i="8"/>
  <c r="AR126" i="8"/>
  <c r="AR105" i="8"/>
  <c r="AR68" i="8"/>
  <c r="AR122" i="8" s="1"/>
  <c r="AT63" i="8"/>
  <c r="AT51" i="8"/>
  <c r="AT134" i="8"/>
  <c r="AT9" i="8"/>
  <c r="AT52" i="8" s="1"/>
  <c r="AR99" i="8"/>
  <c r="AR123" i="8" s="1"/>
  <c r="AR52" i="8"/>
  <c r="AR51" i="8"/>
  <c r="AP126" i="8"/>
  <c r="AP103" i="8"/>
  <c r="AP72" i="8"/>
  <c r="AP146" i="8"/>
  <c r="AP147" i="8" s="1"/>
  <c r="AP97" i="8"/>
  <c r="AP66" i="8"/>
  <c r="AP122" i="8" s="1"/>
  <c r="AP52" i="8"/>
  <c r="AP51" i="8"/>
  <c r="AN143" i="8"/>
  <c r="AN126" i="8"/>
  <c r="AN68" i="8"/>
  <c r="AN122" i="8" s="1"/>
  <c r="AN100" i="8"/>
  <c r="AN52" i="8"/>
  <c r="AN95" i="8"/>
  <c r="AN123" i="8" s="1"/>
  <c r="AN51" i="8"/>
  <c r="AL123" i="8"/>
  <c r="AL52" i="8"/>
  <c r="AL51" i="8"/>
  <c r="AL61" i="8"/>
  <c r="AL122" i="8" s="1"/>
  <c r="AL125" i="8" s="1"/>
  <c r="AL127" i="8" s="1"/>
  <c r="AJ135" i="8"/>
  <c r="AJ126" i="8"/>
  <c r="AJ124" i="8"/>
  <c r="AJ74" i="8"/>
  <c r="AJ122" i="8" s="1"/>
  <c r="AJ100" i="8"/>
  <c r="AJ123" i="8" s="1"/>
  <c r="AJ52" i="8"/>
  <c r="AJ51" i="8"/>
  <c r="AH135" i="8"/>
  <c r="AH126" i="8"/>
  <c r="AH118" i="8"/>
  <c r="AH124" i="8" s="1"/>
  <c r="AH97" i="8"/>
  <c r="AH123" i="8" s="1"/>
  <c r="AH71" i="8"/>
  <c r="AH122" i="8" s="1"/>
  <c r="AH52" i="8"/>
  <c r="AH51" i="8"/>
  <c r="AF143" i="8"/>
  <c r="AF126" i="8"/>
  <c r="AF102" i="8"/>
  <c r="AF123" i="8" s="1"/>
  <c r="AF73" i="8"/>
  <c r="AP123" i="8" l="1"/>
  <c r="AR125" i="8"/>
  <c r="AR127" i="8" s="1"/>
  <c r="BB123" i="8"/>
  <c r="BB125" i="8" s="1"/>
  <c r="BB127" i="8" s="1"/>
  <c r="AL53" i="8"/>
  <c r="AP125" i="8"/>
  <c r="AP127" i="8" s="1"/>
  <c r="AT122" i="8"/>
  <c r="AT125" i="8" s="1"/>
  <c r="AT127" i="8" s="1"/>
  <c r="AH53" i="8"/>
  <c r="AP53" i="8"/>
  <c r="AX53" i="8"/>
  <c r="AZ122" i="8"/>
  <c r="AZ125" i="8" s="1"/>
  <c r="AZ127" i="8" s="1"/>
  <c r="AH125" i="8"/>
  <c r="AH127" i="8" s="1"/>
  <c r="AV125" i="8"/>
  <c r="AV127" i="8" s="1"/>
  <c r="AJ125" i="8"/>
  <c r="AJ127" i="8" s="1"/>
  <c r="AN125" i="8"/>
  <c r="AN127" i="8" s="1"/>
  <c r="AJ53" i="8"/>
  <c r="BB53" i="8"/>
  <c r="AV53" i="8"/>
  <c r="AZ53" i="8"/>
  <c r="AT53" i="8"/>
  <c r="AR53" i="8"/>
  <c r="AN53" i="8"/>
  <c r="AF134" i="8"/>
  <c r="AF61" i="8"/>
  <c r="AF122" i="8" s="1"/>
  <c r="AF125" i="8" s="1"/>
  <c r="AF127" i="8" s="1"/>
  <c r="AF52" i="8"/>
  <c r="AF51" i="8"/>
  <c r="AD148" i="8"/>
  <c r="AD126" i="8"/>
  <c r="AD124" i="8"/>
  <c r="AD123" i="8"/>
  <c r="AD74" i="8"/>
  <c r="AD122" i="8" s="1"/>
  <c r="AD125" i="8" s="1"/>
  <c r="AD135" i="8"/>
  <c r="AD65" i="8"/>
  <c r="AD52" i="8"/>
  <c r="AD51" i="8"/>
  <c r="AB156" i="8"/>
  <c r="AB126" i="8"/>
  <c r="AB99" i="8"/>
  <c r="AB75" i="8"/>
  <c r="AB136" i="8"/>
  <c r="AB94" i="8"/>
  <c r="AB66" i="8"/>
  <c r="AB52" i="8"/>
  <c r="AB51" i="8"/>
  <c r="Z145" i="8"/>
  <c r="Z126" i="8"/>
  <c r="Z124" i="8"/>
  <c r="Z73" i="8"/>
  <c r="Z135" i="8"/>
  <c r="Z94" i="8"/>
  <c r="Z123" i="8" s="1"/>
  <c r="Z61" i="8"/>
  <c r="Z52" i="8"/>
  <c r="Z51" i="8"/>
  <c r="X136" i="8"/>
  <c r="X126" i="8"/>
  <c r="X124" i="8"/>
  <c r="X98" i="8"/>
  <c r="X123" i="8" s="1"/>
  <c r="X71" i="8"/>
  <c r="X122" i="8" s="1"/>
  <c r="X52" i="8"/>
  <c r="X51" i="8"/>
  <c r="V145" i="8"/>
  <c r="V126" i="8"/>
  <c r="V124" i="8"/>
  <c r="V99" i="8"/>
  <c r="V80" i="8"/>
  <c r="V137" i="8"/>
  <c r="V94" i="8"/>
  <c r="V68" i="8"/>
  <c r="V122" i="8" s="1"/>
  <c r="V52" i="8"/>
  <c r="V51" i="8"/>
  <c r="T150" i="8"/>
  <c r="T26" i="8"/>
  <c r="T70" i="8"/>
  <c r="T138" i="8"/>
  <c r="T126" i="8"/>
  <c r="T94" i="8"/>
  <c r="T123" i="8" s="1"/>
  <c r="T63" i="8"/>
  <c r="T122" i="8" s="1"/>
  <c r="T51" i="8"/>
  <c r="T12" i="8"/>
  <c r="R154" i="8"/>
  <c r="R126" i="8"/>
  <c r="R103" i="8"/>
  <c r="R65" i="8"/>
  <c r="R74" i="8" s="1"/>
  <c r="P151" i="8"/>
  <c r="P126" i="8"/>
  <c r="P124" i="8"/>
  <c r="P98" i="8"/>
  <c r="P74" i="8"/>
  <c r="Z122" i="8" l="1"/>
  <c r="AD127" i="8"/>
  <c r="V123" i="8"/>
  <c r="V125" i="8" s="1"/>
  <c r="V127" i="8" s="1"/>
  <c r="T52" i="8"/>
  <c r="T53" i="8" s="1"/>
  <c r="AB122" i="8"/>
  <c r="AB123" i="8"/>
  <c r="X125" i="8"/>
  <c r="X127" i="8" s="1"/>
  <c r="V53" i="8"/>
  <c r="X53" i="8"/>
  <c r="AF53" i="8"/>
  <c r="AD53" i="8"/>
  <c r="T125" i="8"/>
  <c r="T127" i="8" s="1"/>
  <c r="Z125" i="8"/>
  <c r="Z127" i="8" s="1"/>
  <c r="Z53" i="8"/>
  <c r="AB53" i="8"/>
  <c r="R135" i="8"/>
  <c r="R95" i="8"/>
  <c r="R123" i="8" s="1"/>
  <c r="R61" i="8"/>
  <c r="R122" i="8" s="1"/>
  <c r="R125" i="8" s="1"/>
  <c r="R51" i="8"/>
  <c r="R8" i="8"/>
  <c r="R52" i="8" s="1"/>
  <c r="P136" i="8"/>
  <c r="P94" i="8"/>
  <c r="P123" i="8" s="1"/>
  <c r="P63" i="8"/>
  <c r="P122" i="8" s="1"/>
  <c r="P52" i="8"/>
  <c r="P51" i="8"/>
  <c r="N125" i="8"/>
  <c r="N99" i="8"/>
  <c r="N75" i="8"/>
  <c r="N79" i="8" s="1"/>
  <c r="N138" i="8"/>
  <c r="N94" i="8"/>
  <c r="N63" i="8"/>
  <c r="N52" i="8"/>
  <c r="N51" i="8"/>
  <c r="L52" i="8"/>
  <c r="L51" i="8"/>
  <c r="J135" i="8"/>
  <c r="J126" i="8"/>
  <c r="J98" i="8"/>
  <c r="J123" i="8" s="1"/>
  <c r="J77" i="8"/>
  <c r="J122" i="8" s="1"/>
  <c r="J52" i="8"/>
  <c r="J53" i="8" s="1"/>
  <c r="J51" i="8"/>
  <c r="H148" i="8"/>
  <c r="H126" i="8"/>
  <c r="H103" i="8"/>
  <c r="H72" i="8"/>
  <c r="H143" i="8"/>
  <c r="H99" i="8"/>
  <c r="H67" i="8"/>
  <c r="H122" i="8" s="1"/>
  <c r="H51" i="8"/>
  <c r="H13" i="8"/>
  <c r="H52" i="8" s="1"/>
  <c r="F144" i="8"/>
  <c r="F126" i="8"/>
  <c r="F97" i="8"/>
  <c r="F123" i="8" s="1"/>
  <c r="F76" i="8"/>
  <c r="D140" i="8"/>
  <c r="D126" i="8"/>
  <c r="D101" i="8"/>
  <c r="D66" i="8"/>
  <c r="D122" i="8" s="1"/>
  <c r="B146" i="8"/>
  <c r="B126" i="8"/>
  <c r="B124" i="8"/>
  <c r="B98" i="8"/>
  <c r="B123" i="8" s="1"/>
  <c r="B72" i="8"/>
  <c r="B134" i="8"/>
  <c r="B62" i="8"/>
  <c r="F62" i="8"/>
  <c r="F122" i="8" s="1"/>
  <c r="F125" i="8" s="1"/>
  <c r="F127" i="8" s="1"/>
  <c r="F52" i="8"/>
  <c r="F51" i="8"/>
  <c r="D52" i="8"/>
  <c r="D51" i="8"/>
  <c r="D95" i="8"/>
  <c r="D123" i="8" s="1"/>
  <c r="B52" i="8"/>
  <c r="B51" i="8"/>
  <c r="AB125" i="8" l="1"/>
  <c r="AB127" i="8" s="1"/>
  <c r="N123" i="8"/>
  <c r="D125" i="8"/>
  <c r="D127" i="8" s="1"/>
  <c r="H123" i="8"/>
  <c r="H125" i="8" s="1"/>
  <c r="H127" i="8" s="1"/>
  <c r="P125" i="8"/>
  <c r="P127" i="8" s="1"/>
  <c r="B122" i="8"/>
  <c r="B125" i="8" s="1"/>
  <c r="B127" i="8" s="1"/>
  <c r="N122" i="8"/>
  <c r="N124" i="8" s="1"/>
  <c r="N126" i="8" s="1"/>
  <c r="J125" i="8"/>
  <c r="J127" i="8" s="1"/>
  <c r="L53" i="8"/>
  <c r="P53" i="8"/>
  <c r="R53" i="8"/>
  <c r="R127" i="8"/>
  <c r="N53" i="8"/>
  <c r="H53" i="8"/>
  <c r="F53" i="8"/>
  <c r="D53" i="8"/>
  <c r="B53" i="8"/>
  <c r="BF142" i="7"/>
  <c r="BF126" i="7"/>
  <c r="BF63" i="7"/>
  <c r="BF122" i="7" s="1"/>
  <c r="BF95" i="7"/>
  <c r="BF123" i="7" s="1"/>
  <c r="BF52" i="7"/>
  <c r="BF51" i="7"/>
  <c r="BB144" i="7"/>
  <c r="BB126" i="7"/>
  <c r="BB102" i="7"/>
  <c r="BB69" i="7"/>
  <c r="BB52" i="7"/>
  <c r="BB51" i="7"/>
  <c r="BF125" i="7" l="1"/>
  <c r="BF127" i="7" s="1"/>
  <c r="BF53" i="7"/>
  <c r="BD135" i="7"/>
  <c r="BD126" i="7"/>
  <c r="BD124" i="7"/>
  <c r="BD51" i="7"/>
  <c r="BD95" i="7"/>
  <c r="BD98" i="7" s="1"/>
  <c r="BD123" i="7" s="1"/>
  <c r="BD64" i="7"/>
  <c r="BD69" i="7" s="1"/>
  <c r="BD122" i="7" s="1"/>
  <c r="BD10" i="7"/>
  <c r="BD52" i="7" s="1"/>
  <c r="BD125" i="7" l="1"/>
  <c r="BD127" i="7" s="1"/>
  <c r="BD53" i="7"/>
  <c r="AZ144" i="7"/>
  <c r="AZ126" i="7"/>
  <c r="AZ103" i="7"/>
  <c r="AZ106" i="7" s="1"/>
  <c r="AZ72" i="7"/>
  <c r="AZ122" i="7" s="1"/>
  <c r="BB65" i="7"/>
  <c r="BB122" i="7" s="1"/>
  <c r="BB98" i="7"/>
  <c r="BB123" i="7" s="1"/>
  <c r="BB139" i="7"/>
  <c r="AZ94" i="7"/>
  <c r="AZ123" i="7" s="1"/>
  <c r="AZ125" i="7" s="1"/>
  <c r="AZ52" i="7"/>
  <c r="AZ51" i="7"/>
  <c r="AX143" i="7"/>
  <c r="AX126" i="7"/>
  <c r="AX124" i="7"/>
  <c r="AX113" i="7"/>
  <c r="AX63" i="7"/>
  <c r="AX122" i="7" s="1"/>
  <c r="AV160" i="7"/>
  <c r="AV126" i="7"/>
  <c r="AV102" i="7"/>
  <c r="AV68" i="7"/>
  <c r="AX97" i="7"/>
  <c r="AX98" i="7" s="1"/>
  <c r="AX52" i="7"/>
  <c r="AX51" i="7"/>
  <c r="AX134" i="7"/>
  <c r="AV62" i="7"/>
  <c r="AV122" i="7" s="1"/>
  <c r="AV52" i="7"/>
  <c r="AV51" i="7"/>
  <c r="AV93" i="7"/>
  <c r="AV97" i="7" s="1"/>
  <c r="AV138" i="7"/>
  <c r="AV141" i="7" s="1"/>
  <c r="AT126" i="7"/>
  <c r="AT124" i="7"/>
  <c r="AT66" i="7"/>
  <c r="AT122" i="7" s="1"/>
  <c r="AT152" i="7"/>
  <c r="AT153" i="7" s="1"/>
  <c r="AZ127" i="7" l="1"/>
  <c r="AV123" i="7"/>
  <c r="BB125" i="7"/>
  <c r="BB127" i="7" s="1"/>
  <c r="AV53" i="7"/>
  <c r="AX123" i="7"/>
  <c r="AZ53" i="7"/>
  <c r="BB53" i="7"/>
  <c r="AV125" i="7"/>
  <c r="AV127" i="7" s="1"/>
  <c r="AX125" i="7"/>
  <c r="AX127" i="7" s="1"/>
  <c r="AX53" i="7"/>
  <c r="AT142" i="7"/>
  <c r="AT106" i="7"/>
  <c r="AT123" i="7" s="1"/>
  <c r="AT125" i="7" s="1"/>
  <c r="AT127" i="7" s="1"/>
  <c r="AT52" i="7"/>
  <c r="AT51" i="7"/>
  <c r="AR134" i="7"/>
  <c r="AR126" i="7"/>
  <c r="AR117" i="7"/>
  <c r="AR124" i="7" s="1"/>
  <c r="AR98" i="7"/>
  <c r="AR123" i="7" s="1"/>
  <c r="AR72" i="7"/>
  <c r="AR122" i="7" s="1"/>
  <c r="AR52" i="7"/>
  <c r="AR51" i="7"/>
  <c r="AP150" i="7"/>
  <c r="AP126" i="7"/>
  <c r="AP105" i="7"/>
  <c r="AP123" i="7" s="1"/>
  <c r="AP67" i="7"/>
  <c r="AP63" i="7"/>
  <c r="AP51" i="7"/>
  <c r="AP12" i="7"/>
  <c r="AP52" i="7" s="1"/>
  <c r="AP53" i="7" s="1"/>
  <c r="AP133" i="7"/>
  <c r="AP136" i="7" s="1"/>
  <c r="AN126" i="7"/>
  <c r="AN88" i="7"/>
  <c r="AN101" i="7"/>
  <c r="AN149" i="7"/>
  <c r="AN150" i="7" s="1"/>
  <c r="AN14" i="7"/>
  <c r="AN141" i="7"/>
  <c r="AN94" i="7"/>
  <c r="AN123" i="7" s="1"/>
  <c r="AN67" i="7"/>
  <c r="AN52" i="7"/>
  <c r="AN51" i="7"/>
  <c r="AN122" i="7" l="1"/>
  <c r="AP122" i="7"/>
  <c r="AP125" i="7" s="1"/>
  <c r="AP127" i="7" s="1"/>
  <c r="AR53" i="7"/>
  <c r="AN125" i="7"/>
  <c r="AN127" i="7" s="1"/>
  <c r="AR125" i="7"/>
  <c r="AR127" i="7" s="1"/>
  <c r="AN53" i="7"/>
  <c r="AT53" i="7"/>
  <c r="AL148" i="7"/>
  <c r="AL126" i="7"/>
  <c r="AL124" i="7"/>
  <c r="AL99" i="7"/>
  <c r="AL123" i="7" s="1"/>
  <c r="AL72" i="7"/>
  <c r="AL52" i="7"/>
  <c r="AL51" i="7"/>
  <c r="AL62" i="7"/>
  <c r="AL137" i="7"/>
  <c r="AJ68" i="7"/>
  <c r="AJ122" i="7" s="1"/>
  <c r="AJ144" i="7"/>
  <c r="AJ126" i="7"/>
  <c r="AJ97" i="7"/>
  <c r="AJ123" i="7" s="1"/>
  <c r="AH141" i="7"/>
  <c r="AJ135" i="7"/>
  <c r="AJ51" i="7"/>
  <c r="AH51" i="7"/>
  <c r="AF52" i="7"/>
  <c r="AF51" i="7"/>
  <c r="AD52" i="7"/>
  <c r="AD51" i="7"/>
  <c r="AJ10" i="7"/>
  <c r="AJ52" i="7" s="1"/>
  <c r="AL122" i="7" l="1"/>
  <c r="AL125" i="7" s="1"/>
  <c r="AL127" i="7" s="1"/>
  <c r="AJ125" i="7"/>
  <c r="AJ127" i="7" s="1"/>
  <c r="AF53" i="7"/>
  <c r="AL53" i="7"/>
  <c r="AJ53" i="7"/>
  <c r="AD53" i="7"/>
  <c r="AH99" i="7"/>
  <c r="AH23" i="7"/>
  <c r="AH52" i="7" s="1"/>
  <c r="AH53" i="7" s="1"/>
  <c r="AH64" i="7"/>
  <c r="AH61" i="7"/>
  <c r="AH67" i="7" s="1"/>
  <c r="AB126" i="7" l="1"/>
  <c r="AB124" i="7"/>
  <c r="AB77" i="7"/>
  <c r="H126" i="7" l="1"/>
  <c r="H124" i="7"/>
  <c r="H123" i="7"/>
  <c r="H70" i="7"/>
  <c r="H122" i="7" s="1"/>
  <c r="H125" i="7" s="1"/>
  <c r="AH123" i="7" l="1"/>
  <c r="AH122" i="7"/>
  <c r="AH125" i="7" l="1"/>
  <c r="AH127" i="7" s="1"/>
  <c r="AB140" i="7"/>
  <c r="AB96" i="7"/>
  <c r="AB123" i="7" s="1"/>
  <c r="AB70" i="7"/>
  <c r="AB122" i="7" s="1"/>
  <c r="AD137" i="7"/>
  <c r="AD126" i="7"/>
  <c r="AD97" i="7"/>
  <c r="AD123" i="7" s="1"/>
  <c r="AD73" i="7"/>
  <c r="AD122" i="7" s="1"/>
  <c r="AB52" i="7"/>
  <c r="AB51" i="7"/>
  <c r="Z149" i="7"/>
  <c r="Z126" i="7"/>
  <c r="Z124" i="7"/>
  <c r="Z101" i="7"/>
  <c r="Z68" i="7"/>
  <c r="Z24" i="7"/>
  <c r="Z52" i="7" s="1"/>
  <c r="Z63" i="7"/>
  <c r="Z139" i="7"/>
  <c r="Z94" i="7"/>
  <c r="Z123" i="7" s="1"/>
  <c r="Z61" i="7"/>
  <c r="Z51" i="7"/>
  <c r="X139" i="7"/>
  <c r="X126" i="7"/>
  <c r="X123" i="7"/>
  <c r="X75" i="7"/>
  <c r="X76" i="7" s="1"/>
  <c r="X52" i="7"/>
  <c r="X51" i="7"/>
  <c r="X66" i="7"/>
  <c r="AB125" i="7" l="1"/>
  <c r="X122" i="7"/>
  <c r="X125" i="7" s="1"/>
  <c r="X127" i="7" s="1"/>
  <c r="Z69" i="7"/>
  <c r="Z122" i="7" s="1"/>
  <c r="Z125" i="7" s="1"/>
  <c r="Z127" i="7" s="1"/>
  <c r="AD125" i="7"/>
  <c r="AD127" i="7" s="1"/>
  <c r="AB127" i="7"/>
  <c r="AB53" i="7"/>
  <c r="Z53" i="7"/>
  <c r="X53" i="7"/>
  <c r="L150" i="7"/>
  <c r="L126" i="7"/>
  <c r="L85" i="7"/>
  <c r="V76" i="7"/>
  <c r="V143" i="7"/>
  <c r="V153" i="7" s="1"/>
  <c r="T126" i="7"/>
  <c r="T78" i="7"/>
  <c r="V139" i="7"/>
  <c r="V63" i="7"/>
  <c r="V122" i="7" s="1"/>
  <c r="V125" i="7" s="1"/>
  <c r="V127" i="7" s="1"/>
  <c r="V52" i="7"/>
  <c r="V51" i="7"/>
  <c r="V53" i="7" l="1"/>
  <c r="T26" i="7"/>
  <c r="T150" i="7"/>
  <c r="T152" i="7" s="1"/>
  <c r="T14" i="7"/>
  <c r="T52" i="7" s="1"/>
  <c r="T62" i="7"/>
  <c r="T122" i="7" s="1"/>
  <c r="T125" i="7" s="1"/>
  <c r="T127" i="7" s="1"/>
  <c r="T51" i="7"/>
  <c r="R52" i="7"/>
  <c r="R51" i="7"/>
  <c r="P137" i="7"/>
  <c r="P126" i="7"/>
  <c r="P124" i="7"/>
  <c r="P84" i="7"/>
  <c r="P122" i="7" s="1"/>
  <c r="P52" i="7"/>
  <c r="P53" i="7" s="1"/>
  <c r="P51" i="7"/>
  <c r="N150" i="7"/>
  <c r="N126" i="7"/>
  <c r="N79" i="7"/>
  <c r="N143" i="7"/>
  <c r="N124" i="7"/>
  <c r="N73" i="7"/>
  <c r="N52" i="7"/>
  <c r="N51" i="7"/>
  <c r="L135" i="7"/>
  <c r="L66" i="7"/>
  <c r="L122" i="7" s="1"/>
  <c r="L125" i="7" s="1"/>
  <c r="L127" i="7" s="1"/>
  <c r="L52" i="7"/>
  <c r="L51" i="7"/>
  <c r="J150" i="7"/>
  <c r="J126" i="7"/>
  <c r="J79" i="7"/>
  <c r="J140" i="7"/>
  <c r="J64" i="7"/>
  <c r="J52" i="7"/>
  <c r="J51" i="7"/>
  <c r="H137" i="7"/>
  <c r="H127" i="7"/>
  <c r="H52" i="7"/>
  <c r="H51" i="7"/>
  <c r="N122" i="7" l="1"/>
  <c r="N125" i="7" s="1"/>
  <c r="N127" i="7" s="1"/>
  <c r="P125" i="7"/>
  <c r="P127" i="7" s="1"/>
  <c r="J122" i="7"/>
  <c r="J125" i="7" s="1"/>
  <c r="J127" i="7" s="1"/>
  <c r="T53" i="7"/>
  <c r="R53" i="7"/>
  <c r="L53" i="7"/>
  <c r="N53" i="7"/>
  <c r="J53" i="7"/>
  <c r="H53" i="7"/>
  <c r="F150" i="7"/>
  <c r="F126" i="7"/>
  <c r="F123" i="7"/>
  <c r="F68" i="7"/>
  <c r="F76" i="7" s="1"/>
  <c r="F136" i="7"/>
  <c r="F62" i="7"/>
  <c r="F52" i="7"/>
  <c r="F51" i="7"/>
  <c r="D52" i="7"/>
  <c r="D51" i="7"/>
  <c r="B136" i="7"/>
  <c r="B126" i="7"/>
  <c r="B117" i="7"/>
  <c r="B124" i="7" s="1"/>
  <c r="B101" i="7"/>
  <c r="B123" i="7" s="1"/>
  <c r="B72" i="7"/>
  <c r="B122" i="7" s="1"/>
  <c r="B52" i="7"/>
  <c r="B51" i="7"/>
  <c r="B53" i="7" l="1"/>
  <c r="D53" i="7"/>
  <c r="F122" i="7"/>
  <c r="F125" i="7" s="1"/>
  <c r="F127" i="7" s="1"/>
  <c r="F53" i="7"/>
  <c r="B125" i="7"/>
  <c r="B127" i="7" s="1"/>
  <c r="BH154" i="6"/>
  <c r="BH125" i="6"/>
  <c r="BH78" i="6"/>
  <c r="BH97" i="6"/>
  <c r="BH122" i="6" s="1"/>
  <c r="BE43" i="6"/>
  <c r="BH38" i="6"/>
  <c r="BH52" i="6" s="1"/>
  <c r="BH137" i="6"/>
  <c r="BH64" i="6"/>
  <c r="BH51" i="6"/>
  <c r="BF150" i="6"/>
  <c r="BF125" i="6"/>
  <c r="BF82" i="6"/>
  <c r="BF136" i="6"/>
  <c r="BF123" i="6"/>
  <c r="BF52" i="6"/>
  <c r="BF51" i="6"/>
  <c r="BF63" i="6"/>
  <c r="BF66" i="6" s="1"/>
  <c r="BD156" i="6"/>
  <c r="BD125" i="6"/>
  <c r="BD78" i="6"/>
  <c r="BD145" i="6"/>
  <c r="BD94" i="6"/>
  <c r="BD122" i="6" s="1"/>
  <c r="BD62" i="6"/>
  <c r="BD52" i="6"/>
  <c r="BD51" i="6"/>
  <c r="BB125" i="6"/>
  <c r="BB115" i="6"/>
  <c r="BB123" i="6" s="1"/>
  <c r="BB81" i="6"/>
  <c r="BB149" i="6"/>
  <c r="BB156" i="6" s="1"/>
  <c r="BB133" i="6"/>
  <c r="BB122" i="6"/>
  <c r="BB64" i="6"/>
  <c r="BB121" i="6" s="1"/>
  <c r="BB14" i="6"/>
  <c r="BB52" i="6"/>
  <c r="BB51" i="6"/>
  <c r="AZ147" i="6"/>
  <c r="AZ125" i="6"/>
  <c r="AZ96" i="6"/>
  <c r="AZ122" i="6" s="1"/>
  <c r="AZ75" i="6"/>
  <c r="AZ62" i="6"/>
  <c r="AZ52" i="6"/>
  <c r="AZ51" i="6"/>
  <c r="AX121" i="6"/>
  <c r="AX124" i="6" s="1"/>
  <c r="AX126" i="6" s="1"/>
  <c r="AX52" i="6"/>
  <c r="AX51" i="6"/>
  <c r="AV136" i="6"/>
  <c r="AV125" i="6"/>
  <c r="AV98" i="6"/>
  <c r="AV122" i="6" s="1"/>
  <c r="AV68" i="6"/>
  <c r="AV121" i="6" s="1"/>
  <c r="AV52" i="6"/>
  <c r="AV51" i="6"/>
  <c r="AT151" i="6"/>
  <c r="AT125" i="6"/>
  <c r="AT81" i="6"/>
  <c r="AR155" i="6"/>
  <c r="AR125" i="6"/>
  <c r="AR106" i="6"/>
  <c r="AR76" i="6"/>
  <c r="AT96" i="6"/>
  <c r="AT122" i="6" s="1"/>
  <c r="AT76" i="6"/>
  <c r="AT121" i="6" s="1"/>
  <c r="AT144" i="6"/>
  <c r="AT145" i="6" s="1"/>
  <c r="AT19" i="6"/>
  <c r="AT52" i="6" s="1"/>
  <c r="AT51" i="6"/>
  <c r="AR150" i="6"/>
  <c r="AR98" i="6"/>
  <c r="AR122" i="6" s="1"/>
  <c r="AR71" i="6"/>
  <c r="AR51" i="6"/>
  <c r="AR16" i="6"/>
  <c r="AR6" i="6"/>
  <c r="AP37" i="6"/>
  <c r="AP125" i="6"/>
  <c r="AP105" i="6"/>
  <c r="AP78" i="6"/>
  <c r="AP51" i="6"/>
  <c r="AP141" i="6"/>
  <c r="AP152" i="6" s="1"/>
  <c r="AP138" i="6"/>
  <c r="AP94" i="6"/>
  <c r="AP65" i="6"/>
  <c r="AP7" i="6"/>
  <c r="AN138" i="6"/>
  <c r="AN12" i="6"/>
  <c r="BH121" i="6" l="1"/>
  <c r="AP52" i="6"/>
  <c r="AP53" i="6" s="1"/>
  <c r="BD121" i="6"/>
  <c r="BD124" i="6" s="1"/>
  <c r="BD126" i="6" s="1"/>
  <c r="AP122" i="6"/>
  <c r="BF121" i="6"/>
  <c r="BF124" i="6" s="1"/>
  <c r="BF126" i="6" s="1"/>
  <c r="AR52" i="6"/>
  <c r="AR53" i="6" s="1"/>
  <c r="AX53" i="6"/>
  <c r="AZ53" i="6"/>
  <c r="BH124" i="6"/>
  <c r="BH126" i="6" s="1"/>
  <c r="AR121" i="6"/>
  <c r="AR124" i="6" s="1"/>
  <c r="AR126" i="6" s="1"/>
  <c r="AZ121" i="6"/>
  <c r="AZ124" i="6" s="1"/>
  <c r="AZ126" i="6" s="1"/>
  <c r="BB124" i="6"/>
  <c r="BB126" i="6" s="1"/>
  <c r="AP121" i="6"/>
  <c r="AV53" i="6"/>
  <c r="AV124" i="6"/>
  <c r="AV126" i="6" s="1"/>
  <c r="BH53" i="6"/>
  <c r="BF53" i="6"/>
  <c r="BD53" i="6"/>
  <c r="BB53" i="6"/>
  <c r="AT124" i="6"/>
  <c r="AT126" i="6" s="1"/>
  <c r="AT53" i="6"/>
  <c r="AN125" i="6"/>
  <c r="AN77" i="6"/>
  <c r="AL125" i="6"/>
  <c r="AL123" i="6"/>
  <c r="AL95" i="6"/>
  <c r="AL122" i="6" s="1"/>
  <c r="AL73" i="6"/>
  <c r="AL12" i="6"/>
  <c r="AL136" i="6"/>
  <c r="AL148" i="6" s="1"/>
  <c r="AN123" i="6"/>
  <c r="AN97" i="6"/>
  <c r="AN122" i="6" s="1"/>
  <c r="AN73" i="6"/>
  <c r="AN52" i="6"/>
  <c r="AN51" i="6"/>
  <c r="AL63" i="6"/>
  <c r="AL51" i="6"/>
  <c r="AL7" i="6"/>
  <c r="AJ52" i="6"/>
  <c r="AJ51" i="6"/>
  <c r="AH125" i="6"/>
  <c r="AH96" i="6"/>
  <c r="AH122" i="6" s="1"/>
  <c r="AH71" i="6"/>
  <c r="AH121" i="6" s="1"/>
  <c r="AH51" i="6"/>
  <c r="AH131" i="6"/>
  <c r="AH135" i="6" s="1"/>
  <c r="AH6" i="6"/>
  <c r="AH52" i="6" s="1"/>
  <c r="AF141" i="6"/>
  <c r="AF125" i="6"/>
  <c r="AF96" i="6"/>
  <c r="AF122" i="6" s="1"/>
  <c r="AF52" i="6"/>
  <c r="AD52" i="6"/>
  <c r="AB52" i="6"/>
  <c r="Z52" i="6"/>
  <c r="AF68" i="6"/>
  <c r="AF77" i="6" s="1"/>
  <c r="AF133" i="6"/>
  <c r="AF63" i="6"/>
  <c r="AF51" i="6"/>
  <c r="AD150" i="6"/>
  <c r="AD125" i="6"/>
  <c r="AD123" i="6"/>
  <c r="AD95" i="6"/>
  <c r="AD122" i="6" s="1"/>
  <c r="AD77" i="6"/>
  <c r="AD51" i="6"/>
  <c r="AD133" i="6"/>
  <c r="AD62" i="6"/>
  <c r="AB144" i="6"/>
  <c r="AB76" i="6"/>
  <c r="AB125" i="6"/>
  <c r="AB115" i="6"/>
  <c r="AB123" i="6" s="1"/>
  <c r="AB51" i="6"/>
  <c r="V121" i="6"/>
  <c r="V123" i="6"/>
  <c r="V122" i="6"/>
  <c r="V52" i="6"/>
  <c r="V51" i="6"/>
  <c r="Z155" i="6"/>
  <c r="Z125" i="6"/>
  <c r="Z115" i="6"/>
  <c r="Z123" i="6" s="1"/>
  <c r="Z101" i="6"/>
  <c r="Z67" i="6"/>
  <c r="Z121" i="6" s="1"/>
  <c r="AB63" i="6"/>
  <c r="Z139" i="6"/>
  <c r="Z95" i="6"/>
  <c r="Z122" i="6" s="1"/>
  <c r="Z51" i="6"/>
  <c r="X142" i="6"/>
  <c r="X125" i="6"/>
  <c r="X123" i="6"/>
  <c r="X98" i="6"/>
  <c r="X76" i="6"/>
  <c r="X133" i="6"/>
  <c r="X94" i="6"/>
  <c r="X62" i="6"/>
  <c r="X52" i="6"/>
  <c r="X51" i="6"/>
  <c r="T138" i="6"/>
  <c r="T125" i="6"/>
  <c r="T104" i="6"/>
  <c r="T122" i="6" s="1"/>
  <c r="T72" i="6"/>
  <c r="T121" i="6" s="1"/>
  <c r="T52" i="6"/>
  <c r="T51" i="6"/>
  <c r="R144" i="6"/>
  <c r="R125" i="6"/>
  <c r="R102" i="6"/>
  <c r="R71" i="6"/>
  <c r="R27" i="6"/>
  <c r="R52" i="6" s="1"/>
  <c r="R95" i="6"/>
  <c r="R61" i="6"/>
  <c r="R51" i="6"/>
  <c r="P143" i="6"/>
  <c r="P125" i="6"/>
  <c r="P103" i="6"/>
  <c r="P73" i="6"/>
  <c r="P24" i="6"/>
  <c r="P52" i="6" s="1"/>
  <c r="P136" i="6"/>
  <c r="P94" i="6"/>
  <c r="P122" i="6" s="1"/>
  <c r="P64" i="6"/>
  <c r="P121" i="6" s="1"/>
  <c r="P51" i="6"/>
  <c r="N148" i="6"/>
  <c r="N125" i="6"/>
  <c r="N101" i="6"/>
  <c r="N141" i="6"/>
  <c r="N123" i="6"/>
  <c r="N96" i="6"/>
  <c r="N66" i="6"/>
  <c r="N121" i="6" s="1"/>
  <c r="N52" i="6"/>
  <c r="N51" i="6"/>
  <c r="L142" i="6"/>
  <c r="L125" i="6"/>
  <c r="L122" i="6"/>
  <c r="L76" i="6"/>
  <c r="L135" i="6"/>
  <c r="L66" i="6"/>
  <c r="L52" i="6"/>
  <c r="L51" i="6"/>
  <c r="J125" i="6"/>
  <c r="J105" i="6"/>
  <c r="J138" i="6"/>
  <c r="J94" i="6"/>
  <c r="J122" i="6" s="1"/>
  <c r="J71" i="6"/>
  <c r="J121" i="6" s="1"/>
  <c r="J52" i="6"/>
  <c r="J51" i="6"/>
  <c r="H52" i="6"/>
  <c r="H51" i="6"/>
  <c r="H122" i="6"/>
  <c r="H124" i="6" s="1"/>
  <c r="H126" i="6" s="1"/>
  <c r="D138" i="6"/>
  <c r="D125" i="6"/>
  <c r="D72" i="6"/>
  <c r="F140" i="6"/>
  <c r="F125" i="6"/>
  <c r="F115" i="6"/>
  <c r="F123" i="6" s="1"/>
  <c r="F105" i="6"/>
  <c r="F122" i="6" s="1"/>
  <c r="F62" i="6"/>
  <c r="F121" i="6" s="1"/>
  <c r="F52" i="6"/>
  <c r="F51" i="6"/>
  <c r="AF121" i="6" l="1"/>
  <c r="AF124" i="6" s="1"/>
  <c r="AF126" i="6" s="1"/>
  <c r="AH53" i="6"/>
  <c r="F53" i="6"/>
  <c r="P124" i="6"/>
  <c r="P126" i="6" s="1"/>
  <c r="L121" i="6"/>
  <c r="AP124" i="6"/>
  <c r="AP126" i="6" s="1"/>
  <c r="AD121" i="6"/>
  <c r="AD124" i="6" s="1"/>
  <c r="AD126" i="6" s="1"/>
  <c r="AF53" i="6"/>
  <c r="AL121" i="6"/>
  <c r="V53" i="6"/>
  <c r="AB53" i="6"/>
  <c r="N122" i="6"/>
  <c r="N124" i="6" s="1"/>
  <c r="N126" i="6" s="1"/>
  <c r="R121" i="6"/>
  <c r="F124" i="6"/>
  <c r="F126" i="6" s="1"/>
  <c r="R53" i="6"/>
  <c r="AB121" i="6"/>
  <c r="AB124" i="6" s="1"/>
  <c r="AB126" i="6" s="1"/>
  <c r="AH124" i="6"/>
  <c r="AH126" i="6" s="1"/>
  <c r="AN121" i="6"/>
  <c r="AN124" i="6" s="1"/>
  <c r="AN126" i="6" s="1"/>
  <c r="AL52" i="6"/>
  <c r="AL53" i="6" s="1"/>
  <c r="J124" i="6"/>
  <c r="J126" i="6" s="1"/>
  <c r="X121" i="6"/>
  <c r="X122" i="6"/>
  <c r="AJ53" i="6"/>
  <c r="L124" i="6"/>
  <c r="L126" i="6" s="1"/>
  <c r="R122" i="6"/>
  <c r="T124" i="6"/>
  <c r="T126" i="6" s="1"/>
  <c r="Z124" i="6"/>
  <c r="Z126" i="6" s="1"/>
  <c r="R124" i="6"/>
  <c r="R126" i="6" s="1"/>
  <c r="H53" i="6"/>
  <c r="AD53" i="6"/>
  <c r="AN53" i="6"/>
  <c r="AL124" i="6"/>
  <c r="AL126" i="6" s="1"/>
  <c r="V124" i="6"/>
  <c r="V126" i="6" s="1"/>
  <c r="Z53" i="6"/>
  <c r="X53" i="6"/>
  <c r="T53" i="6"/>
  <c r="P53" i="6"/>
  <c r="N53" i="6"/>
  <c r="L53" i="6"/>
  <c r="J53" i="6"/>
  <c r="D134" i="6"/>
  <c r="D100" i="6"/>
  <c r="D122" i="6" s="1"/>
  <c r="D65" i="6"/>
  <c r="D121" i="6" s="1"/>
  <c r="D51" i="6"/>
  <c r="D124" i="6" l="1"/>
  <c r="D126" i="6" s="1"/>
  <c r="X124" i="6"/>
  <c r="X126" i="6" s="1"/>
  <c r="D15" i="6"/>
  <c r="D52" i="6" s="1"/>
  <c r="D53" i="6" s="1"/>
  <c r="B145" i="6" l="1"/>
  <c r="B134" i="6"/>
  <c r="B125" i="6"/>
  <c r="B100" i="6"/>
  <c r="B95" i="6"/>
  <c r="B69" i="6"/>
  <c r="B74" i="6" s="1"/>
  <c r="B64" i="6"/>
  <c r="B51" i="6"/>
  <c r="B13" i="6"/>
  <c r="B12" i="6"/>
  <c r="BH151" i="5"/>
  <c r="BH125" i="5"/>
  <c r="BH99" i="5"/>
  <c r="BH122" i="5" s="1"/>
  <c r="BH79" i="5"/>
  <c r="BH76" i="5"/>
  <c r="BH81" i="5" s="1"/>
  <c r="BF151" i="5"/>
  <c r="BF125" i="5"/>
  <c r="BF123" i="5"/>
  <c r="BF105" i="5"/>
  <c r="BF106" i="5" s="1"/>
  <c r="BF61" i="5"/>
  <c r="BF121" i="5" s="1"/>
  <c r="BF52" i="5"/>
  <c r="BH134" i="5"/>
  <c r="BH63" i="5"/>
  <c r="BH52" i="5"/>
  <c r="BH51" i="5"/>
  <c r="BF133" i="5"/>
  <c r="BF94" i="5"/>
  <c r="BF51" i="5"/>
  <c r="BD154" i="5"/>
  <c r="BD125" i="5"/>
  <c r="BD77" i="5"/>
  <c r="BD145" i="5"/>
  <c r="BD123" i="5"/>
  <c r="BD95" i="5"/>
  <c r="BD122" i="5" s="1"/>
  <c r="BD52" i="5"/>
  <c r="BD51" i="5"/>
  <c r="BD67" i="5"/>
  <c r="BD66" i="5"/>
  <c r="BD53" i="5" l="1"/>
  <c r="BF122" i="5"/>
  <c r="BF124" i="5" s="1"/>
  <c r="BF126" i="5" s="1"/>
  <c r="BD72" i="5"/>
  <c r="BD121" i="5" s="1"/>
  <c r="BD124" i="5" s="1"/>
  <c r="BD126" i="5" s="1"/>
  <c r="BH121" i="5"/>
  <c r="BH124" i="5" s="1"/>
  <c r="BH126" i="5" s="1"/>
  <c r="B122" i="6"/>
  <c r="B52" i="6"/>
  <c r="B53" i="6" s="1"/>
  <c r="B121" i="6"/>
  <c r="BH53" i="5"/>
  <c r="BF53" i="5"/>
  <c r="BB52" i="5"/>
  <c r="BB51" i="5"/>
  <c r="AX150" i="5"/>
  <c r="AX125" i="5"/>
  <c r="AX68" i="5"/>
  <c r="AZ135" i="5"/>
  <c r="AZ125" i="5"/>
  <c r="AZ122" i="5"/>
  <c r="AZ71" i="5"/>
  <c r="AZ121" i="5" s="1"/>
  <c r="AZ124" i="5" s="1"/>
  <c r="AZ52" i="5"/>
  <c r="AZ51" i="5"/>
  <c r="AX142" i="5"/>
  <c r="AX123" i="5"/>
  <c r="AX97" i="5"/>
  <c r="AX122" i="5" s="1"/>
  <c r="AX64" i="5"/>
  <c r="AX52" i="5"/>
  <c r="AX51" i="5"/>
  <c r="AV149" i="5"/>
  <c r="AV125" i="5"/>
  <c r="AV68" i="5"/>
  <c r="AV73" i="5" s="1"/>
  <c r="AV95" i="5"/>
  <c r="AV99" i="5" s="1"/>
  <c r="AV122" i="5" s="1"/>
  <c r="AV138" i="5"/>
  <c r="AV61" i="5"/>
  <c r="AV52" i="5"/>
  <c r="AV51" i="5"/>
  <c r="AT151" i="5"/>
  <c r="AT95" i="5"/>
  <c r="AT73" i="5"/>
  <c r="AT75" i="5" s="1"/>
  <c r="BB53" i="5" l="1"/>
  <c r="AV121" i="5"/>
  <c r="AX121" i="5"/>
  <c r="AZ126" i="5"/>
  <c r="B124" i="6"/>
  <c r="B126" i="6" s="1"/>
  <c r="AV124" i="5"/>
  <c r="AV126" i="5" s="1"/>
  <c r="AX124" i="5"/>
  <c r="AX126" i="5" s="1"/>
  <c r="AZ53" i="5"/>
  <c r="AX53" i="5"/>
  <c r="AV53" i="5"/>
  <c r="AT144" i="5"/>
  <c r="AT61" i="5"/>
  <c r="AT122" i="5" s="1"/>
  <c r="AT124" i="5" s="1"/>
  <c r="AT126" i="5" s="1"/>
  <c r="AT52" i="5"/>
  <c r="AT51" i="5"/>
  <c r="AR145" i="5"/>
  <c r="AR134" i="5"/>
  <c r="AR125" i="5"/>
  <c r="AR104" i="5"/>
  <c r="AR103" i="5"/>
  <c r="AR72" i="5"/>
  <c r="AR121" i="5" s="1"/>
  <c r="AR94" i="5"/>
  <c r="AR52" i="5"/>
  <c r="AR51" i="5"/>
  <c r="AP140" i="5"/>
  <c r="AP125" i="5"/>
  <c r="AP123" i="5"/>
  <c r="AP111" i="5"/>
  <c r="AP122" i="5" s="1"/>
  <c r="AP70" i="5"/>
  <c r="AL142" i="5"/>
  <c r="AL125" i="5"/>
  <c r="AL29" i="5"/>
  <c r="AP135" i="5"/>
  <c r="AP62" i="5"/>
  <c r="AP52" i="5"/>
  <c r="AP51" i="5"/>
  <c r="AN133" i="5"/>
  <c r="AN125" i="5"/>
  <c r="AN99" i="5"/>
  <c r="AN122" i="5" s="1"/>
  <c r="AN69" i="5"/>
  <c r="AN121" i="5" s="1"/>
  <c r="AN52" i="5"/>
  <c r="AN51" i="5"/>
  <c r="AL137" i="5"/>
  <c r="AL114" i="5"/>
  <c r="AL123" i="5" s="1"/>
  <c r="AL103" i="5"/>
  <c r="AL122" i="5" s="1"/>
  <c r="AL66" i="5"/>
  <c r="AL121" i="5" s="1"/>
  <c r="AL51" i="5"/>
  <c r="AL7" i="5"/>
  <c r="AJ125" i="5"/>
  <c r="AJ101" i="5"/>
  <c r="AJ142" i="5"/>
  <c r="AJ79" i="5"/>
  <c r="AJ19" i="5"/>
  <c r="AJ16" i="5"/>
  <c r="AJ133" i="5"/>
  <c r="AJ94" i="5"/>
  <c r="AJ61" i="5"/>
  <c r="AJ51" i="5"/>
  <c r="AH125" i="5"/>
  <c r="AH69" i="5"/>
  <c r="AH146" i="5"/>
  <c r="AH142" i="5"/>
  <c r="AH99" i="5"/>
  <c r="AH122" i="5" s="1"/>
  <c r="AH62" i="5"/>
  <c r="AH121" i="5" s="1"/>
  <c r="AH51" i="5"/>
  <c r="AH11" i="5"/>
  <c r="AH52" i="5" s="1"/>
  <c r="AF141" i="5"/>
  <c r="AF125" i="5"/>
  <c r="AF123" i="5"/>
  <c r="AF106" i="5"/>
  <c r="AF134" i="5"/>
  <c r="AF92" i="5"/>
  <c r="AF94" i="5" s="1"/>
  <c r="AF122" i="5" s="1"/>
  <c r="AF61" i="5"/>
  <c r="AF121" i="5" s="1"/>
  <c r="AF51" i="5"/>
  <c r="AF8" i="5"/>
  <c r="AF52" i="5" s="1"/>
  <c r="AD156" i="5"/>
  <c r="AD125" i="5"/>
  <c r="AD123" i="5"/>
  <c r="AD64" i="5"/>
  <c r="AD121" i="5" s="1"/>
  <c r="AD106" i="5"/>
  <c r="AD134" i="5"/>
  <c r="AD94" i="5"/>
  <c r="AD51" i="5"/>
  <c r="AD8" i="5"/>
  <c r="AD52" i="5" s="1"/>
  <c r="AB95" i="5"/>
  <c r="AB122" i="5" s="1"/>
  <c r="AB124" i="5" s="1"/>
  <c r="AB126" i="5" s="1"/>
  <c r="Z52" i="5"/>
  <c r="Z51" i="5"/>
  <c r="Z125" i="5"/>
  <c r="Z114" i="5"/>
  <c r="Z122" i="5" s="1"/>
  <c r="Z62" i="5"/>
  <c r="Z121" i="5" s="1"/>
  <c r="Z133" i="5"/>
  <c r="Z135" i="5" s="1"/>
  <c r="X141" i="5"/>
  <c r="X125" i="5"/>
  <c r="X68" i="5"/>
  <c r="X121" i="5" s="1"/>
  <c r="X52" i="5"/>
  <c r="X51" i="5"/>
  <c r="X95" i="5"/>
  <c r="X100" i="5" s="1"/>
  <c r="X122" i="5" s="1"/>
  <c r="AJ121" i="5" l="1"/>
  <c r="Z124" i="5"/>
  <c r="Z126" i="5" s="1"/>
  <c r="AP121" i="5"/>
  <c r="AP124" i="5" s="1"/>
  <c r="AP126" i="5" s="1"/>
  <c r="AJ122" i="5"/>
  <c r="AJ124" i="5" s="1"/>
  <c r="AJ126" i="5" s="1"/>
  <c r="AN124" i="5"/>
  <c r="AN126" i="5" s="1"/>
  <c r="AH124" i="5"/>
  <c r="AH126" i="5" s="1"/>
  <c r="X124" i="5"/>
  <c r="X126" i="5" s="1"/>
  <c r="Z53" i="5"/>
  <c r="AD122" i="5"/>
  <c r="AD124" i="5" s="1"/>
  <c r="AD126" i="5" s="1"/>
  <c r="AJ52" i="5"/>
  <c r="AJ53" i="5" s="1"/>
  <c r="AP53" i="5"/>
  <c r="AR105" i="5"/>
  <c r="X53" i="5"/>
  <c r="AL52" i="5"/>
  <c r="AF124" i="5"/>
  <c r="AF126" i="5" s="1"/>
  <c r="AL124" i="5"/>
  <c r="AL126" i="5" s="1"/>
  <c r="AR122" i="5"/>
  <c r="AR124" i="5" s="1"/>
  <c r="AR126" i="5" s="1"/>
  <c r="AN53" i="5"/>
  <c r="AT53" i="5"/>
  <c r="AR53" i="5"/>
  <c r="AL53" i="5"/>
  <c r="AH53" i="5"/>
  <c r="AF53" i="5"/>
  <c r="AD53" i="5"/>
  <c r="V141" i="5"/>
  <c r="V125" i="5"/>
  <c r="V96" i="5"/>
  <c r="V122" i="5" s="1"/>
  <c r="V67" i="5"/>
  <c r="V121" i="5" s="1"/>
  <c r="V52" i="5"/>
  <c r="V51" i="5"/>
  <c r="T143" i="5"/>
  <c r="T125" i="5"/>
  <c r="T95" i="5"/>
  <c r="T122" i="5" s="1"/>
  <c r="T71" i="5"/>
  <c r="T121" i="5" s="1"/>
  <c r="T52" i="5"/>
  <c r="T51" i="5"/>
  <c r="R22" i="5"/>
  <c r="R52" i="5" s="1"/>
  <c r="R149" i="5"/>
  <c r="R125" i="5"/>
  <c r="R117" i="5"/>
  <c r="R123" i="5" s="1"/>
  <c r="R99" i="5"/>
  <c r="R122" i="5" s="1"/>
  <c r="R51" i="5"/>
  <c r="R63" i="5"/>
  <c r="R71" i="5" s="1"/>
  <c r="R121" i="5" s="1"/>
  <c r="P17" i="5"/>
  <c r="P52" i="5" s="1"/>
  <c r="P137" i="5"/>
  <c r="P125" i="5"/>
  <c r="P98" i="5"/>
  <c r="P122" i="5" s="1"/>
  <c r="P68" i="5"/>
  <c r="P121" i="5" s="1"/>
  <c r="P51" i="5"/>
  <c r="T124" i="5" l="1"/>
  <c r="T126" i="5" s="1"/>
  <c r="V124" i="5"/>
  <c r="V126" i="5" s="1"/>
  <c r="V53" i="5"/>
  <c r="P124" i="5"/>
  <c r="P126" i="5" s="1"/>
  <c r="R124" i="5"/>
  <c r="R126" i="5" s="1"/>
  <c r="T53" i="5"/>
  <c r="R53" i="5"/>
  <c r="P53" i="5"/>
  <c r="J146" i="5"/>
  <c r="N122" i="5"/>
  <c r="N124" i="5" s="1"/>
  <c r="N126" i="5" s="1"/>
  <c r="L144" i="5"/>
  <c r="L125" i="5"/>
  <c r="L107" i="5"/>
  <c r="L122" i="5" s="1"/>
  <c r="L65" i="5"/>
  <c r="L121" i="5" s="1"/>
  <c r="L52" i="5"/>
  <c r="L51" i="5"/>
  <c r="L124" i="5" l="1"/>
  <c r="L126" i="5" s="1"/>
  <c r="L53" i="5"/>
  <c r="J125" i="5"/>
  <c r="J116" i="5"/>
  <c r="J123" i="5" s="1"/>
  <c r="J99" i="5"/>
  <c r="J122" i="5" s="1"/>
  <c r="J74" i="5"/>
  <c r="J121" i="5" s="1"/>
  <c r="J52" i="5"/>
  <c r="J51" i="5"/>
  <c r="H146" i="5"/>
  <c r="H125" i="5"/>
  <c r="J124" i="5" l="1"/>
  <c r="J126" i="5" s="1"/>
  <c r="J53" i="5"/>
  <c r="H96" i="5"/>
  <c r="H122" i="5" s="1"/>
  <c r="H73" i="5"/>
  <c r="H74" i="5" s="1"/>
  <c r="H121" i="5" s="1"/>
  <c r="H52" i="5"/>
  <c r="H51" i="5"/>
  <c r="F150" i="5"/>
  <c r="F125" i="5"/>
  <c r="F123" i="5"/>
  <c r="F98" i="5"/>
  <c r="F122" i="5" s="1"/>
  <c r="F52" i="5"/>
  <c r="F51" i="5"/>
  <c r="F70" i="5"/>
  <c r="F76" i="5" s="1"/>
  <c r="F121" i="5" s="1"/>
  <c r="H53" i="5" l="1"/>
  <c r="F53" i="5"/>
  <c r="F124" i="5"/>
  <c r="F126" i="5" s="1"/>
  <c r="H124" i="5"/>
  <c r="H126" i="5" s="1"/>
  <c r="AZ133" i="4"/>
  <c r="AZ121" i="4"/>
  <c r="AZ124" i="4" s="1"/>
  <c r="AZ126" i="4" s="1"/>
  <c r="AZ52" i="4"/>
  <c r="AZ51" i="4"/>
  <c r="D143" i="5"/>
  <c r="D104" i="5"/>
  <c r="D122" i="5" s="1"/>
  <c r="D124" i="5" s="1"/>
  <c r="D126" i="5" s="1"/>
  <c r="D52" i="5"/>
  <c r="D51" i="5"/>
  <c r="D133" i="5"/>
  <c r="D142" i="5" s="1"/>
  <c r="B61" i="5"/>
  <c r="B121" i="5" s="1"/>
  <c r="B124" i="5" s="1"/>
  <c r="B126" i="5" s="1"/>
  <c r="B52" i="5"/>
  <c r="B51" i="5"/>
  <c r="AX52" i="4"/>
  <c r="AX51" i="4"/>
  <c r="AX94" i="4"/>
  <c r="AX122" i="4" s="1"/>
  <c r="AX124" i="4" s="1"/>
  <c r="AX126" i="4" s="1"/>
  <c r="AT150" i="4"/>
  <c r="AT52" i="4"/>
  <c r="AT51" i="4"/>
  <c r="AT101" i="4"/>
  <c r="AT122" i="4" s="1"/>
  <c r="AT125" i="4"/>
  <c r="AT115" i="4"/>
  <c r="AT123" i="4" s="1"/>
  <c r="AT65" i="4"/>
  <c r="AT74" i="4" s="1"/>
  <c r="AT121" i="4" s="1"/>
  <c r="AV146" i="4"/>
  <c r="AV133" i="4"/>
  <c r="AV145" i="4" s="1"/>
  <c r="AV125" i="4"/>
  <c r="AV123" i="4"/>
  <c r="AV98" i="4"/>
  <c r="AV122" i="4" s="1"/>
  <c r="AV75" i="4"/>
  <c r="AV121" i="4" s="1"/>
  <c r="AV52" i="4"/>
  <c r="AV51" i="4"/>
  <c r="AR146" i="4"/>
  <c r="AR148" i="4" s="1"/>
  <c r="AR125" i="4"/>
  <c r="AR94" i="4"/>
  <c r="AR122" i="4" s="1"/>
  <c r="AR75" i="4"/>
  <c r="AR121" i="4" s="1"/>
  <c r="AR51" i="4"/>
  <c r="AR15" i="4"/>
  <c r="AR52" i="4" s="1"/>
  <c r="AP142" i="4"/>
  <c r="AP125" i="4"/>
  <c r="AP122" i="4"/>
  <c r="AP115" i="4"/>
  <c r="AP123" i="4" s="1"/>
  <c r="AP67" i="4"/>
  <c r="AP121" i="4" s="1"/>
  <c r="AP51" i="4"/>
  <c r="AP16" i="4"/>
  <c r="AP52" i="4" s="1"/>
  <c r="AN23" i="4"/>
  <c r="AN52" i="4" s="1"/>
  <c r="AN153" i="4"/>
  <c r="AN125" i="4"/>
  <c r="AN123" i="4"/>
  <c r="AN51" i="4"/>
  <c r="AN65" i="4"/>
  <c r="AN121" i="4" s="1"/>
  <c r="AN102" i="4"/>
  <c r="AN122" i="4" s="1"/>
  <c r="AL125" i="4"/>
  <c r="AL100" i="4"/>
  <c r="AL122" i="4" s="1"/>
  <c r="AL68" i="4"/>
  <c r="AL121" i="4" s="1"/>
  <c r="AL52" i="4"/>
  <c r="AL51" i="4"/>
  <c r="AL138" i="4"/>
  <c r="AL145" i="4" s="1"/>
  <c r="AJ137" i="4"/>
  <c r="AJ125" i="4"/>
  <c r="AJ105" i="4"/>
  <c r="AJ122" i="4" s="1"/>
  <c r="AJ68" i="4"/>
  <c r="AJ121" i="4" s="1"/>
  <c r="AJ52" i="4"/>
  <c r="AJ51" i="4"/>
  <c r="AH146" i="4"/>
  <c r="AH125" i="4"/>
  <c r="AH103" i="4"/>
  <c r="AH122" i="4" s="1"/>
  <c r="AH73" i="4"/>
  <c r="AH121" i="4" s="1"/>
  <c r="AH52" i="4"/>
  <c r="AH51" i="4"/>
  <c r="AF139" i="4"/>
  <c r="AF125" i="4"/>
  <c r="AF117" i="4"/>
  <c r="AF123" i="4" s="1"/>
  <c r="AF100" i="4"/>
  <c r="AF122" i="4" s="1"/>
  <c r="AF73" i="4"/>
  <c r="AF121" i="4" s="1"/>
  <c r="AF51" i="4"/>
  <c r="AF146" i="4"/>
  <c r="AF25" i="4"/>
  <c r="AF52" i="4" s="1"/>
  <c r="AH53" i="4" l="1"/>
  <c r="AN53" i="4"/>
  <c r="AV147" i="4"/>
  <c r="AH124" i="4"/>
  <c r="AH126" i="4" s="1"/>
  <c r="AZ53" i="4"/>
  <c r="AL124" i="4"/>
  <c r="AL126" i="4" s="1"/>
  <c r="AT53" i="4"/>
  <c r="AF124" i="4"/>
  <c r="AF126" i="4" s="1"/>
  <c r="AN124" i="4"/>
  <c r="AN126" i="4" s="1"/>
  <c r="AP124" i="4"/>
  <c r="AP126" i="4" s="1"/>
  <c r="AF53" i="4"/>
  <c r="AF147" i="4"/>
  <c r="AJ53" i="4"/>
  <c r="AR53" i="4"/>
  <c r="AR124" i="4"/>
  <c r="AR126" i="4" s="1"/>
  <c r="AT124" i="4"/>
  <c r="AT126" i="4" s="1"/>
  <c r="AJ124" i="4"/>
  <c r="AJ126" i="4" s="1"/>
  <c r="AP53" i="4"/>
  <c r="AV53" i="4"/>
  <c r="AX53" i="4"/>
  <c r="D53" i="5"/>
  <c r="B53" i="5"/>
  <c r="AV124" i="4"/>
  <c r="AV126" i="4" s="1"/>
  <c r="AL53" i="4"/>
  <c r="AB150" i="4"/>
  <c r="AB125" i="4"/>
  <c r="AB98" i="4"/>
  <c r="AB123" i="4" s="1"/>
  <c r="AB80" i="4"/>
  <c r="AB122" i="4" s="1"/>
  <c r="AB124" i="4" s="1"/>
  <c r="AB126" i="4" s="1"/>
  <c r="AD125" i="4"/>
  <c r="AD97" i="4"/>
  <c r="AD122" i="4" s="1"/>
  <c r="AD81" i="4"/>
  <c r="AD121" i="4" s="1"/>
  <c r="AD52" i="4"/>
  <c r="AD51" i="4"/>
  <c r="AB52" i="4"/>
  <c r="AB51" i="4"/>
  <c r="AD124" i="4" l="1"/>
  <c r="AD126" i="4" s="1"/>
  <c r="AB53" i="4"/>
  <c r="AD53" i="4"/>
  <c r="AD137" i="4"/>
  <c r="AD145" i="4" s="1"/>
  <c r="AB132" i="4"/>
  <c r="AB147" i="4" s="1"/>
  <c r="Z145" i="4"/>
  <c r="Z125" i="4"/>
  <c r="Z94" i="4"/>
  <c r="Z123" i="4" s="1"/>
  <c r="Z73" i="4"/>
  <c r="Z122" i="4" s="1"/>
  <c r="Z52" i="4"/>
  <c r="Z51" i="4"/>
  <c r="Z53" i="4" l="1"/>
  <c r="Z124" i="4"/>
  <c r="Z126" i="4" s="1"/>
  <c r="V75" i="4"/>
  <c r="V97" i="4"/>
  <c r="V52" i="4"/>
  <c r="V51" i="4"/>
  <c r="X52" i="4"/>
  <c r="X51" i="4"/>
  <c r="X122" i="4"/>
  <c r="X124" i="4" s="1"/>
  <c r="X126" i="4" s="1"/>
  <c r="T153" i="4"/>
  <c r="T125" i="4"/>
  <c r="T85" i="4"/>
  <c r="T25" i="4"/>
  <c r="X53" i="4" l="1"/>
  <c r="V53" i="4"/>
  <c r="T137" i="4"/>
  <c r="T94" i="4"/>
  <c r="T122" i="4" s="1"/>
  <c r="T64" i="4"/>
  <c r="T121" i="4" s="1"/>
  <c r="T52" i="4"/>
  <c r="T51" i="4"/>
  <c r="R141" i="4"/>
  <c r="R125" i="4"/>
  <c r="R101" i="4"/>
  <c r="R82" i="4"/>
  <c r="R94" i="4"/>
  <c r="R65" i="4"/>
  <c r="R52" i="4"/>
  <c r="R51" i="4"/>
  <c r="P144" i="4"/>
  <c r="P125" i="4"/>
  <c r="P78" i="4"/>
  <c r="N135" i="4"/>
  <c r="N125" i="4"/>
  <c r="N99" i="4"/>
  <c r="N122" i="4" s="1"/>
  <c r="N67" i="4"/>
  <c r="N76" i="4" s="1"/>
  <c r="N121" i="4" s="1"/>
  <c r="N10" i="4"/>
  <c r="R121" i="4" l="1"/>
  <c r="N124" i="4"/>
  <c r="N126" i="4" s="1"/>
  <c r="T124" i="4"/>
  <c r="T126" i="4" s="1"/>
  <c r="R122" i="4"/>
  <c r="R124" i="4" s="1"/>
  <c r="R126" i="4" s="1"/>
  <c r="T53" i="4"/>
  <c r="R53" i="4"/>
  <c r="P139" i="4"/>
  <c r="P96" i="4"/>
  <c r="P122" i="4" s="1"/>
  <c r="P52" i="4"/>
  <c r="P51" i="4"/>
  <c r="N52" i="4"/>
  <c r="N51" i="4"/>
  <c r="P69" i="4"/>
  <c r="P74" i="4" s="1"/>
  <c r="P121" i="4" s="1"/>
  <c r="P124" i="4" l="1"/>
  <c r="P126" i="4" s="1"/>
  <c r="P53" i="4"/>
  <c r="N53" i="4"/>
  <c r="L125" i="4"/>
  <c r="L123" i="4"/>
  <c r="L95" i="4"/>
  <c r="L122" i="4" s="1"/>
  <c r="L52" i="4"/>
  <c r="L51" i="4"/>
  <c r="L145" i="4"/>
  <c r="L147" i="4" s="1"/>
  <c r="L67" i="4"/>
  <c r="L72" i="4" s="1"/>
  <c r="L121" i="4" s="1"/>
  <c r="L124" i="4" l="1"/>
  <c r="L126" i="4" s="1"/>
  <c r="L53" i="4"/>
  <c r="J151" i="4"/>
  <c r="J125" i="4"/>
  <c r="J100" i="4"/>
  <c r="J122" i="4" s="1"/>
  <c r="J75" i="4"/>
  <c r="J121" i="4" s="1"/>
  <c r="J52" i="4"/>
  <c r="J136" i="4"/>
  <c r="J123" i="4"/>
  <c r="J51" i="4"/>
  <c r="H52" i="4"/>
  <c r="H51" i="4"/>
  <c r="H145" i="4"/>
  <c r="H125" i="4"/>
  <c r="H123" i="4"/>
  <c r="H94" i="4"/>
  <c r="H122" i="4" s="1"/>
  <c r="H83" i="4"/>
  <c r="H136" i="4"/>
  <c r="H64" i="4"/>
  <c r="F125" i="4"/>
  <c r="F123" i="4"/>
  <c r="F104" i="4"/>
  <c r="F73" i="4"/>
  <c r="F135" i="4"/>
  <c r="F147" i="4" s="1"/>
  <c r="D146" i="4"/>
  <c r="D70" i="4"/>
  <c r="D125" i="4"/>
  <c r="F133" i="4"/>
  <c r="F97" i="4"/>
  <c r="F61" i="4"/>
  <c r="F52" i="4"/>
  <c r="F51" i="4"/>
  <c r="D140" i="4"/>
  <c r="B125" i="4"/>
  <c r="B123" i="4"/>
  <c r="D94" i="4"/>
  <c r="D122" i="4" s="1"/>
  <c r="D65" i="4"/>
  <c r="D121" i="4" s="1"/>
  <c r="D52" i="4"/>
  <c r="D51" i="4"/>
  <c r="B138" i="4"/>
  <c r="B98" i="4"/>
  <c r="B122" i="4" s="1"/>
  <c r="B70" i="4"/>
  <c r="B121" i="4" s="1"/>
  <c r="B51" i="4"/>
  <c r="BL150" i="3"/>
  <c r="BL100" i="3"/>
  <c r="BL75" i="3"/>
  <c r="B10" i="4"/>
  <c r="B52" i="4" s="1"/>
  <c r="D124" i="4" l="1"/>
  <c r="D126" i="4" s="1"/>
  <c r="H121" i="4"/>
  <c r="H124" i="4" s="1"/>
  <c r="H126" i="4" s="1"/>
  <c r="F122" i="4"/>
  <c r="B124" i="4"/>
  <c r="B126" i="4" s="1"/>
  <c r="B73" i="4"/>
  <c r="F121" i="4"/>
  <c r="F124" i="4" s="1"/>
  <c r="F126" i="4" s="1"/>
  <c r="B53" i="4"/>
  <c r="J124" i="4"/>
  <c r="J126" i="4" s="1"/>
  <c r="J53" i="4"/>
  <c r="H53" i="4"/>
  <c r="F53" i="4"/>
  <c r="D53" i="4"/>
  <c r="BN149" i="3"/>
  <c r="BN80" i="3"/>
  <c r="BN52" i="3"/>
  <c r="BN51" i="3"/>
  <c r="BN144" i="3"/>
  <c r="BN125" i="3"/>
  <c r="BN97" i="3"/>
  <c r="BN122" i="3" s="1"/>
  <c r="BN72" i="3"/>
  <c r="BN74" i="3" s="1"/>
  <c r="BN121" i="3" s="1"/>
  <c r="BJ154" i="3"/>
  <c r="BJ125" i="3"/>
  <c r="BJ97" i="3"/>
  <c r="BJ122" i="3" s="1"/>
  <c r="BJ76" i="3"/>
  <c r="BH145" i="3"/>
  <c r="BH125" i="3"/>
  <c r="BH100" i="3"/>
  <c r="BH72" i="3"/>
  <c r="BF125" i="3"/>
  <c r="BF152" i="3"/>
  <c r="BF96" i="3"/>
  <c r="BF122" i="3" s="1"/>
  <c r="BF79" i="3"/>
  <c r="BF52" i="3"/>
  <c r="BL135" i="3"/>
  <c r="BL52" i="3"/>
  <c r="BL51" i="3"/>
  <c r="BL59" i="3"/>
  <c r="BL64" i="3" s="1"/>
  <c r="BL121" i="3" s="1"/>
  <c r="BL124" i="3" s="1"/>
  <c r="BL126" i="3" s="1"/>
  <c r="BJ137" i="3"/>
  <c r="BJ61" i="3"/>
  <c r="BJ52" i="3"/>
  <c r="BJ51" i="3"/>
  <c r="BH135" i="3"/>
  <c r="BH94" i="3"/>
  <c r="BH122" i="3" s="1"/>
  <c r="BH62" i="3"/>
  <c r="BH121" i="3" s="1"/>
  <c r="BH52" i="3"/>
  <c r="BH51" i="3"/>
  <c r="BF51" i="3"/>
  <c r="BF65" i="3"/>
  <c r="BF66" i="3" s="1"/>
  <c r="BD121" i="3"/>
  <c r="BD124" i="3" s="1"/>
  <c r="BD126" i="3" s="1"/>
  <c r="AZ147" i="3"/>
  <c r="AZ125" i="3"/>
  <c r="AZ99" i="3"/>
  <c r="AZ71" i="3"/>
  <c r="AZ77" i="3" s="1"/>
  <c r="AX156" i="3"/>
  <c r="AX125" i="3"/>
  <c r="BN124" i="3" l="1"/>
  <c r="BN126" i="3" s="1"/>
  <c r="BH124" i="3"/>
  <c r="BH126" i="3" s="1"/>
  <c r="BJ121" i="3"/>
  <c r="BJ124" i="3" s="1"/>
  <c r="BJ126" i="3" s="1"/>
  <c r="BF121" i="3"/>
  <c r="BF124" i="3" s="1"/>
  <c r="BF126" i="3" s="1"/>
  <c r="BL53" i="3"/>
  <c r="BN53" i="3"/>
  <c r="BH53" i="3"/>
  <c r="BJ53" i="3"/>
  <c r="BF53" i="3"/>
  <c r="BB133" i="3" l="1"/>
  <c r="BB125" i="3"/>
  <c r="BB116" i="3"/>
  <c r="BB123" i="3" s="1"/>
  <c r="BB94" i="3"/>
  <c r="BB122" i="3" s="1"/>
  <c r="BB76" i="3"/>
  <c r="BB121" i="3" s="1"/>
  <c r="BB52" i="3"/>
  <c r="BB51" i="3"/>
  <c r="BB53" i="3" s="1"/>
  <c r="AZ140" i="3"/>
  <c r="AZ123" i="3"/>
  <c r="AZ94" i="3"/>
  <c r="AZ122" i="3" s="1"/>
  <c r="AZ62" i="3"/>
  <c r="AZ68" i="3" s="1"/>
  <c r="AZ121" i="3" s="1"/>
  <c r="AZ124" i="3" s="1"/>
  <c r="AZ126" i="3" s="1"/>
  <c r="AZ51" i="3"/>
  <c r="AZ14" i="3"/>
  <c r="AZ52" i="3" s="1"/>
  <c r="AX150" i="3"/>
  <c r="AX100" i="3"/>
  <c r="AX122" i="3" s="1"/>
  <c r="AX68" i="3"/>
  <c r="AX121" i="3" s="1"/>
  <c r="AX52" i="3"/>
  <c r="AX51" i="3"/>
  <c r="AV142" i="3"/>
  <c r="AV125" i="3"/>
  <c r="AV100" i="3"/>
  <c r="AV52" i="3"/>
  <c r="AT125" i="3"/>
  <c r="AT99" i="3"/>
  <c r="AT69" i="3"/>
  <c r="AT51" i="3"/>
  <c r="AT52" i="3"/>
  <c r="AV138" i="3"/>
  <c r="AV68" i="3"/>
  <c r="AV121" i="3" s="1"/>
  <c r="AV96" i="3"/>
  <c r="AV51" i="3"/>
  <c r="BB124" i="3" l="1"/>
  <c r="BB126" i="3" s="1"/>
  <c r="AV53" i="3"/>
  <c r="AV122" i="3"/>
  <c r="AV124" i="3" s="1"/>
  <c r="AV126" i="3" s="1"/>
  <c r="AX124" i="3"/>
  <c r="AX126" i="3" s="1"/>
  <c r="AZ53" i="3"/>
  <c r="AX53" i="3"/>
  <c r="AT144" i="3"/>
  <c r="AT94" i="3"/>
  <c r="AT122" i="3" s="1"/>
  <c r="AT65" i="3"/>
  <c r="AT121" i="3" s="1"/>
  <c r="AR52" i="3"/>
  <c r="AR51" i="3"/>
  <c r="AP52" i="3"/>
  <c r="AP51" i="3"/>
  <c r="AR122" i="3"/>
  <c r="AR124" i="3" s="1"/>
  <c r="AR126" i="3" s="1"/>
  <c r="AP121" i="3"/>
  <c r="AP124" i="3" s="1"/>
  <c r="AP126" i="3" s="1"/>
  <c r="AL3" i="3"/>
  <c r="AL51" i="3" s="1"/>
  <c r="AL146" i="3"/>
  <c r="AL125" i="3"/>
  <c r="AL115" i="3"/>
  <c r="AL123" i="3" s="1"/>
  <c r="AL97" i="3"/>
  <c r="AL122" i="3" s="1"/>
  <c r="AL75" i="3"/>
  <c r="AL121" i="3" s="1"/>
  <c r="AN125" i="3"/>
  <c r="AN98" i="3"/>
  <c r="AN122" i="3" s="1"/>
  <c r="AN76" i="3"/>
  <c r="AN121" i="3" s="1"/>
  <c r="AN52" i="3"/>
  <c r="AN51" i="3"/>
  <c r="AL16" i="3"/>
  <c r="AL52" i="3" s="1"/>
  <c r="AP53" i="3" l="1"/>
  <c r="AT124" i="3"/>
  <c r="AT126" i="3" s="1"/>
  <c r="AN124" i="3"/>
  <c r="AN126" i="3" s="1"/>
  <c r="AR53" i="3"/>
  <c r="AL124" i="3"/>
  <c r="AL126" i="3" s="1"/>
  <c r="AT53" i="3"/>
  <c r="AL53" i="3"/>
  <c r="AN53" i="3"/>
  <c r="AH125" i="3"/>
  <c r="AJ125" i="3"/>
  <c r="AJ123" i="3"/>
  <c r="AH123" i="3"/>
  <c r="AJ142" i="3"/>
  <c r="AJ145" i="3" s="1"/>
  <c r="AJ147" i="3" s="1"/>
  <c r="AJ79" i="3"/>
  <c r="AJ121" i="3" s="1"/>
  <c r="AJ103" i="3"/>
  <c r="AJ122" i="3" s="1"/>
  <c r="AJ52" i="3"/>
  <c r="AJ51" i="3"/>
  <c r="AJ53" i="3" l="1"/>
  <c r="AJ124" i="3"/>
  <c r="AJ126" i="3" s="1"/>
  <c r="AH52" i="3"/>
  <c r="AH51" i="3"/>
  <c r="AH72" i="3"/>
  <c r="AH121" i="3" s="1"/>
  <c r="AH100" i="3"/>
  <c r="AH122" i="3" s="1"/>
  <c r="AH143" i="3"/>
  <c r="AH146" i="3" s="1"/>
  <c r="AH148" i="3" s="1"/>
  <c r="AD147" i="3"/>
  <c r="AD125" i="3"/>
  <c r="AD116" i="3"/>
  <c r="AD123" i="3" s="1"/>
  <c r="AD94" i="3"/>
  <c r="AD122" i="3" s="1"/>
  <c r="AD71" i="3"/>
  <c r="AD121" i="3" s="1"/>
  <c r="AD52" i="3"/>
  <c r="AD51" i="3"/>
  <c r="AD124" i="3" l="1"/>
  <c r="AD126" i="3" s="1"/>
  <c r="AH53" i="3"/>
  <c r="AH124" i="3"/>
  <c r="AH126" i="3" s="1"/>
  <c r="AD53" i="3"/>
  <c r="AB52" i="3" l="1"/>
  <c r="AB51" i="3"/>
  <c r="AB144" i="3"/>
  <c r="AB125" i="3"/>
  <c r="AB96" i="3"/>
  <c r="AB122" i="3" s="1"/>
  <c r="AB72" i="3"/>
  <c r="AB121" i="3" s="1"/>
  <c r="Z142" i="3"/>
  <c r="Z125" i="3"/>
  <c r="Z98" i="3"/>
  <c r="Z122" i="3" s="1"/>
  <c r="Z66" i="3"/>
  <c r="Z121" i="3" s="1"/>
  <c r="Z52" i="3"/>
  <c r="Z51" i="3"/>
  <c r="Z124" i="3" l="1"/>
  <c r="Z126" i="3" s="1"/>
  <c r="AB124" i="3"/>
  <c r="AB126" i="3" s="1"/>
  <c r="AB53" i="3"/>
  <c r="Z53" i="3"/>
  <c r="X52" i="3"/>
  <c r="X51" i="3"/>
  <c r="X148" i="3"/>
  <c r="X125" i="3"/>
  <c r="X100" i="3"/>
  <c r="X122" i="3" s="1"/>
  <c r="X71" i="3"/>
  <c r="X74" i="3" s="1"/>
  <c r="X121" i="3" s="1"/>
  <c r="X124" i="3" l="1"/>
  <c r="X126" i="3" s="1"/>
  <c r="X53" i="3"/>
  <c r="V142" i="3"/>
  <c r="V125" i="3"/>
  <c r="V123" i="3"/>
  <c r="V94" i="3"/>
  <c r="V122" i="3" s="1"/>
  <c r="V71" i="3"/>
  <c r="V121" i="3" s="1"/>
  <c r="V124" i="3" s="1"/>
  <c r="V24" i="3"/>
  <c r="V51" i="3"/>
  <c r="V18" i="3"/>
  <c r="T144" i="3"/>
  <c r="T125" i="3"/>
  <c r="T123" i="3"/>
  <c r="T99" i="3"/>
  <c r="T122" i="3" s="1"/>
  <c r="T69" i="3"/>
  <c r="T121" i="3" s="1"/>
  <c r="T124" i="3" s="1"/>
  <c r="T3" i="3"/>
  <c r="T51" i="3" s="1"/>
  <c r="T52" i="3"/>
  <c r="R144" i="3"/>
  <c r="R125" i="3"/>
  <c r="R94" i="3"/>
  <c r="R122" i="3" s="1"/>
  <c r="R71" i="3"/>
  <c r="R121" i="3" s="1"/>
  <c r="R27" i="3"/>
  <c r="R52" i="3"/>
  <c r="R51" i="3"/>
  <c r="P125" i="3"/>
  <c r="P123" i="3"/>
  <c r="P51" i="3"/>
  <c r="N52" i="3"/>
  <c r="N51" i="3"/>
  <c r="P22" i="3"/>
  <c r="P52" i="3" s="1"/>
  <c r="P100" i="3"/>
  <c r="P103" i="3" s="1"/>
  <c r="P122" i="3" s="1"/>
  <c r="P66" i="3"/>
  <c r="P75" i="3" s="1"/>
  <c r="P121" i="3" s="1"/>
  <c r="P135" i="3"/>
  <c r="L125" i="3"/>
  <c r="L123" i="3"/>
  <c r="L99" i="3"/>
  <c r="L122" i="3" s="1"/>
  <c r="L51" i="3"/>
  <c r="L72" i="3"/>
  <c r="L74" i="3" s="1"/>
  <c r="L121" i="3" s="1"/>
  <c r="L15" i="3"/>
  <c r="L52" i="3" s="1"/>
  <c r="J144" i="3"/>
  <c r="J125" i="3"/>
  <c r="J97" i="3"/>
  <c r="J122" i="3" s="1"/>
  <c r="J67" i="3"/>
  <c r="J121" i="3" s="1"/>
  <c r="J51" i="3"/>
  <c r="J30" i="3"/>
  <c r="J52" i="3" s="1"/>
  <c r="H146" i="3"/>
  <c r="H125" i="3"/>
  <c r="H95" i="3"/>
  <c r="H122" i="3" s="1"/>
  <c r="H71" i="3"/>
  <c r="H73" i="3" s="1"/>
  <c r="H121" i="3" s="1"/>
  <c r="H52" i="3"/>
  <c r="H51" i="3"/>
  <c r="F52" i="3"/>
  <c r="F148" i="3"/>
  <c r="F125" i="3"/>
  <c r="F94" i="3"/>
  <c r="F122" i="3" s="1"/>
  <c r="F68" i="3"/>
  <c r="F121" i="3" s="1"/>
  <c r="F51" i="3"/>
  <c r="F113" i="3"/>
  <c r="F123" i="3" s="1"/>
  <c r="T126" i="3" l="1"/>
  <c r="V126" i="3"/>
  <c r="V52" i="3"/>
  <c r="N53" i="3"/>
  <c r="R124" i="3"/>
  <c r="R126" i="3"/>
  <c r="P124" i="3"/>
  <c r="P126" i="3" s="1"/>
  <c r="L124" i="3"/>
  <c r="L126" i="3" s="1"/>
  <c r="H53" i="3"/>
  <c r="H124" i="3"/>
  <c r="H126" i="3" s="1"/>
  <c r="J124" i="3"/>
  <c r="J126" i="3" s="1"/>
  <c r="F124" i="3"/>
  <c r="F126" i="3" s="1"/>
  <c r="J53" i="3"/>
  <c r="T53" i="3"/>
  <c r="R53" i="3"/>
  <c r="F53" i="3"/>
  <c r="V53" i="3"/>
  <c r="P53" i="3"/>
  <c r="L53" i="3"/>
  <c r="BB72" i="2"/>
  <c r="BB125" i="2" l="1"/>
  <c r="BB121" i="2"/>
  <c r="BB51" i="2"/>
  <c r="BB155" i="2"/>
  <c r="BB157" i="2" s="1"/>
  <c r="BB100" i="2"/>
  <c r="BB122" i="2" s="1"/>
  <c r="BB52" i="2"/>
  <c r="AZ144" i="2"/>
  <c r="AZ125" i="2"/>
  <c r="AZ123" i="2"/>
  <c r="AZ121" i="2"/>
  <c r="AZ33" i="2"/>
  <c r="AZ32" i="2"/>
  <c r="AZ20" i="2"/>
  <c r="AZ51" i="2"/>
  <c r="AX52" i="2"/>
  <c r="AX51" i="2"/>
  <c r="AZ75" i="2"/>
  <c r="AZ78" i="2" s="1"/>
  <c r="AZ100" i="2"/>
  <c r="AZ101" i="2" s="1"/>
  <c r="AZ122" i="2" s="1"/>
  <c r="AZ52" i="2" l="1"/>
  <c r="BB124" i="2"/>
  <c r="BB126" i="2" s="1"/>
  <c r="BB53" i="2"/>
  <c r="AX53" i="2"/>
  <c r="AZ124" i="2"/>
  <c r="AZ126" i="2" s="1"/>
  <c r="AZ53" i="2"/>
  <c r="AR149" i="2"/>
  <c r="AR105" i="2"/>
  <c r="AR77" i="2"/>
  <c r="AX122" i="2"/>
  <c r="AX62" i="2"/>
  <c r="AX121" i="2" s="1"/>
  <c r="AX124" i="2" s="1"/>
  <c r="AX126" i="2" s="1"/>
  <c r="AV134" i="2"/>
  <c r="AV125" i="2"/>
  <c r="AV99" i="2"/>
  <c r="AV122" i="2" s="1"/>
  <c r="AV52" i="2"/>
  <c r="AV51" i="2"/>
  <c r="AV63" i="2"/>
  <c r="AV70" i="2" s="1"/>
  <c r="AV121" i="2" s="1"/>
  <c r="AT78" i="2"/>
  <c r="AT121" i="2" s="1"/>
  <c r="AT143" i="2"/>
  <c r="AT125" i="2"/>
  <c r="AT95" i="2"/>
  <c r="AT122" i="2" s="1"/>
  <c r="AT51" i="2"/>
  <c r="AT52" i="2"/>
  <c r="AT53" i="2" s="1"/>
  <c r="AV124" i="2" l="1"/>
  <c r="AV126" i="2" s="1"/>
  <c r="AV53" i="2"/>
  <c r="AT124" i="2"/>
  <c r="AT126" i="2" s="1"/>
  <c r="AR135" i="2"/>
  <c r="AR97" i="2"/>
  <c r="AR64" i="2"/>
  <c r="AR52" i="2"/>
  <c r="AR51" i="2"/>
  <c r="AR53" i="2" l="1"/>
  <c r="AP151" i="2"/>
  <c r="AP73" i="2"/>
  <c r="AN132" i="2" l="1"/>
  <c r="AP139" i="2"/>
  <c r="AP96" i="2"/>
  <c r="AP68" i="2"/>
  <c r="AP52" i="2"/>
  <c r="AP51" i="2"/>
  <c r="AP53" i="2" l="1"/>
  <c r="AN73" i="2"/>
  <c r="AN99" i="2"/>
  <c r="AN149" i="2"/>
  <c r="AN64" i="2"/>
  <c r="AN52" i="2"/>
  <c r="AN51" i="2"/>
  <c r="AN53" i="2" l="1"/>
  <c r="AL152" i="2"/>
  <c r="AL100" i="2"/>
  <c r="AL73" i="2"/>
  <c r="AL145" i="2"/>
  <c r="AL114" i="2"/>
  <c r="AL96" i="2"/>
  <c r="AL69" i="2"/>
  <c r="AL52" i="2"/>
  <c r="AL51" i="2"/>
  <c r="AJ52" i="2"/>
  <c r="AJ51" i="2"/>
  <c r="AJ53" i="2" l="1"/>
  <c r="AL53" i="2"/>
  <c r="AH71" i="2"/>
  <c r="AH100" i="2"/>
  <c r="AH12" i="2"/>
  <c r="AH52" i="2" s="1"/>
  <c r="AH51" i="2"/>
  <c r="AF79" i="2"/>
  <c r="AF153" i="2"/>
  <c r="AF144" i="2"/>
  <c r="AF114" i="2"/>
  <c r="AF97" i="2"/>
  <c r="AF72" i="2"/>
  <c r="AF52" i="2"/>
  <c r="AF51" i="2"/>
  <c r="AH53" i="2" l="1"/>
  <c r="AF53" i="2"/>
  <c r="AD145" i="2"/>
  <c r="AD103" i="2"/>
  <c r="AD75" i="2"/>
  <c r="AD139" i="2" l="1"/>
  <c r="AD99" i="2"/>
  <c r="AD69" i="2"/>
  <c r="AD52" i="2"/>
  <c r="AD51" i="2"/>
  <c r="AB145" i="2"/>
  <c r="AB78" i="2"/>
  <c r="AB97" i="2"/>
  <c r="AD53" i="2" l="1"/>
  <c r="AB71" i="2"/>
  <c r="AB94" i="2"/>
  <c r="AB139" i="2"/>
  <c r="AB52" i="2"/>
  <c r="AB51" i="2"/>
  <c r="AB53" i="2" l="1"/>
  <c r="Z74" i="2"/>
  <c r="Z96" i="2"/>
  <c r="Z150" i="2"/>
  <c r="P140" i="2"/>
  <c r="P125" i="2"/>
  <c r="P100" i="2"/>
  <c r="P122" i="2" s="1"/>
  <c r="Z134" i="2" l="1"/>
  <c r="Z62" i="2"/>
  <c r="Z52" i="2"/>
  <c r="Z51" i="2"/>
  <c r="Z53" i="2" l="1"/>
  <c r="X145" i="2"/>
  <c r="X88" i="2"/>
  <c r="X74" i="2" l="1"/>
  <c r="X80" i="2"/>
  <c r="X98" i="2"/>
  <c r="X139" i="2"/>
  <c r="X52" i="2"/>
  <c r="X51" i="2"/>
  <c r="V63" i="2"/>
  <c r="V52" i="2"/>
  <c r="V51" i="2"/>
  <c r="V53" i="2" l="1"/>
  <c r="X81" i="2"/>
  <c r="X53" i="2"/>
  <c r="T125" i="2"/>
  <c r="T143" i="2"/>
  <c r="T146" i="2" s="1"/>
  <c r="T148" i="2" s="1"/>
  <c r="T100" i="2"/>
  <c r="T122" i="2" s="1"/>
  <c r="T70" i="2"/>
  <c r="T121" i="2" s="1"/>
  <c r="T52" i="2"/>
  <c r="T51" i="2"/>
  <c r="T53" i="2" l="1"/>
  <c r="T124" i="2"/>
  <c r="T126" i="2" s="1"/>
  <c r="R125" i="2"/>
  <c r="R148" i="2"/>
  <c r="R144" i="2"/>
  <c r="R99" i="2"/>
  <c r="R74" i="2"/>
  <c r="R138" i="2" l="1"/>
  <c r="R147" i="2" s="1"/>
  <c r="R149" i="2" s="1"/>
  <c r="R94" i="2"/>
  <c r="R122" i="2" s="1"/>
  <c r="R66" i="2"/>
  <c r="R121" i="2" s="1"/>
  <c r="R52" i="2"/>
  <c r="R51" i="2"/>
  <c r="R124" i="2" l="1"/>
  <c r="R126" i="2" s="1"/>
  <c r="R53" i="2"/>
  <c r="P123" i="2"/>
  <c r="P68" i="2"/>
  <c r="P121" i="2" s="1"/>
  <c r="P136" i="2"/>
  <c r="P52" i="2"/>
  <c r="P51" i="2"/>
  <c r="N146" i="2"/>
  <c r="N125" i="2"/>
  <c r="N98" i="2"/>
  <c r="N122" i="2" s="1"/>
  <c r="N78" i="2"/>
  <c r="N52" i="2"/>
  <c r="N70" i="2"/>
  <c r="N123" i="2"/>
  <c r="N51" i="2"/>
  <c r="N64" i="2"/>
  <c r="N133" i="2"/>
  <c r="N141" i="2" s="1"/>
  <c r="L146" i="2"/>
  <c r="L125" i="2"/>
  <c r="L96" i="2"/>
  <c r="L122" i="2" s="1"/>
  <c r="L71" i="2"/>
  <c r="L121" i="2" s="1"/>
  <c r="L51" i="2"/>
  <c r="J52" i="2"/>
  <c r="J51" i="2"/>
  <c r="L20" i="2"/>
  <c r="L52" i="2" s="1"/>
  <c r="L124" i="2" l="1"/>
  <c r="L126" i="2"/>
  <c r="P124" i="2"/>
  <c r="P126" i="2" s="1"/>
  <c r="P53" i="2"/>
  <c r="N71" i="2"/>
  <c r="N121" i="2" s="1"/>
  <c r="N124" i="2" s="1"/>
  <c r="J53" i="2"/>
  <c r="L53" i="2"/>
  <c r="N53" i="2"/>
  <c r="N126" i="2"/>
  <c r="J62" i="2"/>
  <c r="J121" i="2" s="1"/>
  <c r="J124" i="2" s="1"/>
  <c r="J126" i="2" s="1"/>
  <c r="H121" i="2"/>
  <c r="H124" i="2" s="1"/>
  <c r="H126" i="2" s="1"/>
  <c r="H52" i="2"/>
  <c r="H51" i="2"/>
  <c r="F98" i="2"/>
  <c r="F122" i="2" s="1"/>
  <c r="F145" i="2"/>
  <c r="F125" i="2"/>
  <c r="F123" i="2"/>
  <c r="F51" i="2"/>
  <c r="F41" i="2"/>
  <c r="F52" i="2" s="1"/>
  <c r="F64" i="2"/>
  <c r="F80" i="2" s="1"/>
  <c r="F121" i="2" s="1"/>
  <c r="F124" i="2" s="1"/>
  <c r="F126" i="2" s="1"/>
  <c r="D138" i="2"/>
  <c r="D125" i="2"/>
  <c r="D96" i="2"/>
  <c r="D122" i="2" s="1"/>
  <c r="D115" i="2"/>
  <c r="D123" i="2" s="1"/>
  <c r="D69" i="2"/>
  <c r="D121" i="2" s="1"/>
  <c r="D52" i="2"/>
  <c r="D51" i="2"/>
  <c r="BF151" i="1"/>
  <c r="BF125" i="1"/>
  <c r="BF116" i="1"/>
  <c r="BF123" i="1" s="1"/>
  <c r="BF68" i="1"/>
  <c r="BF121" i="1" s="1"/>
  <c r="BF52" i="1"/>
  <c r="BF51" i="1"/>
  <c r="BF99" i="1"/>
  <c r="BF96" i="1"/>
  <c r="BF100" i="1" s="1"/>
  <c r="BF122" i="1" s="1"/>
  <c r="B149" i="2"/>
  <c r="B125" i="2"/>
  <c r="B98" i="2"/>
  <c r="B122" i="2" s="1"/>
  <c r="B71" i="2"/>
  <c r="B121" i="2" s="1"/>
  <c r="B52" i="2"/>
  <c r="B51" i="2"/>
  <c r="D124" i="2" l="1"/>
  <c r="H53" i="2"/>
  <c r="B124" i="2"/>
  <c r="B126" i="2" s="1"/>
  <c r="BF53" i="1"/>
  <c r="B53" i="2"/>
  <c r="BF124" i="1"/>
  <c r="BF126" i="1" s="1"/>
  <c r="D53" i="2"/>
  <c r="F53" i="2"/>
  <c r="D126" i="2"/>
  <c r="BD52" i="1"/>
  <c r="BD51" i="1"/>
  <c r="BD76" i="1"/>
  <c r="BD95" i="1"/>
  <c r="BD137" i="1"/>
  <c r="BB122" i="1"/>
  <c r="AZ79" i="1"/>
  <c r="AZ121" i="1" s="1"/>
  <c r="AZ134" i="1"/>
  <c r="AZ125" i="1"/>
  <c r="AZ100" i="1"/>
  <c r="AZ122" i="1" s="1"/>
  <c r="AZ19" i="1"/>
  <c r="AZ13" i="1"/>
  <c r="AX144" i="1"/>
  <c r="AX125" i="1"/>
  <c r="AX122" i="1"/>
  <c r="AX73" i="1"/>
  <c r="AX121" i="1" s="1"/>
  <c r="AV148" i="1"/>
  <c r="AV125" i="1"/>
  <c r="AV69" i="1"/>
  <c r="AV121" i="1" s="1"/>
  <c r="AV116" i="1"/>
  <c r="AV123" i="1" s="1"/>
  <c r="AV99" i="1"/>
  <c r="AV122" i="1" s="1"/>
  <c r="AT52" i="1"/>
  <c r="AT156" i="1"/>
  <c r="AT125" i="1"/>
  <c r="AT98" i="1"/>
  <c r="AT122" i="1" s="1"/>
  <c r="AT72" i="1"/>
  <c r="AT121" i="1" s="1"/>
  <c r="AV124" i="1" l="1"/>
  <c r="AR147" i="1"/>
  <c r="AR125" i="1"/>
  <c r="AR98" i="1"/>
  <c r="AR122" i="1" s="1"/>
  <c r="AR78" i="1"/>
  <c r="AR121" i="1" s="1"/>
  <c r="AR23" i="1"/>
  <c r="AP137" i="1"/>
  <c r="AP136" i="1"/>
  <c r="AP125" i="1"/>
  <c r="AP105" i="1"/>
  <c r="AP122" i="1" s="1"/>
  <c r="AP75" i="1"/>
  <c r="AP121" i="1" s="1"/>
  <c r="AP52" i="1"/>
  <c r="AP51" i="1"/>
  <c r="AN121" i="1"/>
  <c r="AL149" i="1"/>
  <c r="AL125" i="1"/>
  <c r="AL123" i="1"/>
  <c r="AL100" i="1"/>
  <c r="AL122" i="1" s="1"/>
  <c r="AL83" i="1"/>
  <c r="AL121" i="1" s="1"/>
  <c r="AJ136" i="1"/>
  <c r="AJ77" i="1"/>
  <c r="AJ121" i="1" s="1"/>
  <c r="AF125" i="1"/>
  <c r="AF123" i="1"/>
  <c r="AF97" i="1"/>
  <c r="AF122" i="1" s="1"/>
  <c r="AF76" i="1"/>
  <c r="AF121" i="1" s="1"/>
  <c r="AF51" i="1"/>
  <c r="AF30" i="1"/>
  <c r="AF52" i="1" s="1"/>
  <c r="AF137" i="1"/>
  <c r="AF144" i="1" s="1"/>
  <c r="AH145" i="1"/>
  <c r="AH97" i="1"/>
  <c r="AH82" i="1"/>
  <c r="AD142" i="1"/>
  <c r="AD116" i="1"/>
  <c r="AD96" i="1"/>
  <c r="AD75" i="1"/>
  <c r="AB95" i="1"/>
  <c r="AB72" i="1"/>
  <c r="AB150" i="1"/>
  <c r="AP139" i="1" l="1"/>
  <c r="AL124" i="1"/>
  <c r="AR124" i="1"/>
  <c r="Z64" i="1"/>
  <c r="V150" i="1"/>
  <c r="V97" i="1"/>
  <c r="V68" i="1"/>
  <c r="X136" i="1" l="1"/>
  <c r="X99" i="1"/>
  <c r="X71" i="1"/>
  <c r="T96" i="1" l="1"/>
  <c r="T143" i="1"/>
  <c r="R68" i="1" l="1"/>
  <c r="R97" i="1"/>
  <c r="R116" i="1"/>
  <c r="R142" i="1"/>
  <c r="P98" i="1" l="1"/>
  <c r="P71" i="1"/>
  <c r="P116" i="1"/>
  <c r="P142" i="1"/>
  <c r="N145" i="1" l="1"/>
  <c r="N94" i="1"/>
  <c r="N73" i="1"/>
  <c r="L71" i="1"/>
  <c r="L137" i="1"/>
  <c r="L99" i="1"/>
  <c r="J153" i="1"/>
  <c r="J156" i="1" s="1"/>
  <c r="J158" i="1" s="1"/>
  <c r="J97" i="1"/>
  <c r="J76" i="1"/>
  <c r="H125" i="1" l="1"/>
  <c r="H123" i="1"/>
  <c r="H136" i="1"/>
  <c r="H101" i="1"/>
  <c r="H122" i="1" s="1"/>
  <c r="H76" i="1"/>
  <c r="H121" i="1" s="1"/>
  <c r="F125" i="1" l="1"/>
  <c r="F80" i="1"/>
  <c r="F121" i="1" s="1"/>
  <c r="F146" i="1"/>
  <c r="F149" i="1" s="1"/>
  <c r="F151" i="1" s="1"/>
  <c r="F100" i="1"/>
  <c r="F122" i="1" s="1"/>
  <c r="D154" i="1" l="1"/>
  <c r="D157" i="1" s="1"/>
  <c r="D159" i="1" s="1"/>
  <c r="D125" i="1"/>
  <c r="D107" i="1"/>
  <c r="D122" i="1" s="1"/>
  <c r="D77" i="1"/>
  <c r="D121" i="1" s="1"/>
  <c r="B125" i="1" l="1"/>
  <c r="B146" i="1"/>
  <c r="B149" i="1" s="1"/>
  <c r="B151" i="1" s="1"/>
  <c r="B97" i="1"/>
  <c r="B122" i="1" s="1"/>
  <c r="B69" i="1"/>
  <c r="B121" i="1" s="1"/>
  <c r="BJ124" i="1" l="1"/>
  <c r="BJ126" i="1" s="1"/>
  <c r="BH124" i="1"/>
  <c r="BH126" i="1" s="1"/>
  <c r="BD124" i="1"/>
  <c r="BD126" i="1" s="1"/>
  <c r="BB124" i="1"/>
  <c r="BB126" i="1" s="1"/>
  <c r="AZ124" i="1"/>
  <c r="AZ126" i="1" s="1"/>
  <c r="AX124" i="1"/>
  <c r="AX126" i="1" s="1"/>
  <c r="AV126" i="1"/>
  <c r="AT124" i="1"/>
  <c r="AT126" i="1" s="1"/>
  <c r="AR126" i="1"/>
  <c r="AP124" i="1"/>
  <c r="AP126" i="1" s="1"/>
  <c r="AN124" i="1"/>
  <c r="AN126" i="1" s="1"/>
  <c r="AL126" i="1"/>
  <c r="AJ124" i="1"/>
  <c r="AJ126" i="1" s="1"/>
  <c r="AH124" i="1"/>
  <c r="AH126" i="1" s="1"/>
  <c r="AF124" i="1"/>
  <c r="AF126" i="1" s="1"/>
  <c r="AD124" i="1"/>
  <c r="AD126" i="1" s="1"/>
  <c r="AB124" i="1"/>
  <c r="AB126" i="1" s="1"/>
  <c r="Z124" i="1"/>
  <c r="Z126" i="1" s="1"/>
  <c r="X124" i="1"/>
  <c r="X126" i="1" s="1"/>
  <c r="V124" i="1"/>
  <c r="V126" i="1" s="1"/>
  <c r="T124" i="1"/>
  <c r="T126" i="1" s="1"/>
  <c r="R124" i="1"/>
  <c r="R126" i="1" s="1"/>
  <c r="P124" i="1"/>
  <c r="P126" i="1" s="1"/>
  <c r="H124" i="1"/>
  <c r="H126" i="1" s="1"/>
  <c r="D123" i="1"/>
  <c r="N123" i="1"/>
  <c r="B123" i="1"/>
  <c r="N122" i="1"/>
  <c r="L122" i="1"/>
  <c r="J122" i="1"/>
  <c r="N121" i="1"/>
  <c r="L121" i="1"/>
  <c r="BJ52" i="1"/>
  <c r="BB52" i="1"/>
  <c r="AZ52" i="1"/>
  <c r="AX52" i="1"/>
  <c r="AV52" i="1"/>
  <c r="AR52" i="1"/>
  <c r="AN52" i="1"/>
  <c r="AL52" i="1"/>
  <c r="AJ52" i="1"/>
  <c r="AH52" i="1"/>
  <c r="AD52" i="1"/>
  <c r="AB52" i="1"/>
  <c r="Z52" i="1"/>
  <c r="X52" i="1"/>
  <c r="V52" i="1"/>
  <c r="T52" i="1"/>
  <c r="R52" i="1"/>
  <c r="P52" i="1"/>
  <c r="N52" i="1"/>
  <c r="L52" i="1"/>
  <c r="J52" i="1"/>
  <c r="H52" i="1"/>
  <c r="F52" i="1"/>
  <c r="D52" i="1"/>
  <c r="B52" i="1"/>
  <c r="BJ51" i="1"/>
  <c r="BB51" i="1"/>
  <c r="AZ51" i="1"/>
  <c r="AX51" i="1"/>
  <c r="AV51" i="1"/>
  <c r="AT51" i="1"/>
  <c r="AR51" i="1"/>
  <c r="AN51" i="1"/>
  <c r="AL51" i="1"/>
  <c r="AJ51" i="1"/>
  <c r="Z51" i="1"/>
  <c r="X51" i="1"/>
  <c r="V51" i="1"/>
  <c r="T51" i="1"/>
  <c r="R51" i="1"/>
  <c r="P51" i="1"/>
  <c r="N51" i="1"/>
  <c r="L51" i="1"/>
  <c r="J51" i="1"/>
  <c r="H51" i="1"/>
  <c r="F51" i="1"/>
  <c r="D51" i="1"/>
  <c r="B51" i="1"/>
  <c r="AX53" i="1" l="1"/>
  <c r="J53" i="1"/>
  <c r="AF53" i="1"/>
  <c r="F53" i="1"/>
  <c r="AH53" i="1"/>
  <c r="P53" i="1"/>
  <c r="B124" i="1"/>
  <c r="B126" i="1" s="1"/>
  <c r="D124" i="1"/>
  <c r="D126" i="1" s="1"/>
  <c r="L124" i="1"/>
  <c r="L126" i="1" s="1"/>
  <c r="BB53" i="1"/>
  <c r="H53" i="1"/>
  <c r="BD53" i="1"/>
  <c r="L53" i="1"/>
  <c r="N53" i="1"/>
  <c r="BJ53" i="1"/>
  <c r="AN53" i="1"/>
  <c r="D53" i="1"/>
  <c r="B53" i="1"/>
  <c r="AZ53" i="1"/>
  <c r="J121" i="1"/>
  <c r="J124" i="1" s="1"/>
  <c r="J126" i="1" s="1"/>
  <c r="T53" i="1"/>
  <c r="AJ53" i="1"/>
  <c r="V53" i="1"/>
  <c r="AL53" i="1"/>
  <c r="X53" i="1"/>
  <c r="Z53" i="1"/>
  <c r="R53" i="1"/>
  <c r="AP53" i="1"/>
  <c r="AB53" i="1"/>
  <c r="AR53" i="1"/>
  <c r="AD53" i="1"/>
  <c r="AT53" i="1"/>
  <c r="AV53" i="1"/>
  <c r="N124" i="1"/>
  <c r="N126" i="1" s="1"/>
  <c r="F124" i="1"/>
  <c r="F126" i="1" s="1"/>
</calcChain>
</file>

<file path=xl/sharedStrings.xml><?xml version="1.0" encoding="utf-8"?>
<sst xmlns="http://schemas.openxmlformats.org/spreadsheetml/2006/main" count="16083" uniqueCount="15601">
  <si>
    <t xml:space="preserve">EFECTIVO </t>
  </si>
  <si>
    <t xml:space="preserve">DEPOSITADO </t>
  </si>
  <si>
    <t>FACTURADO</t>
  </si>
  <si>
    <t>DIFERENCIA</t>
  </si>
  <si>
    <t xml:space="preserve">TARJETAS </t>
  </si>
  <si>
    <t>BBVA</t>
  </si>
  <si>
    <t>BANAMEX</t>
  </si>
  <si>
    <t>AMERICAN</t>
  </si>
  <si>
    <t>BNMX</t>
  </si>
  <si>
    <t>TOTAL</t>
  </si>
  <si>
    <t>OTROS DEPOSITOS O TRANSFERENCIAS 2015</t>
  </si>
  <si>
    <t>RF-37220</t>
  </si>
  <si>
    <t>RF 37278</t>
  </si>
  <si>
    <t>RF 37277</t>
  </si>
  <si>
    <t>RF 37276</t>
  </si>
  <si>
    <t>RF-37275</t>
  </si>
  <si>
    <t>RF-37274</t>
  </si>
  <si>
    <t>RF-37273</t>
  </si>
  <si>
    <t>RF-37272</t>
  </si>
  <si>
    <t>RF-37271</t>
  </si>
  <si>
    <t>RF-37270</t>
  </si>
  <si>
    <t>RF-37269</t>
  </si>
  <si>
    <t>RF-37268</t>
  </si>
  <si>
    <t>RF-37267</t>
  </si>
  <si>
    <t>RF-37266</t>
  </si>
  <si>
    <t>RF37265</t>
  </si>
  <si>
    <t>RF-37264</t>
  </si>
  <si>
    <t>RF-37263</t>
  </si>
  <si>
    <t>RF-37262</t>
  </si>
  <si>
    <t>RF-37261</t>
  </si>
  <si>
    <t>RF-37260</t>
  </si>
  <si>
    <t>RF-37259</t>
  </si>
  <si>
    <t>RF-37258</t>
  </si>
  <si>
    <t>RF-37257</t>
  </si>
  <si>
    <t>RF-37256</t>
  </si>
  <si>
    <t>RF-37255</t>
  </si>
  <si>
    <t>AR-13443</t>
  </si>
  <si>
    <t>AR-13442</t>
  </si>
  <si>
    <t>AR-13441</t>
  </si>
  <si>
    <t>AR-13440</t>
  </si>
  <si>
    <t>AR-13439</t>
  </si>
  <si>
    <t>AR-13437</t>
  </si>
  <si>
    <t>AS-48317</t>
  </si>
  <si>
    <t>AS-48316</t>
  </si>
  <si>
    <t>AS-48313</t>
  </si>
  <si>
    <t>AS-48312</t>
  </si>
  <si>
    <t>AS-48311</t>
  </si>
  <si>
    <t>AS-48310</t>
  </si>
  <si>
    <t>AS-48308</t>
  </si>
  <si>
    <t>AS-48307</t>
  </si>
  <si>
    <t>AS-48306</t>
  </si>
  <si>
    <t>AS-48305</t>
  </si>
  <si>
    <t>AS-48304</t>
  </si>
  <si>
    <t>AS-48303</t>
  </si>
  <si>
    <t>AS-48301</t>
  </si>
  <si>
    <t>AS-48300</t>
  </si>
  <si>
    <t>AS-48299</t>
  </si>
  <si>
    <t>AS-48298</t>
  </si>
  <si>
    <t>AS-48297</t>
  </si>
  <si>
    <t>AS-48296</t>
  </si>
  <si>
    <t>AS-48295</t>
  </si>
  <si>
    <t>AS-48294</t>
  </si>
  <si>
    <t>RF-37314</t>
  </si>
  <si>
    <t>RF-37313</t>
  </si>
  <si>
    <t>RF-37312</t>
  </si>
  <si>
    <t>RF-37311</t>
  </si>
  <si>
    <t>RF-37310</t>
  </si>
  <si>
    <t>RF-37309</t>
  </si>
  <si>
    <t>RF-37308</t>
  </si>
  <si>
    <t>RF-37307</t>
  </si>
  <si>
    <t>RF-37306</t>
  </si>
  <si>
    <t>RF-37305</t>
  </si>
  <si>
    <t>RF-37304</t>
  </si>
  <si>
    <t>RF-37303</t>
  </si>
  <si>
    <t>RF-37302</t>
  </si>
  <si>
    <t>RF-37301</t>
  </si>
  <si>
    <t>RF-37300</t>
  </si>
  <si>
    <t>RF-37299</t>
  </si>
  <si>
    <t>RF-37298</t>
  </si>
  <si>
    <t>AS-48398</t>
  </si>
  <si>
    <t>RF-37297</t>
  </si>
  <si>
    <t>AS-48397</t>
  </si>
  <si>
    <t>RF-37296</t>
  </si>
  <si>
    <t>RF-37295</t>
  </si>
  <si>
    <t>AS-48395</t>
  </si>
  <si>
    <t>RF-37294</t>
  </si>
  <si>
    <t>RF-37293</t>
  </si>
  <si>
    <t>AS-48393</t>
  </si>
  <si>
    <t>RF-37292</t>
  </si>
  <si>
    <t>AS-48392</t>
  </si>
  <si>
    <t>RF-37291</t>
  </si>
  <si>
    <t>RF-37290</t>
  </si>
  <si>
    <t>RF-37289</t>
  </si>
  <si>
    <t>RF-37288</t>
  </si>
  <si>
    <t>RF-37287</t>
  </si>
  <si>
    <t>RF-37286</t>
  </si>
  <si>
    <t>RF-37285</t>
  </si>
  <si>
    <t>RF-37284</t>
  </si>
  <si>
    <t>RF-37283</t>
  </si>
  <si>
    <t>RF-37282</t>
  </si>
  <si>
    <t>RF-37281</t>
  </si>
  <si>
    <t>RF-37280</t>
  </si>
  <si>
    <t>RF-37279</t>
  </si>
  <si>
    <t>AR-13454</t>
  </si>
  <si>
    <t>AS-48354</t>
  </si>
  <si>
    <t>AR-13453</t>
  </si>
  <si>
    <t>AR-13451</t>
  </si>
  <si>
    <t>AS-48351</t>
  </si>
  <si>
    <t>AR-13447</t>
  </si>
  <si>
    <t>AS-48347</t>
  </si>
  <si>
    <t>AR-13446</t>
  </si>
  <si>
    <t>AR-13445</t>
  </si>
  <si>
    <t>AR-13444</t>
  </si>
  <si>
    <t>AS-48344</t>
  </si>
  <si>
    <t>AS-48353</t>
  </si>
  <si>
    <t>AS-48352</t>
  </si>
  <si>
    <t>AS-48350</t>
  </si>
  <si>
    <t>AS-48349</t>
  </si>
  <si>
    <t>AS-48348</t>
  </si>
  <si>
    <t>AS-48346</t>
  </si>
  <si>
    <t>AS-48345</t>
  </si>
  <si>
    <t>AS-48343</t>
  </si>
  <si>
    <t>AS-48342</t>
  </si>
  <si>
    <t>AS-48341</t>
  </si>
  <si>
    <t>AS-48340</t>
  </si>
  <si>
    <t>AS-48339*</t>
  </si>
  <si>
    <t>AS-48338</t>
  </si>
  <si>
    <t>AS-48334</t>
  </si>
  <si>
    <t>AS-48333</t>
  </si>
  <si>
    <t>AS-48332</t>
  </si>
  <si>
    <t>AS-48331</t>
  </si>
  <si>
    <t>AS-48328</t>
  </si>
  <si>
    <t>AS-48327</t>
  </si>
  <si>
    <t>AS-48326</t>
  </si>
  <si>
    <t>AS-48325</t>
  </si>
  <si>
    <t>AS-48324</t>
  </si>
  <si>
    <t>AS-48323</t>
  </si>
  <si>
    <t>AS-48322</t>
  </si>
  <si>
    <t>AS-48321</t>
  </si>
  <si>
    <t>AS-48319</t>
  </si>
  <si>
    <t>RF37313-AS48346</t>
  </si>
  <si>
    <t>RF-37346</t>
  </si>
  <si>
    <t>RF-37344</t>
  </si>
  <si>
    <t>RF-37343</t>
  </si>
  <si>
    <t>RF-37342</t>
  </si>
  <si>
    <t>RF-37341</t>
  </si>
  <si>
    <t>RF-37340</t>
  </si>
  <si>
    <t>RF-37339</t>
  </si>
  <si>
    <t>RF-37338</t>
  </si>
  <si>
    <t>RF-37337</t>
  </si>
  <si>
    <t>RF-37336</t>
  </si>
  <si>
    <t>RF-37335</t>
  </si>
  <si>
    <t>RF-37334</t>
  </si>
  <si>
    <t>RF-37333</t>
  </si>
  <si>
    <t>RF-37332</t>
  </si>
  <si>
    <t>RF-37331</t>
  </si>
  <si>
    <t>RF-37330</t>
  </si>
  <si>
    <t>RF-37328</t>
  </si>
  <si>
    <t>RF-37327</t>
  </si>
  <si>
    <t>RF-37326</t>
  </si>
  <si>
    <t>RF-37325</t>
  </si>
  <si>
    <t>RF-37324</t>
  </si>
  <si>
    <t>RF-37323</t>
  </si>
  <si>
    <t>AS-48403</t>
  </si>
  <si>
    <t>RF-37322</t>
  </si>
  <si>
    <t>RF-37321</t>
  </si>
  <si>
    <t>RF-37320</t>
  </si>
  <si>
    <t>RF-37317</t>
  </si>
  <si>
    <t>RF-37316</t>
  </si>
  <si>
    <t>RF-37315</t>
  </si>
  <si>
    <t>AR-13465</t>
  </si>
  <si>
    <t>AR-13464</t>
  </si>
  <si>
    <t>AR-13463</t>
  </si>
  <si>
    <t>AR-13462</t>
  </si>
  <si>
    <t>AS-48362</t>
  </si>
  <si>
    <t>AR-13461</t>
  </si>
  <si>
    <t>AR-13459</t>
  </si>
  <si>
    <t>AS-48359</t>
  </si>
  <si>
    <t>AR-13455</t>
  </si>
  <si>
    <t>AS-48411</t>
  </si>
  <si>
    <t>AS-48410</t>
  </si>
  <si>
    <t>AS-48408</t>
  </si>
  <si>
    <t>AS-48409</t>
  </si>
  <si>
    <t>AS-48407</t>
  </si>
  <si>
    <t>AS-48406</t>
  </si>
  <si>
    <t>AS-48405</t>
  </si>
  <si>
    <t>AS-48404</t>
  </si>
  <si>
    <t>AS-48401</t>
  </si>
  <si>
    <t>AS-48400</t>
  </si>
  <si>
    <t>AS-48396</t>
  </si>
  <si>
    <t>AS-48391</t>
  </si>
  <si>
    <t>AS-48390</t>
  </si>
  <si>
    <t>AS-48384</t>
  </si>
  <si>
    <t>AS-48380</t>
  </si>
  <si>
    <t>AS-48376</t>
  </si>
  <si>
    <t>AS-48369</t>
  </si>
  <si>
    <t>AS-48365</t>
  </si>
  <si>
    <t>AS-48361</t>
  </si>
  <si>
    <t>AS-48360</t>
  </si>
  <si>
    <t>AS-48358</t>
  </si>
  <si>
    <t>AS-48356</t>
  </si>
  <si>
    <t>RF-37359</t>
  </si>
  <si>
    <t>RF-37358</t>
  </si>
  <si>
    <t>RF-37357</t>
  </si>
  <si>
    <t>RF-37356</t>
  </si>
  <si>
    <t>RF-37355</t>
  </si>
  <si>
    <t>RF-37354</t>
  </si>
  <si>
    <t>RF-37353</t>
  </si>
  <si>
    <t>RF-37352</t>
  </si>
  <si>
    <t>RF-37351</t>
  </si>
  <si>
    <t>AS-48451</t>
  </si>
  <si>
    <t>RF-37350</t>
  </si>
  <si>
    <t>AS-48450</t>
  </si>
  <si>
    <t>RF-37349</t>
  </si>
  <si>
    <t>RF-37348</t>
  </si>
  <si>
    <t>RF-37347</t>
  </si>
  <si>
    <t>AS-48447</t>
  </si>
  <si>
    <t>AR-13471</t>
  </si>
  <si>
    <t>AR-13470</t>
  </si>
  <si>
    <t>AR-13469</t>
  </si>
  <si>
    <t>AR-13468</t>
  </si>
  <si>
    <t>AS-48449</t>
  </si>
  <si>
    <t>AS-48448</t>
  </si>
  <si>
    <t>AS-48446</t>
  </si>
  <si>
    <t>AS-48445</t>
  </si>
  <si>
    <t>AS-48444</t>
  </si>
  <si>
    <t>AS-48443</t>
  </si>
  <si>
    <t>AS-48442</t>
  </si>
  <si>
    <t>AS-48441</t>
  </si>
  <si>
    <t>AS-48440</t>
  </si>
  <si>
    <t>AS-48439</t>
  </si>
  <si>
    <t>AS-48438</t>
  </si>
  <si>
    <t>AS-48436</t>
  </si>
  <si>
    <t>AS-48434</t>
  </si>
  <si>
    <t>AS-48433</t>
  </si>
  <si>
    <t>AS-48432</t>
  </si>
  <si>
    <t>AS-48431</t>
  </si>
  <si>
    <t>AS-48426</t>
  </si>
  <si>
    <t>AS-48425</t>
  </si>
  <si>
    <t>AS-48430</t>
  </si>
  <si>
    <t>AS-48429</t>
  </si>
  <si>
    <t>AS-48428</t>
  </si>
  <si>
    <t>AS-48427</t>
  </si>
  <si>
    <t>AS-48424</t>
  </si>
  <si>
    <t>AS-48421</t>
  </si>
  <si>
    <t>AS-48419</t>
  </si>
  <si>
    <t>AS-48417</t>
  </si>
  <si>
    <t>AS-48416</t>
  </si>
  <si>
    <t>AS-48415</t>
  </si>
  <si>
    <t>RF-37380</t>
  </si>
  <si>
    <t>RF-37379</t>
  </si>
  <si>
    <t>RF-37378</t>
  </si>
  <si>
    <t>RF-37377</t>
  </si>
  <si>
    <t>RF-37376</t>
  </si>
  <si>
    <t>RF-37375</t>
  </si>
  <si>
    <t>RF-37374</t>
  </si>
  <si>
    <t>RF-37372</t>
  </si>
  <si>
    <t>RF-37371</t>
  </si>
  <si>
    <t>RF-37366</t>
  </si>
  <si>
    <t>RF-37373</t>
  </si>
  <si>
    <t>RF-37370</t>
  </si>
  <si>
    <t>AS-48452</t>
  </si>
  <si>
    <t>RF-37369</t>
  </si>
  <si>
    <t>AS-48469</t>
  </si>
  <si>
    <t>RF-37368</t>
  </si>
  <si>
    <t>RF-37365</t>
  </si>
  <si>
    <t>AS-48465</t>
  </si>
  <si>
    <t>RF-37364</t>
  </si>
  <si>
    <t>AS-48464</t>
  </si>
  <si>
    <t>RF-37363</t>
  </si>
  <si>
    <t>RF-37362</t>
  </si>
  <si>
    <t>RF-37361</t>
  </si>
  <si>
    <t>RF-37360</t>
  </si>
  <si>
    <t>AR-13489</t>
  </si>
  <si>
    <t>AR-13488</t>
  </si>
  <si>
    <t>AR-13487</t>
  </si>
  <si>
    <t>AR-13484</t>
  </si>
  <si>
    <t>AR-13483</t>
  </si>
  <si>
    <t>AR-13482</t>
  </si>
  <si>
    <t>AR-13481</t>
  </si>
  <si>
    <t>AR-13473</t>
  </si>
  <si>
    <t>AS-48507</t>
  </si>
  <si>
    <t>AS-48506</t>
  </si>
  <si>
    <t>AS-48505</t>
  </si>
  <si>
    <t>AS-48504</t>
  </si>
  <si>
    <t>AS-48502</t>
  </si>
  <si>
    <t>AS-48501</t>
  </si>
  <si>
    <t>AS-48500</t>
  </si>
  <si>
    <t>AS-48494</t>
  </si>
  <si>
    <t>AS-48492</t>
  </si>
  <si>
    <t>AS-48490</t>
  </si>
  <si>
    <t>AS-48489</t>
  </si>
  <si>
    <t>AS-48487</t>
  </si>
  <si>
    <t>AS-48484</t>
  </si>
  <si>
    <t>AS-48482</t>
  </si>
  <si>
    <t>AS-48480</t>
  </si>
  <si>
    <t>AS-48479</t>
  </si>
  <si>
    <t>AS-48478</t>
  </si>
  <si>
    <t>AS-48477</t>
  </si>
  <si>
    <t>AS-48476</t>
  </si>
  <si>
    <t>AS-48474</t>
  </si>
  <si>
    <t>AS-48471</t>
  </si>
  <si>
    <t>AS-48467</t>
  </si>
  <si>
    <t>AS-48463</t>
  </si>
  <si>
    <t>AS-48461</t>
  </si>
  <si>
    <t>AS-48456</t>
  </si>
  <si>
    <t>AS-48455</t>
  </si>
  <si>
    <t>AS-48454</t>
  </si>
  <si>
    <t>AS-48453</t>
  </si>
  <si>
    <t>AS-4846</t>
  </si>
  <si>
    <t>RF-37389</t>
  </si>
  <si>
    <t>RF-37388</t>
  </si>
  <si>
    <t>RF-37387</t>
  </si>
  <si>
    <t>RF-37386</t>
  </si>
  <si>
    <t>RF-37385</t>
  </si>
  <si>
    <t>RF-37383</t>
  </si>
  <si>
    <t>AR-13501</t>
  </si>
  <si>
    <t>AR-13500</t>
  </si>
  <si>
    <t>AR-13499</t>
  </si>
  <si>
    <t>AR-13498</t>
  </si>
  <si>
    <t>AR-13496</t>
  </si>
  <si>
    <t>AR-13495</t>
  </si>
  <si>
    <t>AR-13491</t>
  </si>
  <si>
    <t>AS-48538</t>
  </si>
  <si>
    <t>AS-48537</t>
  </si>
  <si>
    <t>AS-48536</t>
  </si>
  <si>
    <t>AS-48535</t>
  </si>
  <si>
    <t>AS-48534</t>
  </si>
  <si>
    <t>AS-48533</t>
  </si>
  <si>
    <t>AS-48532</t>
  </si>
  <si>
    <t>AS-48531</t>
  </si>
  <si>
    <t>AS-48530</t>
  </si>
  <si>
    <t>AS-48529</t>
  </si>
  <si>
    <t>AS-48528</t>
  </si>
  <si>
    <t>AS-48527</t>
  </si>
  <si>
    <t>AS-48526</t>
  </si>
  <si>
    <t>AS-48525</t>
  </si>
  <si>
    <t>AS-48524</t>
  </si>
  <si>
    <t>AS-48523</t>
  </si>
  <si>
    <t>AS-48522</t>
  </si>
  <si>
    <t>AS-48521</t>
  </si>
  <si>
    <t>AS-48520</t>
  </si>
  <si>
    <t>AS-48519</t>
  </si>
  <si>
    <t>AS-48518</t>
  </si>
  <si>
    <t>AS-48515</t>
  </si>
  <si>
    <t>AS-48514</t>
  </si>
  <si>
    <t>AS-48511</t>
  </si>
  <si>
    <t>AS-48562</t>
  </si>
  <si>
    <t>AS-48561</t>
  </si>
  <si>
    <t>AS-48559</t>
  </si>
  <si>
    <t>AS-48508</t>
  </si>
  <si>
    <t>RF-37222</t>
  </si>
  <si>
    <t>RF-37408</t>
  </si>
  <si>
    <t>RF-37407</t>
  </si>
  <si>
    <t>RF-37406</t>
  </si>
  <si>
    <t>RF-37405</t>
  </si>
  <si>
    <t>RF-37404</t>
  </si>
  <si>
    <t>RF-37403</t>
  </si>
  <si>
    <t>RF-37402</t>
  </si>
  <si>
    <t>RF-37401</t>
  </si>
  <si>
    <t>RF-37400</t>
  </si>
  <si>
    <t>RF-37399</t>
  </si>
  <si>
    <t>RF-37398</t>
  </si>
  <si>
    <t>RF-37397</t>
  </si>
  <si>
    <t>RF-37396</t>
  </si>
  <si>
    <t>RF-37395</t>
  </si>
  <si>
    <t>RF-37394</t>
  </si>
  <si>
    <t>RF-37393</t>
  </si>
  <si>
    <t>RF-37392</t>
  </si>
  <si>
    <t>RF-37391</t>
  </si>
  <si>
    <t>RF-37390</t>
  </si>
  <si>
    <t>AR-13515</t>
  </si>
  <si>
    <t>AR-13514</t>
  </si>
  <si>
    <t>AS-48550</t>
  </si>
  <si>
    <t>AR-13507</t>
  </si>
  <si>
    <t>AR-13506</t>
  </si>
  <si>
    <t>AR-13505</t>
  </si>
  <si>
    <t>AR-13504</t>
  </si>
  <si>
    <t>AR-13503</t>
  </si>
  <si>
    <t>AR-13502</t>
  </si>
  <si>
    <t>AS-48565</t>
  </si>
  <si>
    <t>AS-48564</t>
  </si>
  <si>
    <t>AS-48563</t>
  </si>
  <si>
    <t>AS-48560</t>
  </si>
  <si>
    <t>AS-48558</t>
  </si>
  <si>
    <t>AS-48557</t>
  </si>
  <si>
    <t>AS-48556</t>
  </si>
  <si>
    <t>AS-48555</t>
  </si>
  <si>
    <t>AS-48554</t>
  </si>
  <si>
    <t>AS-48553</t>
  </si>
  <si>
    <t>AS-48552</t>
  </si>
  <si>
    <t>AS-48551</t>
  </si>
  <si>
    <t>AS-48549</t>
  </si>
  <si>
    <t>AS-48547</t>
  </si>
  <si>
    <t>AS-48546</t>
  </si>
  <si>
    <t>AS-48545</t>
  </si>
  <si>
    <t>AS-48544</t>
  </si>
  <si>
    <t>AS-48543</t>
  </si>
  <si>
    <t>RF-37426</t>
  </si>
  <si>
    <t>RF-37425</t>
  </si>
  <si>
    <t>RF-37415</t>
  </si>
  <si>
    <t>RF-37424</t>
  </si>
  <si>
    <t>RF-37423</t>
  </si>
  <si>
    <t>RF-37422</t>
  </si>
  <si>
    <t>RF-37421</t>
  </si>
  <si>
    <t>AR-13521</t>
  </si>
  <si>
    <t>RF-37420</t>
  </si>
  <si>
    <t>AS-48584</t>
  </si>
  <si>
    <t>RF-37419</t>
  </si>
  <si>
    <t>RF-37418</t>
  </si>
  <si>
    <t>RF-37417</t>
  </si>
  <si>
    <t>RF-37416</t>
  </si>
  <si>
    <t>RF-37414</t>
  </si>
  <si>
    <t>RF-37413</t>
  </si>
  <si>
    <t>RF-37412</t>
  </si>
  <si>
    <t>RF-37411</t>
  </si>
  <si>
    <t>RF-37410</t>
  </si>
  <si>
    <t>RF-37409</t>
  </si>
  <si>
    <t>AR-13523</t>
  </si>
  <si>
    <t>AR-13520</t>
  </si>
  <si>
    <t>AR-13519</t>
  </si>
  <si>
    <t>AR-13517</t>
  </si>
  <si>
    <t>AS-48603</t>
  </si>
  <si>
    <t>AS-48602</t>
  </si>
  <si>
    <t>AS-48601</t>
  </si>
  <si>
    <t>AS-48600</t>
  </si>
  <si>
    <t>AS-48599</t>
  </si>
  <si>
    <t>AS-48595</t>
  </si>
  <si>
    <t>AS-48570</t>
  </si>
  <si>
    <t>AS-48598</t>
  </si>
  <si>
    <t>AS-48597</t>
  </si>
  <si>
    <t>AS-48596</t>
  </si>
  <si>
    <t>AS-46594</t>
  </si>
  <si>
    <t>AS-48593</t>
  </si>
  <si>
    <t>AS-48592</t>
  </si>
  <si>
    <t>AS-48591</t>
  </si>
  <si>
    <t>AS-48590</t>
  </si>
  <si>
    <t>AS-48589</t>
  </si>
  <si>
    <t>AS-48588</t>
  </si>
  <si>
    <t>AS-48587</t>
  </si>
  <si>
    <t>AS-48586</t>
  </si>
  <si>
    <t>AS-48585</t>
  </si>
  <si>
    <t>AS-48583</t>
  </si>
  <si>
    <t>AS-48582</t>
  </si>
  <si>
    <t>AS-48581</t>
  </si>
  <si>
    <t>AS-48580</t>
  </si>
  <si>
    <t>AS-48579</t>
  </si>
  <si>
    <t>AS-48578</t>
  </si>
  <si>
    <t>RF-37453</t>
  </si>
  <si>
    <t>RF-37452</t>
  </si>
  <si>
    <t>RF-37451</t>
  </si>
  <si>
    <t>RF-37450</t>
  </si>
  <si>
    <t>RF-37449</t>
  </si>
  <si>
    <t>RF-37448</t>
  </si>
  <si>
    <t>RF-37447</t>
  </si>
  <si>
    <t>RF-37446</t>
  </si>
  <si>
    <t>RF-37445</t>
  </si>
  <si>
    <t>RF-37444</t>
  </si>
  <si>
    <t>RF-37443</t>
  </si>
  <si>
    <t>RF-37442</t>
  </si>
  <si>
    <t>RF-37441</t>
  </si>
  <si>
    <t>RF-37440</t>
  </si>
  <si>
    <t>RF-37439</t>
  </si>
  <si>
    <t>RF-37438</t>
  </si>
  <si>
    <t>RF-37437</t>
  </si>
  <si>
    <t>RF-37436</t>
  </si>
  <si>
    <t>RF-37432</t>
  </si>
  <si>
    <t>RF-37431</t>
  </si>
  <si>
    <t>RF-37435</t>
  </si>
  <si>
    <t>RF-37433</t>
  </si>
  <si>
    <t>RF-37430</t>
  </si>
  <si>
    <t>RF-37427</t>
  </si>
  <si>
    <t>AR-13527</t>
  </si>
  <si>
    <t>AR-13526</t>
  </si>
  <si>
    <t>AS-48631</t>
  </si>
  <si>
    <t>AS-48630</t>
  </si>
  <si>
    <t>AS-48629</t>
  </si>
  <si>
    <t>AS-48628</t>
  </si>
  <si>
    <t>AS-48627</t>
  </si>
  <si>
    <t>AS-48626</t>
  </si>
  <si>
    <t>AS-48623</t>
  </si>
  <si>
    <t>AS-48622</t>
  </si>
  <si>
    <t>AS-48621</t>
  </si>
  <si>
    <t>AS-48620</t>
  </si>
  <si>
    <t>AS-48619</t>
  </si>
  <si>
    <t>AS-48618</t>
  </si>
  <si>
    <t>AS-48617</t>
  </si>
  <si>
    <t>AS-48616</t>
  </si>
  <si>
    <t>AS-48615</t>
  </si>
  <si>
    <t>AS48614</t>
  </si>
  <si>
    <t>AS-48613</t>
  </si>
  <si>
    <t>AS-48612</t>
  </si>
  <si>
    <t>AS-48605</t>
  </si>
  <si>
    <t>AS-48604</t>
  </si>
  <si>
    <t>RF-37472</t>
  </si>
  <si>
    <t>AR-13534</t>
  </si>
  <si>
    <t>RF-37470</t>
  </si>
  <si>
    <t>RF-37469</t>
  </si>
  <si>
    <t>RF-37466</t>
  </si>
  <si>
    <t>RF-37465</t>
  </si>
  <si>
    <t>RF-37464</t>
  </si>
  <si>
    <t>AS-48664</t>
  </si>
  <si>
    <t>RF-37463</t>
  </si>
  <si>
    <t>AS-48663</t>
  </si>
  <si>
    <t>RF-37462</t>
  </si>
  <si>
    <t>RF-37461</t>
  </si>
  <si>
    <t>RF-37459</t>
  </si>
  <si>
    <t>AS-48659</t>
  </si>
  <si>
    <t>RF-37458</t>
  </si>
  <si>
    <t>RF-37455</t>
  </si>
  <si>
    <t>AS-48649</t>
  </si>
  <si>
    <t>RF-37457</t>
  </si>
  <si>
    <t>AS-48657</t>
  </si>
  <si>
    <t>RF-37456</t>
  </si>
  <si>
    <t>AS-48656</t>
  </si>
  <si>
    <t>RF-37454</t>
  </si>
  <si>
    <t>AR-13544</t>
  </si>
  <si>
    <t>AR-13539</t>
  </si>
  <si>
    <t>AR-13538</t>
  </si>
  <si>
    <t>AR-13535</t>
  </si>
  <si>
    <t>AR-13533</t>
  </si>
  <si>
    <t>AR-13532</t>
  </si>
  <si>
    <t>AS-48672</t>
  </si>
  <si>
    <t>AS-48671</t>
  </si>
  <si>
    <t>AS-48670</t>
  </si>
  <si>
    <t>AS-48669</t>
  </si>
  <si>
    <t>AS-48666</t>
  </si>
  <si>
    <t>AS-48665</t>
  </si>
  <si>
    <t>AS-48662</t>
  </si>
  <si>
    <t>AS-48661</t>
  </si>
  <si>
    <t>AS-48658</t>
  </si>
  <si>
    <t>AS-48652</t>
  </si>
  <si>
    <t>AS-48650</t>
  </si>
  <si>
    <t>AS-48648</t>
  </si>
  <si>
    <t>AS-48646</t>
  </si>
  <si>
    <t>AS-48645</t>
  </si>
  <si>
    <t>AS-48644</t>
  </si>
  <si>
    <t>AS-48643</t>
  </si>
  <si>
    <t>AS-48642</t>
  </si>
  <si>
    <t>AS-48641</t>
  </si>
  <si>
    <t>AS-48640</t>
  </si>
  <si>
    <t>AS-48632</t>
  </si>
  <si>
    <t>RF-37509</t>
  </si>
  <si>
    <t>RF-37508</t>
  </si>
  <si>
    <t>RF-37507</t>
  </si>
  <si>
    <t>RF-37506</t>
  </si>
  <si>
    <t>RF37505</t>
  </si>
  <si>
    <t>RF-37504</t>
  </si>
  <si>
    <t>RF-37503</t>
  </si>
  <si>
    <t>RF-37502</t>
  </si>
  <si>
    <t>RF-37501</t>
  </si>
  <si>
    <t>RF-37500</t>
  </si>
  <si>
    <t>RF-37499</t>
  </si>
  <si>
    <t>RF-37498</t>
  </si>
  <si>
    <t>AR-13552</t>
  </si>
  <si>
    <t>AR-13551</t>
  </si>
  <si>
    <t>AS-48750</t>
  </si>
  <si>
    <t>AS-48749</t>
  </si>
  <si>
    <t>AS-48748</t>
  </si>
  <si>
    <t>AS-48747</t>
  </si>
  <si>
    <t>AS-48746</t>
  </si>
  <si>
    <t>AS-48745</t>
  </si>
  <si>
    <t>AS-48744</t>
  </si>
  <si>
    <t>AS-48743</t>
  </si>
  <si>
    <t>AS-48742</t>
  </si>
  <si>
    <t>AS-48741</t>
  </si>
  <si>
    <t>AS-48737</t>
  </si>
  <si>
    <t>AS-48734</t>
  </si>
  <si>
    <t>AS-48733</t>
  </si>
  <si>
    <t>AS-48732</t>
  </si>
  <si>
    <t>AS-48730</t>
  </si>
  <si>
    <t>AS-48729</t>
  </si>
  <si>
    <t>AS-48728</t>
  </si>
  <si>
    <t>AS-48725</t>
  </si>
  <si>
    <t>AS-48723</t>
  </si>
  <si>
    <t>AS-48722</t>
  </si>
  <si>
    <t>AS-48721</t>
  </si>
  <si>
    <t>AS-48720</t>
  </si>
  <si>
    <t>AS-48719</t>
  </si>
  <si>
    <t>AS-48705</t>
  </si>
  <si>
    <t>RF-37497</t>
  </si>
  <si>
    <t>RF-37496</t>
  </si>
  <si>
    <t>RF-37495</t>
  </si>
  <si>
    <t>RF-37494</t>
  </si>
  <si>
    <t>RF-37493</t>
  </si>
  <si>
    <t>RF-37491</t>
  </si>
  <si>
    <t>AS-48691</t>
  </si>
  <si>
    <t>RF-37490</t>
  </si>
  <si>
    <t>RF-37489</t>
  </si>
  <si>
    <t>RF-37487</t>
  </si>
  <si>
    <t>RF-37486</t>
  </si>
  <si>
    <t>RF-37485</t>
  </si>
  <si>
    <t>RF-37484</t>
  </si>
  <si>
    <t>RF-37483</t>
  </si>
  <si>
    <t>RF-37482</t>
  </si>
  <si>
    <t>RF-37481</t>
  </si>
  <si>
    <t>RF-37480</t>
  </si>
  <si>
    <t>RF-37478</t>
  </si>
  <si>
    <t>RF-37477</t>
  </si>
  <si>
    <t>RF-37475</t>
  </si>
  <si>
    <t>RF-37474</t>
  </si>
  <si>
    <t>AS-48686</t>
  </si>
  <si>
    <t>RF-37473</t>
  </si>
  <si>
    <t>AS-48699</t>
  </si>
  <si>
    <t>AS-48718</t>
  </si>
  <si>
    <t>AS-48717</t>
  </si>
  <si>
    <t>AS-48715</t>
  </si>
  <si>
    <t>AS-48713</t>
  </si>
  <si>
    <t>AS-48711</t>
  </si>
  <si>
    <t>AS-48710</t>
  </si>
  <si>
    <t>AS-48704</t>
  </si>
  <si>
    <t>AS-48702</t>
  </si>
  <si>
    <t>AS-48701</t>
  </si>
  <si>
    <t>AS-48700</t>
  </si>
  <si>
    <t>AS-48698</t>
  </si>
  <si>
    <t>AS-48697</t>
  </si>
  <si>
    <t>AS-48692</t>
  </si>
  <si>
    <t>AS-48696</t>
  </si>
  <si>
    <t>AS-48695</t>
  </si>
  <si>
    <t>AS-48694</t>
  </si>
  <si>
    <t>AS-48693</t>
  </si>
  <si>
    <t>AS-48690</t>
  </si>
  <si>
    <t>AS-48689</t>
  </si>
  <si>
    <t>AS-48688</t>
  </si>
  <si>
    <t>AS-48684</t>
  </si>
  <si>
    <t>AS-48682</t>
  </si>
  <si>
    <t>AS-48680</t>
  </si>
  <si>
    <t>AS-48675</t>
  </si>
  <si>
    <t>AS-48674</t>
  </si>
  <si>
    <t>AR-13545</t>
  </si>
  <si>
    <t>AR-13546</t>
  </si>
  <si>
    <t>AS-13548</t>
  </si>
  <si>
    <t>AR-13549</t>
  </si>
  <si>
    <t>RF-37513</t>
  </si>
  <si>
    <t>RF-37512</t>
  </si>
  <si>
    <t>RF-37511</t>
  </si>
  <si>
    <t>RF-37510</t>
  </si>
  <si>
    <t>16/01/221016</t>
  </si>
  <si>
    <t>AR-13553</t>
  </si>
  <si>
    <t>RF-37514</t>
  </si>
  <si>
    <t>RF-37515</t>
  </si>
  <si>
    <t>RF-37517</t>
  </si>
  <si>
    <t>AS-48754</t>
  </si>
  <si>
    <t>AS-48757</t>
  </si>
  <si>
    <t>RF-37522</t>
  </si>
  <si>
    <t>RF-37524</t>
  </si>
  <si>
    <t>AS-48759</t>
  </si>
  <si>
    <t>RF-37526</t>
  </si>
  <si>
    <t>RF-37527</t>
  </si>
  <si>
    <t>RF-37529</t>
  </si>
  <si>
    <t>RF-37531</t>
  </si>
  <si>
    <t>AS-48770</t>
  </si>
  <si>
    <t>AS-48772</t>
  </si>
  <si>
    <t>AS-48755</t>
  </si>
  <si>
    <t>RF-37535</t>
  </si>
  <si>
    <t>AS-48774</t>
  </si>
  <si>
    <t>RF-37536</t>
  </si>
  <si>
    <t>AR-13557</t>
  </si>
  <si>
    <t>AS-48777</t>
  </si>
  <si>
    <t>RF-375141</t>
  </si>
  <si>
    <t>RF-37518</t>
  </si>
  <si>
    <t>RF-37520</t>
  </si>
  <si>
    <t>AS-48760</t>
  </si>
  <si>
    <t>AS-48761</t>
  </si>
  <si>
    <t>AS-48766</t>
  </si>
  <si>
    <t>AS-48768</t>
  </si>
  <si>
    <t>AS-48769</t>
  </si>
  <si>
    <t>RF-37533</t>
  </si>
  <si>
    <t>RF-37534</t>
  </si>
  <si>
    <t>AS-48773</t>
  </si>
  <si>
    <t>RF-37525</t>
  </si>
  <si>
    <t>RF-37540</t>
  </si>
  <si>
    <t>RF-37542</t>
  </si>
  <si>
    <t>RF-37543</t>
  </si>
  <si>
    <t>RF-37523</t>
  </si>
  <si>
    <t>RF-37532</t>
  </si>
  <si>
    <t>RF-37530</t>
  </si>
  <si>
    <t>AS-48753</t>
  </si>
  <si>
    <t>RF-37521</t>
  </si>
  <si>
    <t>AS-48758</t>
  </si>
  <si>
    <t>AR-13554</t>
  </si>
  <si>
    <t>AS-48762</t>
  </si>
  <si>
    <t>AS-48763</t>
  </si>
  <si>
    <t>RF-37528</t>
  </si>
  <si>
    <t>AS-48764</t>
  </si>
  <si>
    <t>AS-48767</t>
  </si>
  <si>
    <t>AS-48775</t>
  </si>
  <si>
    <t>AS-48776</t>
  </si>
  <si>
    <t>RF-37538</t>
  </si>
  <si>
    <t>AS-48751</t>
  </si>
  <si>
    <t>RF-37516</t>
  </si>
  <si>
    <t>AR-13558</t>
  </si>
  <si>
    <t>AR-13560</t>
  </si>
  <si>
    <t>AR-13562</t>
  </si>
  <si>
    <t>RF-37548</t>
  </si>
  <si>
    <t>AR-13563</t>
  </si>
  <si>
    <t>AS-48781</t>
  </si>
  <si>
    <t>RF-37549</t>
  </si>
  <si>
    <t>RF-37550</t>
  </si>
  <si>
    <t>AS-48785</t>
  </si>
  <si>
    <t>RF-37552</t>
  </si>
  <si>
    <t>AS-48790</t>
  </si>
  <si>
    <t>AS-48796</t>
  </si>
  <si>
    <t>AS-48798</t>
  </si>
  <si>
    <t>AS-48800</t>
  </si>
  <si>
    <t>RF-357556</t>
  </si>
  <si>
    <t>RF-357558</t>
  </si>
  <si>
    <t>AR-13568</t>
  </si>
  <si>
    <t>AS-48806</t>
  </si>
  <si>
    <t>AS-48807</t>
  </si>
  <si>
    <t>AR-3316</t>
  </si>
  <si>
    <t>AS-48808</t>
  </si>
  <si>
    <t>AS-48816</t>
  </si>
  <si>
    <t>AS-48817</t>
  </si>
  <si>
    <t>RF-37551</t>
  </si>
  <si>
    <t>.</t>
  </si>
  <si>
    <t>RF-37547</t>
  </si>
  <si>
    <t>AS-48791</t>
  </si>
  <si>
    <t>AR-13567</t>
  </si>
  <si>
    <t>AS-48795</t>
  </si>
  <si>
    <t>RF-37554</t>
  </si>
  <si>
    <t>AS-48802</t>
  </si>
  <si>
    <t>RF-37559</t>
  </si>
  <si>
    <t>RF-37557</t>
  </si>
  <si>
    <t>AS-48809</t>
  </si>
  <si>
    <t>RF-37560</t>
  </si>
  <si>
    <t>AS-48812</t>
  </si>
  <si>
    <t>AS-48813</t>
  </si>
  <si>
    <t>RF-37563</t>
  </si>
  <si>
    <t>AS-48815</t>
  </si>
  <si>
    <t>RF-37564</t>
  </si>
  <si>
    <t>AS-48778</t>
  </si>
  <si>
    <t>RF-37545</t>
  </si>
  <si>
    <t>AS-48786</t>
  </si>
  <si>
    <t>AS-48792</t>
  </si>
  <si>
    <t>AS-48811</t>
  </si>
  <si>
    <t>RF-37555</t>
  </si>
  <si>
    <t>RF-37546</t>
  </si>
  <si>
    <t>RF-37553</t>
  </si>
  <si>
    <t>AS-48804</t>
  </si>
  <si>
    <t>AS-48805</t>
  </si>
  <si>
    <t>RF-37561</t>
  </si>
  <si>
    <t>RF-37562</t>
  </si>
  <si>
    <t>AS-48814</t>
  </si>
  <si>
    <t>RF-37565</t>
  </si>
  <si>
    <t>AR-13591</t>
  </si>
  <si>
    <t>AR-13592</t>
  </si>
  <si>
    <t>AS-48869</t>
  </si>
  <si>
    <t>RF-37588</t>
  </si>
  <si>
    <t>RF-37590</t>
  </si>
  <si>
    <t>RF-37591</t>
  </si>
  <si>
    <t>AR-13594</t>
  </si>
  <si>
    <t>RF-37592</t>
  </si>
  <si>
    <t>RF-37594</t>
  </si>
  <si>
    <t>RF-37595</t>
  </si>
  <si>
    <t>RF-37596</t>
  </si>
  <si>
    <t>RF-37600</t>
  </si>
  <si>
    <t>AS-48889</t>
  </si>
  <si>
    <t>AS-48891</t>
  </si>
  <si>
    <t>AS-48895</t>
  </si>
  <si>
    <t>RF-37602</t>
  </si>
  <si>
    <t>RF-37604</t>
  </si>
  <si>
    <t>AS-48903</t>
  </si>
  <si>
    <t>AS-48905</t>
  </si>
  <si>
    <t>AS-48910</t>
  </si>
  <si>
    <t>AS-48908</t>
  </si>
  <si>
    <t>RF-37613</t>
  </si>
  <si>
    <t>AS-48916</t>
  </si>
  <si>
    <t>RF-37614</t>
  </si>
  <si>
    <t>AS-48915</t>
  </si>
  <si>
    <t>AS-48918</t>
  </si>
  <si>
    <t>RF-37587</t>
  </si>
  <si>
    <t>AS-48871</t>
  </si>
  <si>
    <t>RF-37589</t>
  </si>
  <si>
    <t>AS48877</t>
  </si>
  <si>
    <t>AS-48881</t>
  </si>
  <si>
    <t>AS-48882</t>
  </si>
  <si>
    <t>AS-48886</t>
  </si>
  <si>
    <t>AS-48888</t>
  </si>
  <si>
    <t>AS-48920</t>
  </si>
  <si>
    <t>RF-37603</t>
  </si>
  <si>
    <t>AS-48893</t>
  </si>
  <si>
    <t>AS-48896</t>
  </si>
  <si>
    <t>AS-48898</t>
  </si>
  <si>
    <t>RF-37607</t>
  </si>
  <si>
    <t>AS-48906</t>
  </si>
  <si>
    <t>AS48907</t>
  </si>
  <si>
    <t>RF-37606</t>
  </si>
  <si>
    <t>RF-37612</t>
  </si>
  <si>
    <t>AS-48912</t>
  </si>
  <si>
    <t>AS-48913</t>
  </si>
  <si>
    <t>AS-48914</t>
  </si>
  <si>
    <t>AR-13597</t>
  </si>
  <si>
    <t>AS-48892</t>
  </si>
  <si>
    <t>AS-48894</t>
  </si>
  <si>
    <t>AS-48909</t>
  </si>
  <si>
    <t>RF-37611</t>
  </si>
  <si>
    <t>RF-37593</t>
  </si>
  <si>
    <t>AS-48885</t>
  </si>
  <si>
    <t>RF-37598</t>
  </si>
  <si>
    <t>RF-37599</t>
  </si>
  <si>
    <t>AS-48887</t>
  </si>
  <si>
    <t>RF-37601</t>
  </si>
  <si>
    <t>AS-48899</t>
  </si>
  <si>
    <t>AS-48902</t>
  </si>
  <si>
    <t>RF-37608</t>
  </si>
  <si>
    <t>AS-45904</t>
  </si>
  <si>
    <t>RF-37610</t>
  </si>
  <si>
    <t>AS-48917</t>
  </si>
  <si>
    <t>AS-48911</t>
  </si>
  <si>
    <t>RF-37615</t>
  </si>
  <si>
    <t>RF-37586</t>
  </si>
  <si>
    <t>RF-37585</t>
  </si>
  <si>
    <t>RF-37584</t>
  </si>
  <si>
    <t>RF-37583</t>
  </si>
  <si>
    <t>RF-37582</t>
  </si>
  <si>
    <t>RF-37581</t>
  </si>
  <si>
    <t>RF-37580</t>
  </si>
  <si>
    <t>RF-37579</t>
  </si>
  <si>
    <t>RF-37576</t>
  </si>
  <si>
    <t>RF-37577</t>
  </si>
  <si>
    <t>RF-37575</t>
  </si>
  <si>
    <t>RF-37574</t>
  </si>
  <si>
    <t>RF-37573</t>
  </si>
  <si>
    <t>RF-37572</t>
  </si>
  <si>
    <t>RF-37571</t>
  </si>
  <si>
    <t>RF-37570</t>
  </si>
  <si>
    <t>RF-37569</t>
  </si>
  <si>
    <t>RF-37568</t>
  </si>
  <si>
    <t>RF-37567</t>
  </si>
  <si>
    <t>RF-37566</t>
  </si>
  <si>
    <t>AS-48851</t>
  </si>
  <si>
    <t>AS-48860</t>
  </si>
  <si>
    <t>AS-48858</t>
  </si>
  <si>
    <t>AS-48857</t>
  </si>
  <si>
    <t>AS-48855</t>
  </si>
  <si>
    <t>AS-48854</t>
  </si>
  <si>
    <t>AS-48853</t>
  </si>
  <si>
    <t>AS-48852</t>
  </si>
  <si>
    <t>AS-48850</t>
  </si>
  <si>
    <t>AS-48849</t>
  </si>
  <si>
    <t>AS-48848</t>
  </si>
  <si>
    <t>AS-48847</t>
  </si>
  <si>
    <t>AS-48846</t>
  </si>
  <si>
    <t>AS-48845</t>
  </si>
  <si>
    <t>AS-48843</t>
  </si>
  <si>
    <t>AS-48841</t>
  </si>
  <si>
    <t>AS-48840</t>
  </si>
  <si>
    <t>AS-48838</t>
  </si>
  <si>
    <t>AS-48835</t>
  </si>
  <si>
    <t>AS-48833</t>
  </si>
  <si>
    <t>AS-48826</t>
  </si>
  <si>
    <t>AS-48824</t>
  </si>
  <si>
    <t>AS-48823</t>
  </si>
  <si>
    <t>AS-48822</t>
  </si>
  <si>
    <t>AS-48821</t>
  </si>
  <si>
    <t>AS-48820</t>
  </si>
  <si>
    <t>AS-48819</t>
  </si>
  <si>
    <t>AS-48818</t>
  </si>
  <si>
    <t>AR-13589</t>
  </si>
  <si>
    <t>AR-13587</t>
  </si>
  <si>
    <t>AR-13586</t>
  </si>
  <si>
    <t>AR-13585</t>
  </si>
  <si>
    <t>AR-13584</t>
  </si>
  <si>
    <t>AR-13583</t>
  </si>
  <si>
    <t>AR-13581</t>
  </si>
  <si>
    <t>AR-13580</t>
  </si>
  <si>
    <t>AR-13579</t>
  </si>
  <si>
    <t>AR-13578</t>
  </si>
  <si>
    <t>AR-13577</t>
  </si>
  <si>
    <t>AR-13575</t>
  </si>
  <si>
    <t>AR-13573</t>
  </si>
  <si>
    <t>AS-48836</t>
  </si>
  <si>
    <t>RF-37631</t>
  </si>
  <si>
    <t>RF-37624</t>
  </si>
  <si>
    <t>RF-37623</t>
  </si>
  <si>
    <t>RF-37622</t>
  </si>
  <si>
    <t>RF-37621</t>
  </si>
  <si>
    <t>RF-37620</t>
  </si>
  <si>
    <t>RF-37619</t>
  </si>
  <si>
    <t>RF-37618</t>
  </si>
  <si>
    <t>RF-37617</t>
  </si>
  <si>
    <t>RF-37616</t>
  </si>
  <si>
    <t>AS-49002</t>
  </si>
  <si>
    <t>AS-48987</t>
  </si>
  <si>
    <t>AS-48955</t>
  </si>
  <si>
    <t>AS-48953</t>
  </si>
  <si>
    <t>AS-48950</t>
  </si>
  <si>
    <t>AS-48945</t>
  </si>
  <si>
    <t>AS-48944</t>
  </si>
  <si>
    <t>AS-48942</t>
  </si>
  <si>
    <t>AS-48938</t>
  </si>
  <si>
    <t>AS-48937</t>
  </si>
  <si>
    <t>AS-48934</t>
  </si>
  <si>
    <t>AS48932</t>
  </si>
  <si>
    <t>AS-48931</t>
  </si>
  <si>
    <t>AS-48930</t>
  </si>
  <si>
    <t>AS-48929</t>
  </si>
  <si>
    <t>AS-48928</t>
  </si>
  <si>
    <t>AS-48926</t>
  </si>
  <si>
    <t>AS-48925</t>
  </si>
  <si>
    <t>AS-48922</t>
  </si>
  <si>
    <t>AS-48921</t>
  </si>
  <si>
    <t>AR-13604</t>
  </si>
  <si>
    <t>AR-13603</t>
  </si>
  <si>
    <t>AR-13602</t>
  </si>
  <si>
    <t>AR-13601</t>
  </si>
  <si>
    <t>AR-13599</t>
  </si>
  <si>
    <t>AR-13598</t>
  </si>
  <si>
    <t>RF-37653</t>
  </si>
  <si>
    <t>RF-37652</t>
  </si>
  <si>
    <t>RF-37651</t>
  </si>
  <si>
    <t>RF-37650</t>
  </si>
  <si>
    <t>RF-37648</t>
  </si>
  <si>
    <t>RF-37647</t>
  </si>
  <si>
    <t>RF-37646</t>
  </si>
  <si>
    <t>RF-67644</t>
  </si>
  <si>
    <t>RF-37643</t>
  </si>
  <si>
    <t>RF-37642</t>
  </si>
  <si>
    <t>RF-37641</t>
  </si>
  <si>
    <t>RF-37640</t>
  </si>
  <si>
    <t>RF-37639</t>
  </si>
  <si>
    <t>RF-37638</t>
  </si>
  <si>
    <t>RF-37637</t>
  </si>
  <si>
    <t>RF-37636</t>
  </si>
  <si>
    <t>RF-37635</t>
  </si>
  <si>
    <t>RF-37634</t>
  </si>
  <si>
    <t>RF-37633</t>
  </si>
  <si>
    <t>RF-37632</t>
  </si>
  <si>
    <t>RF-37630</t>
  </si>
  <si>
    <t>RF-37629</t>
  </si>
  <si>
    <t>RF-37628</t>
  </si>
  <si>
    <t>RF-37627</t>
  </si>
  <si>
    <t>RF-37626</t>
  </si>
  <si>
    <t>RF-37625</t>
  </si>
  <si>
    <t>AS-49001</t>
  </si>
  <si>
    <t>AS-49000</t>
  </si>
  <si>
    <t>AS-48998</t>
  </si>
  <si>
    <t>AS-48999</t>
  </si>
  <si>
    <t>AS-48997</t>
  </si>
  <si>
    <t>AS-48996</t>
  </si>
  <si>
    <t>AS-48995</t>
  </si>
  <si>
    <t>AS-48994</t>
  </si>
  <si>
    <t>AS-48993</t>
  </si>
  <si>
    <t>AS-48992</t>
  </si>
  <si>
    <t>AS-48991</t>
  </si>
  <si>
    <t>AS-48980</t>
  </si>
  <si>
    <t>AS-48983</t>
  </si>
  <si>
    <t>AS-48978</t>
  </si>
  <si>
    <t>AS-48977</t>
  </si>
  <si>
    <t>AS-48975</t>
  </si>
  <si>
    <t>AS-48973</t>
  </si>
  <si>
    <t>AS-48970</t>
  </si>
  <si>
    <t>AS-48963</t>
  </si>
  <si>
    <t>AS-48961</t>
  </si>
  <si>
    <t>AS-48960</t>
  </si>
  <si>
    <t>AS-48958</t>
  </si>
  <si>
    <t>AS-48956</t>
  </si>
  <si>
    <t>AS-48949</t>
  </si>
  <si>
    <t>AS-48948</t>
  </si>
  <si>
    <t>AS-48947</t>
  </si>
  <si>
    <t>AS-48946</t>
  </si>
  <si>
    <t>AS-48940</t>
  </si>
  <si>
    <t>AS-48941</t>
  </si>
  <si>
    <t>AS-48939</t>
  </si>
  <si>
    <t>AS-48936</t>
  </si>
  <si>
    <t>AS-48935</t>
  </si>
  <si>
    <t>AR-13610</t>
  </si>
  <si>
    <t>AR-13611</t>
  </si>
  <si>
    <t>AR-13609</t>
  </si>
  <si>
    <t>RF-37654</t>
  </si>
  <si>
    <t>RF-37691</t>
  </si>
  <si>
    <t>RF-37690</t>
  </si>
  <si>
    <t>RF-37689</t>
  </si>
  <si>
    <t>RF-37688</t>
  </si>
  <si>
    <t>RF-37687</t>
  </si>
  <si>
    <t>RF-37686</t>
  </si>
  <si>
    <t>RF-37685</t>
  </si>
  <si>
    <t>RF-37684</t>
  </si>
  <si>
    <t>RF-37683</t>
  </si>
  <si>
    <t>RF-37682</t>
  </si>
  <si>
    <t>RF-37681</t>
  </si>
  <si>
    <t>RF-37680</t>
  </si>
  <si>
    <t>RF-37679</t>
  </si>
  <si>
    <t>RF-37677</t>
  </si>
  <si>
    <t>RF-37676</t>
  </si>
  <si>
    <t>RF-37674</t>
  </si>
  <si>
    <t>RF-37673</t>
  </si>
  <si>
    <t>RF-37672</t>
  </si>
  <si>
    <t>RF-37671</t>
  </si>
  <si>
    <t>RF-37670</t>
  </si>
  <si>
    <t>RF-37669</t>
  </si>
  <si>
    <t>RF-37666</t>
  </si>
  <si>
    <t>RF-37665</t>
  </si>
  <si>
    <t>RF-37664</t>
  </si>
  <si>
    <t>RF-37662</t>
  </si>
  <si>
    <t>RF-37663</t>
  </si>
  <si>
    <t>RF-37661-0</t>
  </si>
  <si>
    <t>RF-37659</t>
  </si>
  <si>
    <t>RF-37658</t>
  </si>
  <si>
    <t>RF-37657</t>
  </si>
  <si>
    <t>RF-37656</t>
  </si>
  <si>
    <t>RF-37655</t>
  </si>
  <si>
    <t>AS-49063</t>
  </si>
  <si>
    <t>AS-49060</t>
  </si>
  <si>
    <t>AS-49059</t>
  </si>
  <si>
    <t>AS-49058</t>
  </si>
  <si>
    <t>AS-49057</t>
  </si>
  <si>
    <t>AS-49056</t>
  </si>
  <si>
    <t>AS-49054</t>
  </si>
  <si>
    <t>AS-49051</t>
  </si>
  <si>
    <t>AS-49048</t>
  </si>
  <si>
    <t>AS-49044</t>
  </si>
  <si>
    <t>AS-49042</t>
  </si>
  <si>
    <t>AS-49040</t>
  </si>
  <si>
    <t>AS-49037</t>
  </si>
  <si>
    <t>AS-49033</t>
  </si>
  <si>
    <t>AS-49029</t>
  </si>
  <si>
    <t>AS-49027</t>
  </si>
  <si>
    <t>AS-49026</t>
  </si>
  <si>
    <t>AS-49019</t>
  </si>
  <si>
    <t>AS-49018</t>
  </si>
  <si>
    <t>AS-49013</t>
  </si>
  <si>
    <t>AS-49009</t>
  </si>
  <si>
    <t>AS-49006</t>
  </si>
  <si>
    <t>AS-49003</t>
  </si>
  <si>
    <t>AS-13627</t>
  </si>
  <si>
    <t>AR-13622</t>
  </si>
  <si>
    <t>AR-13621</t>
  </si>
  <si>
    <t>AR-13620</t>
  </si>
  <si>
    <t>AR-13619</t>
  </si>
  <si>
    <t>AR-13618</t>
  </si>
  <si>
    <t>AR-13617</t>
  </si>
  <si>
    <t>AR-13613</t>
  </si>
  <si>
    <t>AR-13614</t>
  </si>
  <si>
    <t>AR-13612</t>
  </si>
  <si>
    <t>RF-37722</t>
  </si>
  <si>
    <t>RF-37720</t>
  </si>
  <si>
    <t>RF-37719</t>
  </si>
  <si>
    <t>RF-37718</t>
  </si>
  <si>
    <t>RF-37717</t>
  </si>
  <si>
    <t>RF-37716</t>
  </si>
  <si>
    <t>RF-37715</t>
  </si>
  <si>
    <t>RF-37714</t>
  </si>
  <si>
    <t>RF-37711</t>
  </si>
  <si>
    <t>RF-37709</t>
  </si>
  <si>
    <t>RF-37708</t>
  </si>
  <si>
    <t>RF-37707</t>
  </si>
  <si>
    <t>RF-37706</t>
  </si>
  <si>
    <t>RF-37705</t>
  </si>
  <si>
    <t>RF-37703</t>
  </si>
  <si>
    <t>RF-37702</t>
  </si>
  <si>
    <t>RF-37701</t>
  </si>
  <si>
    <t>RF-37700</t>
  </si>
  <si>
    <t>RF-37699</t>
  </si>
  <si>
    <t>RF-37698</t>
  </si>
  <si>
    <t>RF-37697</t>
  </si>
  <si>
    <t>RF-37696</t>
  </si>
  <si>
    <t>RF-37695</t>
  </si>
  <si>
    <t>RF-37693</t>
  </si>
  <si>
    <t>RF-37692</t>
  </si>
  <si>
    <t>AS-49119</t>
  </si>
  <si>
    <t>AS-49109</t>
  </si>
  <si>
    <t>AS-49106</t>
  </si>
  <si>
    <t>AS-49103</t>
  </si>
  <si>
    <t>AS-49102</t>
  </si>
  <si>
    <t>AS-49101</t>
  </si>
  <si>
    <t>AS-49100</t>
  </si>
  <si>
    <t>AS-49099</t>
  </si>
  <si>
    <t>AS-49098</t>
  </si>
  <si>
    <t>AS-49097</t>
  </si>
  <si>
    <t>AS-49096</t>
  </si>
  <si>
    <t>AS-49095</t>
  </si>
  <si>
    <t>AS-49092</t>
  </si>
  <si>
    <t>AS-49090</t>
  </si>
  <si>
    <t>AS-49089</t>
  </si>
  <si>
    <t>AS-49088</t>
  </si>
  <si>
    <t>AS-49087</t>
  </si>
  <si>
    <t>AS-49086</t>
  </si>
  <si>
    <t>AS-49080</t>
  </si>
  <si>
    <t>AS-49079</t>
  </si>
  <si>
    <t>AS-49078</t>
  </si>
  <si>
    <t>AS-49077</t>
  </si>
  <si>
    <t>AS-49075</t>
  </si>
  <si>
    <t>AS-49072</t>
  </si>
  <si>
    <t>AS-49069</t>
  </si>
  <si>
    <t>AS-49068</t>
  </si>
  <si>
    <t>AS-49067</t>
  </si>
  <si>
    <t>AS-49066</t>
  </si>
  <si>
    <t>AS-49064</t>
  </si>
  <si>
    <t>AR-13638</t>
  </si>
  <si>
    <t>AR-13635</t>
  </si>
  <si>
    <t>AR-13632</t>
  </si>
  <si>
    <t>AR-13631</t>
  </si>
  <si>
    <t>AR-13630</t>
  </si>
  <si>
    <t>AR-13629</t>
  </si>
  <si>
    <t>RF-37710</t>
  </si>
  <si>
    <t>RF-37751</t>
  </si>
  <si>
    <t>RF-37750</t>
  </si>
  <si>
    <t>RF-37749</t>
  </si>
  <si>
    <t>RF-37748</t>
  </si>
  <si>
    <t>RF-37747</t>
  </si>
  <si>
    <t>RF-37746</t>
  </si>
  <si>
    <t>RF-37745</t>
  </si>
  <si>
    <t>RF-37744</t>
  </si>
  <si>
    <t>RF-37743</t>
  </si>
  <si>
    <t>RF-37742</t>
  </si>
  <si>
    <t>RF-37741</t>
  </si>
  <si>
    <t>RF-37739</t>
  </si>
  <si>
    <t>RF-37738</t>
  </si>
  <si>
    <t>RF-37737</t>
  </si>
  <si>
    <t>RF-37736</t>
  </si>
  <si>
    <t>RF-37735</t>
  </si>
  <si>
    <t>RF-37734</t>
  </si>
  <si>
    <t>RF-37733</t>
  </si>
  <si>
    <t>RF-37732</t>
  </si>
  <si>
    <t>RF-37731</t>
  </si>
  <si>
    <t>RF-37730</t>
  </si>
  <si>
    <t>RF-37729</t>
  </si>
  <si>
    <t>RF-37728</t>
  </si>
  <si>
    <t>RF-37727</t>
  </si>
  <si>
    <t>RF-37726</t>
  </si>
  <si>
    <t>RF-37725</t>
  </si>
  <si>
    <t>RF-37724</t>
  </si>
  <si>
    <t>RF-37723</t>
  </si>
  <si>
    <t>AS-49176</t>
  </si>
  <si>
    <t>AS-49175</t>
  </si>
  <si>
    <t>AS-49174</t>
  </si>
  <si>
    <t>AS-49171</t>
  </si>
  <si>
    <t>AS-49170</t>
  </si>
  <si>
    <t>AS-49167</t>
  </si>
  <si>
    <t>AS-49166</t>
  </si>
  <si>
    <t>AS-49165</t>
  </si>
  <si>
    <t>AS-49163</t>
  </si>
  <si>
    <t>AS-49161</t>
  </si>
  <si>
    <t>AS-49160</t>
  </si>
  <si>
    <t>AS-49158</t>
  </si>
  <si>
    <t>AS-49154</t>
  </si>
  <si>
    <t>AS-49153</t>
  </si>
  <si>
    <t>AS-49151</t>
  </si>
  <si>
    <t>AS-49148</t>
  </si>
  <si>
    <t>AS-49147</t>
  </si>
  <si>
    <t>AS-49146</t>
  </si>
  <si>
    <t>AS-49145</t>
  </si>
  <si>
    <t>AS-49144</t>
  </si>
  <si>
    <t>AS-49143</t>
  </si>
  <si>
    <t>AS-49140</t>
  </si>
  <si>
    <t>AS-49137</t>
  </si>
  <si>
    <t>AS-49135</t>
  </si>
  <si>
    <t>AS-49132</t>
  </si>
  <si>
    <t>AS-49131</t>
  </si>
  <si>
    <t>AS-49129</t>
  </si>
  <si>
    <t>AS-49128</t>
  </si>
  <si>
    <t>AS-49127</t>
  </si>
  <si>
    <t>AS-49126</t>
  </si>
  <si>
    <t>AS-19125</t>
  </si>
  <si>
    <t>AS-49124</t>
  </si>
  <si>
    <t>AR-13658</t>
  </si>
  <si>
    <t>AR-13653</t>
  </si>
  <si>
    <t>AR-13652</t>
  </si>
  <si>
    <t>AR-13651</t>
  </si>
  <si>
    <t>AR-13650</t>
  </si>
  <si>
    <t>RF-37780</t>
  </si>
  <si>
    <t>RF-37779</t>
  </si>
  <si>
    <t>RF-37775</t>
  </si>
  <si>
    <t>RF-37774</t>
  </si>
  <si>
    <t>RF-37772</t>
  </si>
  <si>
    <t>RF-37771</t>
  </si>
  <si>
    <t>RF-37769</t>
  </si>
  <si>
    <t>RF-37768</t>
  </si>
  <si>
    <t>RF-37767</t>
  </si>
  <si>
    <t>RF-37766</t>
  </si>
  <si>
    <t>RF-37765</t>
  </si>
  <si>
    <t>RF-37764</t>
  </si>
  <si>
    <t>RF-37763</t>
  </si>
  <si>
    <t>RF-37762</t>
  </si>
  <si>
    <t>RF-37760</t>
  </si>
  <si>
    <t>RF-37759</t>
  </si>
  <si>
    <t>RF-37758</t>
  </si>
  <si>
    <t>RF-37756</t>
  </si>
  <si>
    <t>RF-37755</t>
  </si>
  <si>
    <t>RF-37754</t>
  </si>
  <si>
    <t>RF-37753</t>
  </si>
  <si>
    <t>RF-37752</t>
  </si>
  <si>
    <t>AS-49230</t>
  </si>
  <si>
    <t>AS-49229</t>
  </si>
  <si>
    <t>AS-49228</t>
  </si>
  <si>
    <t>AS-49227</t>
  </si>
  <si>
    <t>AS-49226</t>
  </si>
  <si>
    <t>AS-49225</t>
  </si>
  <si>
    <t>AS-49224</t>
  </si>
  <si>
    <t>AS-49223</t>
  </si>
  <si>
    <t>AS-49222</t>
  </si>
  <si>
    <t>AS-49221</t>
  </si>
  <si>
    <t>AS-49219</t>
  </si>
  <si>
    <t>AS-49218</t>
  </si>
  <si>
    <t>AS-49216</t>
  </si>
  <si>
    <t>AS-49215</t>
  </si>
  <si>
    <t>AS-49214</t>
  </si>
  <si>
    <t>AS-49213</t>
  </si>
  <si>
    <t>AS-49212</t>
  </si>
  <si>
    <t>AS-49211</t>
  </si>
  <si>
    <t>AS-49210</t>
  </si>
  <si>
    <t>AS-49209</t>
  </si>
  <si>
    <t>AS-49205</t>
  </si>
  <si>
    <t>AS-49197</t>
  </si>
  <si>
    <t>AS-49195</t>
  </si>
  <si>
    <t>AS-49193</t>
  </si>
  <si>
    <t>AS-49192</t>
  </si>
  <si>
    <t>AS-49191</t>
  </si>
  <si>
    <t>AS-49190</t>
  </si>
  <si>
    <t xml:space="preserve"> AS-49189</t>
  </si>
  <si>
    <t>AS-49182</t>
  </si>
  <si>
    <t>AR-13664</t>
  </si>
  <si>
    <t>AR-13663</t>
  </si>
  <si>
    <t>AR-13662</t>
  </si>
  <si>
    <t>AS-49183</t>
  </si>
  <si>
    <t>RF-37811</t>
  </si>
  <si>
    <t>RF-37810</t>
  </si>
  <si>
    <t>RF-37799</t>
  </si>
  <si>
    <t>RF-37798</t>
  </si>
  <si>
    <t>RF-37797</t>
  </si>
  <si>
    <t>RF-37796</t>
  </si>
  <si>
    <t>RF-37795</t>
  </si>
  <si>
    <t>RF-37794</t>
  </si>
  <si>
    <t>RF-37793</t>
  </si>
  <si>
    <t>RF-37792</t>
  </si>
  <si>
    <t>RF-37791</t>
  </si>
  <si>
    <t>RF-37790</t>
  </si>
  <si>
    <t>RF-37789</t>
  </si>
  <si>
    <t>RF-37788</t>
  </si>
  <si>
    <t>RF-37787</t>
  </si>
  <si>
    <t>RF-37785</t>
  </si>
  <si>
    <t>RF-37784</t>
  </si>
  <si>
    <t>RF-37783</t>
  </si>
  <si>
    <t>RF-37782</t>
  </si>
  <si>
    <t>AS-49278</t>
  </si>
  <si>
    <t>AS-49277</t>
  </si>
  <si>
    <t>AS-49276</t>
  </si>
  <si>
    <t>AS-49275</t>
  </si>
  <si>
    <t>AS-49274</t>
  </si>
  <si>
    <t>AS-49273</t>
  </si>
  <si>
    <t>AS-49272</t>
  </si>
  <si>
    <t>AS-49271</t>
  </si>
  <si>
    <t>AS-49270</t>
  </si>
  <si>
    <t>AS-49268</t>
  </si>
  <si>
    <t>AS-49267</t>
  </si>
  <si>
    <t>AS-49266</t>
  </si>
  <si>
    <t>AS-49261</t>
  </si>
  <si>
    <t>AS-49260</t>
  </si>
  <si>
    <t>AS-49259</t>
  </si>
  <si>
    <t>AS-49258</t>
  </si>
  <si>
    <t>AS-49257</t>
  </si>
  <si>
    <t>AS-49256</t>
  </si>
  <si>
    <t>AS-49254</t>
  </si>
  <si>
    <t>AS-49252</t>
  </si>
  <si>
    <t>AS-49251</t>
  </si>
  <si>
    <t>AS-49248</t>
  </si>
  <si>
    <t>AS-49246</t>
  </si>
  <si>
    <t>AS-49243</t>
  </si>
  <si>
    <t>AR-13685</t>
  </si>
  <si>
    <t>AR-13681</t>
  </si>
  <si>
    <t>AR-13675</t>
  </si>
  <si>
    <t>AR-13674</t>
  </si>
  <si>
    <t>AR-13672</t>
  </si>
  <si>
    <t>AR-13671</t>
  </si>
  <si>
    <t>AR-13669</t>
  </si>
  <si>
    <t>AR-13667</t>
  </si>
  <si>
    <t>RF-37821</t>
  </si>
  <si>
    <t>RF-37822</t>
  </si>
  <si>
    <t>RF-37820</t>
  </si>
  <si>
    <t>RF-37819</t>
  </si>
  <si>
    <t>RF-37818</t>
  </si>
  <si>
    <t>RF-37817</t>
  </si>
  <si>
    <t>RF-37816</t>
  </si>
  <si>
    <t>RF-37815</t>
  </si>
  <si>
    <t>RF-37814</t>
  </si>
  <si>
    <t>RF-37813</t>
  </si>
  <si>
    <t>RF-37812</t>
  </si>
  <si>
    <t>RF-37809</t>
  </si>
  <si>
    <t>RF-37808</t>
  </si>
  <si>
    <t>AS-49319</t>
  </si>
  <si>
    <t>AS-49318</t>
  </si>
  <si>
    <t>AS-49317</t>
  </si>
  <si>
    <t>AS-49316</t>
  </si>
  <si>
    <t>AS-49315</t>
  </si>
  <si>
    <t>AS-49314</t>
  </si>
  <si>
    <t>AS-49313</t>
  </si>
  <si>
    <t>AS-49312</t>
  </si>
  <si>
    <t>AS-49310</t>
  </si>
  <si>
    <t>AS-49309</t>
  </si>
  <si>
    <t>AS-49307</t>
  </si>
  <si>
    <t>AS-49305</t>
  </si>
  <si>
    <t>AS-49304</t>
  </si>
  <si>
    <t>AS-49303</t>
  </si>
  <si>
    <t>AS-49302</t>
  </si>
  <si>
    <t>AS-49301</t>
  </si>
  <si>
    <t>AS-49300</t>
  </si>
  <si>
    <t>AS-49299</t>
  </si>
  <si>
    <t>AS-49298</t>
  </si>
  <si>
    <t>AS-49296</t>
  </si>
  <si>
    <t>AS-49294</t>
  </si>
  <si>
    <t>AS-49293</t>
  </si>
  <si>
    <t>AS-49292</t>
  </si>
  <si>
    <t>AS-49290</t>
  </si>
  <si>
    <t>AS-49289</t>
  </si>
  <si>
    <t>AS-49288</t>
  </si>
  <si>
    <t>AS-49285</t>
  </si>
  <si>
    <t>AS-49284</t>
  </si>
  <si>
    <t>AR-13693</t>
  </si>
  <si>
    <t>AR-13692</t>
  </si>
  <si>
    <t>AR-13691</t>
  </si>
  <si>
    <t>AR-13687</t>
  </si>
  <si>
    <t>AR-13686</t>
  </si>
  <si>
    <t>RF-37824</t>
  </si>
  <si>
    <t>RF-37850</t>
  </si>
  <si>
    <t>RF-37849</t>
  </si>
  <si>
    <t>RF-37848</t>
  </si>
  <si>
    <t>RF-37847</t>
  </si>
  <si>
    <t>RF-37845</t>
  </si>
  <si>
    <t>RF-37844</t>
  </si>
  <si>
    <t>RF-37843</t>
  </si>
  <si>
    <t>RF-37842</t>
  </si>
  <si>
    <t>RF-37841</t>
  </si>
  <si>
    <t>RF-37840</t>
  </si>
  <si>
    <t>RF-37839</t>
  </si>
  <si>
    <t>RF-37838</t>
  </si>
  <si>
    <t>RF-37836</t>
  </si>
  <si>
    <t>RF-37833</t>
  </si>
  <si>
    <t>RF-37832</t>
  </si>
  <si>
    <t>RF-37831</t>
  </si>
  <si>
    <t>RF-37829</t>
  </si>
  <si>
    <t>RF-37827</t>
  </si>
  <si>
    <t>RF-37826</t>
  </si>
  <si>
    <t>RF-37825</t>
  </si>
  <si>
    <t>AS-49358</t>
  </si>
  <si>
    <t>AS-49357</t>
  </si>
  <si>
    <t>AS-49356</t>
  </si>
  <si>
    <t>AS-49355</t>
  </si>
  <si>
    <t>AS-49354</t>
  </si>
  <si>
    <t>AS-49353</t>
  </si>
  <si>
    <t>AS-49352</t>
  </si>
  <si>
    <t>AS-49351</t>
  </si>
  <si>
    <t>AS-49350</t>
  </si>
  <si>
    <t>AS-49349</t>
  </si>
  <si>
    <t>AS-49348</t>
  </si>
  <si>
    <t>AS-49347</t>
  </si>
  <si>
    <t>AS-49346</t>
  </si>
  <si>
    <t>AS-49345</t>
  </si>
  <si>
    <t>AS-49344</t>
  </si>
  <si>
    <t>AS-49342</t>
  </si>
  <si>
    <t>AS-49340</t>
  </si>
  <si>
    <t>AS-49333</t>
  </si>
  <si>
    <t>AS-49329</t>
  </si>
  <si>
    <t>AS-49327</t>
  </si>
  <si>
    <t>AS-49326</t>
  </si>
  <si>
    <t>AS-49325</t>
  </si>
  <si>
    <t>AS-49321</t>
  </si>
  <si>
    <t>AS-49320</t>
  </si>
  <si>
    <t>AR-13702</t>
  </si>
  <si>
    <t>RF-37940</t>
  </si>
  <si>
    <t>RF-37938</t>
  </si>
  <si>
    <t>RF-37936</t>
  </si>
  <si>
    <t>RF-37934</t>
  </si>
  <si>
    <t>RF-37933</t>
  </si>
  <si>
    <t>RF-37932</t>
  </si>
  <si>
    <t>RF-37931</t>
  </si>
  <si>
    <t>RF-37930</t>
  </si>
  <si>
    <t>RF-37928</t>
  </si>
  <si>
    <t>RF-37926</t>
  </si>
  <si>
    <t>RF-37925</t>
  </si>
  <si>
    <t>RF-37894</t>
  </si>
  <si>
    <t>RF-37892</t>
  </si>
  <si>
    <t>RF-37890</t>
  </si>
  <si>
    <t>AS-49441</t>
  </si>
  <si>
    <t>AS-49440</t>
  </si>
  <si>
    <t>AS-49433</t>
  </si>
  <si>
    <t>AS-49432</t>
  </si>
  <si>
    <t>AS-49431</t>
  </si>
  <si>
    <t>AS-49430</t>
  </si>
  <si>
    <t>AS-49428</t>
  </si>
  <si>
    <t>AS-49427</t>
  </si>
  <si>
    <t>AS-49426</t>
  </si>
  <si>
    <t>AS-49424</t>
  </si>
  <si>
    <t>AS-49423</t>
  </si>
  <si>
    <t>AS-49412</t>
  </si>
  <si>
    <t>AS-49411</t>
  </si>
  <si>
    <t>AS-49410</t>
  </si>
  <si>
    <t>AS-49409</t>
  </si>
  <si>
    <t>AS-49408</t>
  </si>
  <si>
    <t>AS-49407</t>
  </si>
  <si>
    <t>AS-49406</t>
  </si>
  <si>
    <t>AS-49405</t>
  </si>
  <si>
    <t>AS-49404</t>
  </si>
  <si>
    <t>AS-49403</t>
  </si>
  <si>
    <t>AS-49402</t>
  </si>
  <si>
    <t>AS-49401</t>
  </si>
  <si>
    <t>AS-49400</t>
  </si>
  <si>
    <t>AS-49399</t>
  </si>
  <si>
    <t>AS-49398</t>
  </si>
  <si>
    <t>AS-49397</t>
  </si>
  <si>
    <t>AS-49396</t>
  </si>
  <si>
    <t>AS-49395</t>
  </si>
  <si>
    <t>AS-49393</t>
  </si>
  <si>
    <t>AS-13724</t>
  </si>
  <si>
    <t>AR-13723</t>
  </si>
  <si>
    <t>AR-13720</t>
  </si>
  <si>
    <t>AR-13719</t>
  </si>
  <si>
    <t>AR-13717</t>
  </si>
  <si>
    <t>AR-13716</t>
  </si>
  <si>
    <t>AS-49422</t>
  </si>
  <si>
    <t>EFECTIVO DEPOSITADO 2017</t>
  </si>
  <si>
    <t>RF-37889</t>
  </si>
  <si>
    <t>RF37888</t>
  </si>
  <si>
    <t>RF-37887</t>
  </si>
  <si>
    <t>RF-37886</t>
  </si>
  <si>
    <t>RF-37885</t>
  </si>
  <si>
    <t>RF-37884</t>
  </si>
  <si>
    <t>RF-37883</t>
  </si>
  <si>
    <t>RF-37882</t>
  </si>
  <si>
    <t>RF-37881</t>
  </si>
  <si>
    <t>RF-37880</t>
  </si>
  <si>
    <t>RF-37879</t>
  </si>
  <si>
    <t>RF-37876</t>
  </si>
  <si>
    <t>RF-37875</t>
  </si>
  <si>
    <t>RF-37874</t>
  </si>
  <si>
    <t>RF-37872</t>
  </si>
  <si>
    <t>RF-37869</t>
  </si>
  <si>
    <t>RF-37868</t>
  </si>
  <si>
    <t>RF-37867</t>
  </si>
  <si>
    <t>RF-37866</t>
  </si>
  <si>
    <t>RF-37865</t>
  </si>
  <si>
    <t>RF-37863</t>
  </si>
  <si>
    <t>RF-37862</t>
  </si>
  <si>
    <t>RF-37861</t>
  </si>
  <si>
    <t>RF-37859</t>
  </si>
  <si>
    <t>RF-37858</t>
  </si>
  <si>
    <t>RF-37857</t>
  </si>
  <si>
    <t>RF-37856</t>
  </si>
  <si>
    <t>RF-37854</t>
  </si>
  <si>
    <t>RF-37853</t>
  </si>
  <si>
    <t>AS-49390</t>
  </si>
  <si>
    <t>AS-49389</t>
  </si>
  <si>
    <t>AS-49388</t>
  </si>
  <si>
    <t>AS-49387</t>
  </si>
  <si>
    <t>AS-49386</t>
  </si>
  <si>
    <t>AS-49385</t>
  </si>
  <si>
    <t>AS-49384</t>
  </si>
  <si>
    <t>AS-49383</t>
  </si>
  <si>
    <t>AS-49382</t>
  </si>
  <si>
    <t>RF-49381</t>
  </si>
  <si>
    <t>AS-49380</t>
  </si>
  <si>
    <t>AS-49379</t>
  </si>
  <si>
    <t>AS-49378</t>
  </si>
  <si>
    <t>AS-49377</t>
  </si>
  <si>
    <t>AS-49376</t>
  </si>
  <si>
    <t>AS-49375</t>
  </si>
  <si>
    <t>AS-49374</t>
  </si>
  <si>
    <t>AS-49370</t>
  </si>
  <si>
    <t>AS-49369</t>
  </si>
  <si>
    <t>AS-49368</t>
  </si>
  <si>
    <t>AS-49367</t>
  </si>
  <si>
    <t>AS-49366</t>
  </si>
  <si>
    <t>AS-49365</t>
  </si>
  <si>
    <t>AS-49363</t>
  </si>
  <si>
    <t>AS-49362</t>
  </si>
  <si>
    <t>AS-49360</t>
  </si>
  <si>
    <t>AS-49359</t>
  </si>
  <si>
    <t>AR-13713</t>
  </si>
  <si>
    <t>AR-13711</t>
  </si>
  <si>
    <t>AR-13710</t>
  </si>
  <si>
    <t>AR-13709</t>
  </si>
  <si>
    <t>AR-13708</t>
  </si>
  <si>
    <t>AR-17706</t>
  </si>
  <si>
    <t>AR-13706</t>
  </si>
  <si>
    <t>RF-37870</t>
  </si>
  <si>
    <t>AS-49381</t>
  </si>
  <si>
    <t>RF-37694</t>
  </si>
  <si>
    <t>RF-37961</t>
  </si>
  <si>
    <t>RF-37960</t>
  </si>
  <si>
    <t>RF-37959</t>
  </si>
  <si>
    <t>RF-37958</t>
  </si>
  <si>
    <t>RF-37954</t>
  </si>
  <si>
    <t>RF-37953</t>
  </si>
  <si>
    <t>RF-37952</t>
  </si>
  <si>
    <t>RF-37951</t>
  </si>
  <si>
    <t>RF-37950</t>
  </si>
  <si>
    <t>RF-37948</t>
  </si>
  <si>
    <t>RF-37946</t>
  </si>
  <si>
    <t>RF-37945</t>
  </si>
  <si>
    <t>RF-37943</t>
  </si>
  <si>
    <t>RF-37942</t>
  </si>
  <si>
    <t>RF-37941</t>
  </si>
  <si>
    <t>AS-49464</t>
  </si>
  <si>
    <t>AS-49463</t>
  </si>
  <si>
    <t>AS-49461</t>
  </si>
  <si>
    <t>AS-49460</t>
  </si>
  <si>
    <t>AS-49459</t>
  </si>
  <si>
    <t>AS-49458</t>
  </si>
  <si>
    <t>AS-49456</t>
  </si>
  <si>
    <t>AS-49455</t>
  </si>
  <si>
    <t>AS-49454</t>
  </si>
  <si>
    <t>AS-49453</t>
  </si>
  <si>
    <t>AS-49451</t>
  </si>
  <si>
    <t>AS-49449</t>
  </si>
  <si>
    <t>AS-49448</t>
  </si>
  <si>
    <t>AS-49447</t>
  </si>
  <si>
    <t>AS-49446</t>
  </si>
  <si>
    <t>AS-49445</t>
  </si>
  <si>
    <t>AS-49444</t>
  </si>
  <si>
    <t>AS-49443</t>
  </si>
  <si>
    <t>AS-49442</t>
  </si>
  <si>
    <t>AR-13732</t>
  </si>
  <si>
    <t>AR-13730</t>
  </si>
  <si>
    <t>AR-13729</t>
  </si>
  <si>
    <t>AR-13728</t>
  </si>
  <si>
    <t>RF-37911</t>
  </si>
  <si>
    <t>RF-37990</t>
  </si>
  <si>
    <t>RF-37989</t>
  </si>
  <si>
    <t>RF-37988</t>
  </si>
  <si>
    <t>RF-37987</t>
  </si>
  <si>
    <t>RF-37986</t>
  </si>
  <si>
    <t>RF-37985</t>
  </si>
  <si>
    <t>RF-37984</t>
  </si>
  <si>
    <t>RF-37983</t>
  </si>
  <si>
    <t>RF-37982</t>
  </si>
  <si>
    <t>RF-37981</t>
  </si>
  <si>
    <t>RF-37980</t>
  </si>
  <si>
    <t>RF-37979</t>
  </si>
  <si>
    <t>RF-37978</t>
  </si>
  <si>
    <t>RF-37977</t>
  </si>
  <si>
    <t>RF-37976</t>
  </si>
  <si>
    <t>RF-37974</t>
  </si>
  <si>
    <t>RF-37973</t>
  </si>
  <si>
    <t>RF-37972</t>
  </si>
  <si>
    <t>RF-37971</t>
  </si>
  <si>
    <t>RF-37970</t>
  </si>
  <si>
    <t>RF-37969</t>
  </si>
  <si>
    <t>RF-37966</t>
  </si>
  <si>
    <t>RF-37965</t>
  </si>
  <si>
    <t>AS-49506</t>
  </si>
  <si>
    <t>AS-49505</t>
  </si>
  <si>
    <t>AS-49504</t>
  </si>
  <si>
    <t>AS-49503</t>
  </si>
  <si>
    <t>AS-49502</t>
  </si>
  <si>
    <t>AS-49501</t>
  </si>
  <si>
    <t>AS-49500</t>
  </si>
  <si>
    <t>AS-49499</t>
  </si>
  <si>
    <t>AS-49498</t>
  </si>
  <si>
    <t>AS-49497</t>
  </si>
  <si>
    <t>AS-49496</t>
  </si>
  <si>
    <t>AS-49495</t>
  </si>
  <si>
    <t>AS-49494</t>
  </si>
  <si>
    <t>AS-49493</t>
  </si>
  <si>
    <t>AS-49492</t>
  </si>
  <si>
    <t>AS-49491</t>
  </si>
  <si>
    <t>AS-49490</t>
  </si>
  <si>
    <t>AS-49489</t>
  </si>
  <si>
    <t>AS-49488</t>
  </si>
  <si>
    <t>AS-49487</t>
  </si>
  <si>
    <t>AS-49485</t>
  </si>
  <si>
    <t>AS-49483</t>
  </si>
  <si>
    <t>AS-49482</t>
  </si>
  <si>
    <t>AS-49481</t>
  </si>
  <si>
    <t>AS-49470</t>
  </si>
  <si>
    <t>AS-49479</t>
  </si>
  <si>
    <t>AS-49478</t>
  </si>
  <si>
    <t>AS-49477</t>
  </si>
  <si>
    <t>AS-49476</t>
  </si>
  <si>
    <t>AS-47475</t>
  </si>
  <si>
    <t>AS-49474</t>
  </si>
  <si>
    <t>AS-47473</t>
  </si>
  <si>
    <t>AS-49472</t>
  </si>
  <si>
    <t>AS-49471</t>
  </si>
  <si>
    <t>AS-49469</t>
  </si>
  <si>
    <t>AS-49468</t>
  </si>
  <si>
    <t>AS-49467</t>
  </si>
  <si>
    <t>AS-49466</t>
  </si>
  <si>
    <t>AS-49465</t>
  </si>
  <si>
    <t>AR-13749</t>
  </si>
  <si>
    <t>AS-13747</t>
  </si>
  <si>
    <t>AR-13746</t>
  </si>
  <si>
    <t>AR-13745</t>
  </si>
  <si>
    <t>AR-13744</t>
  </si>
  <si>
    <t>AR-13741</t>
  </si>
  <si>
    <t>AR-13739</t>
  </si>
  <si>
    <t>AR-13738</t>
  </si>
  <si>
    <t>AR-13737</t>
  </si>
  <si>
    <t>AR-13736</t>
  </si>
  <si>
    <t>AR-13735</t>
  </si>
  <si>
    <t>AR-13734</t>
  </si>
  <si>
    <t>AR-13733</t>
  </si>
  <si>
    <t>RF-37993</t>
  </si>
  <si>
    <t>RF-37992</t>
  </si>
  <si>
    <t>RF-37996</t>
  </si>
  <si>
    <t>RF-37994</t>
  </si>
  <si>
    <t>RF-38014</t>
  </si>
  <si>
    <t>RF-38013</t>
  </si>
  <si>
    <t>RF-38012</t>
  </si>
  <si>
    <t>RF-38011</t>
  </si>
  <si>
    <t>RF-38010</t>
  </si>
  <si>
    <t>RF-38009</t>
  </si>
  <si>
    <t>RF-38008</t>
  </si>
  <si>
    <t>RF-38007</t>
  </si>
  <si>
    <t>RF-38006</t>
  </si>
  <si>
    <t>RF-38004</t>
  </si>
  <si>
    <t>RF-38002</t>
  </si>
  <si>
    <t>RF-38001</t>
  </si>
  <si>
    <t>RF-38000</t>
  </si>
  <si>
    <t>RF-37999</t>
  </si>
  <si>
    <t>RF-37998</t>
  </si>
  <si>
    <t>RF-37997</t>
  </si>
  <si>
    <t>AS-49545</t>
  </si>
  <si>
    <t>AS-49544</t>
  </si>
  <si>
    <t>AS-49543</t>
  </si>
  <si>
    <t>AS-49542</t>
  </si>
  <si>
    <t>AS-49541</t>
  </si>
  <si>
    <t>AS-49540</t>
  </si>
  <si>
    <t>AS-49539</t>
  </si>
  <si>
    <t>AS-49538</t>
  </si>
  <si>
    <t>AS-49537</t>
  </si>
  <si>
    <t>AS-49536</t>
  </si>
  <si>
    <t>AS-49535</t>
  </si>
  <si>
    <t>AS-49534</t>
  </si>
  <si>
    <t>AS-49533</t>
  </si>
  <si>
    <t>AS-49529</t>
  </si>
  <si>
    <t>AS-49528</t>
  </si>
  <si>
    <t>AS-49527</t>
  </si>
  <si>
    <t>AS-49526</t>
  </si>
  <si>
    <t>AS-49525</t>
  </si>
  <si>
    <t>AS-49524</t>
  </si>
  <si>
    <t>AS-49518</t>
  </si>
  <si>
    <t>AS-49517</t>
  </si>
  <si>
    <t>AS-49508</t>
  </si>
  <si>
    <t>AS-49507</t>
  </si>
  <si>
    <t>AR-13760</t>
  </si>
  <si>
    <t>AR-13757</t>
  </si>
  <si>
    <t>AR-13756</t>
  </si>
  <si>
    <t>AR-13755</t>
  </si>
  <si>
    <t>AR-13754</t>
  </si>
  <si>
    <t>AR-13752</t>
  </si>
  <si>
    <t>AR-13751</t>
  </si>
  <si>
    <t>RF-38030</t>
  </si>
  <si>
    <t>RF-38029</t>
  </si>
  <si>
    <t>RF-38028</t>
  </si>
  <si>
    <t>RF-38027</t>
  </si>
  <si>
    <t>RF-38026</t>
  </si>
  <si>
    <t>RF-38025</t>
  </si>
  <si>
    <t>RF-38024</t>
  </si>
  <si>
    <t>RF-38023</t>
  </si>
  <si>
    <t>RF-38020</t>
  </si>
  <si>
    <t>AS-49587</t>
  </si>
  <si>
    <t>AS-49586</t>
  </si>
  <si>
    <t>AS-59585</t>
  </si>
  <si>
    <t>AS-49584</t>
  </si>
  <si>
    <t>AS-49583</t>
  </si>
  <si>
    <t>AS-49582</t>
  </si>
  <si>
    <t>AS-49581</t>
  </si>
  <si>
    <t>AS-49580</t>
  </si>
  <si>
    <t>AS-49579</t>
  </si>
  <si>
    <t>AS-49577</t>
  </si>
  <si>
    <t>AS-49576</t>
  </si>
  <si>
    <t>AS-49575</t>
  </si>
  <si>
    <t>AS-49574</t>
  </si>
  <si>
    <t>AS-49573</t>
  </si>
  <si>
    <t>AS-49572</t>
  </si>
  <si>
    <t>AS-49571</t>
  </si>
  <si>
    <t>AS-49570</t>
  </si>
  <si>
    <t>AS-49568</t>
  </si>
  <si>
    <t>AS-49560</t>
  </si>
  <si>
    <t>AS-49559</t>
  </si>
  <si>
    <t>AS-49558</t>
  </si>
  <si>
    <t>AS-49557</t>
  </si>
  <si>
    <t>AS-49556</t>
  </si>
  <si>
    <t>AR-13769</t>
  </si>
  <si>
    <t>AR-13767</t>
  </si>
  <si>
    <t>AR-13765</t>
  </si>
  <si>
    <t>RF-38019</t>
  </si>
  <si>
    <t>RF-38018</t>
  </si>
  <si>
    <t>RF-38017</t>
  </si>
  <si>
    <t>RF-38016</t>
  </si>
  <si>
    <t>RF-38015</t>
  </si>
  <si>
    <t>AS-49547</t>
  </si>
  <si>
    <t>AS-49546</t>
  </si>
  <si>
    <t>AS-49555</t>
  </si>
  <si>
    <t>AS-49554</t>
  </si>
  <si>
    <t>AS-49553</t>
  </si>
  <si>
    <t>AS-49552</t>
  </si>
  <si>
    <t>AS-49551</t>
  </si>
  <si>
    <t>AS-49550</t>
  </si>
  <si>
    <t>AS-49549</t>
  </si>
  <si>
    <t>AS-49548</t>
  </si>
  <si>
    <t>AR-13761</t>
  </si>
  <si>
    <t>RF-38043</t>
  </si>
  <si>
    <t>RF-38042</t>
  </si>
  <si>
    <t>RF-38041</t>
  </si>
  <si>
    <t>RF-38040</t>
  </si>
  <si>
    <t>RF-38039</t>
  </si>
  <si>
    <t>RF-38038</t>
  </si>
  <si>
    <t>RF-38037</t>
  </si>
  <si>
    <t>RF-38036</t>
  </si>
  <si>
    <t>RF-38035</t>
  </si>
  <si>
    <t>AS-49616</t>
  </si>
  <si>
    <t>AS-49615</t>
  </si>
  <si>
    <t>AS-49614</t>
  </si>
  <si>
    <t>AS-49613</t>
  </si>
  <si>
    <t>AS-49612</t>
  </si>
  <si>
    <t>AS-49611</t>
  </si>
  <si>
    <t>AS-49610</t>
  </si>
  <si>
    <t>AS-49609</t>
  </si>
  <si>
    <t>AS-49608</t>
  </si>
  <si>
    <t>AS-49607</t>
  </si>
  <si>
    <t>AS-49606</t>
  </si>
  <si>
    <t>AS-49604</t>
  </si>
  <si>
    <t>AS-49603</t>
  </si>
  <si>
    <t>AS-49602</t>
  </si>
  <si>
    <t>AS-49601</t>
  </si>
  <si>
    <t>AS-49600</t>
  </si>
  <si>
    <t>AS-49599</t>
  </si>
  <si>
    <t>AS-49598</t>
  </si>
  <si>
    <t>AS-49597</t>
  </si>
  <si>
    <t>AS-49596</t>
  </si>
  <si>
    <t>AR-13776</t>
  </si>
  <si>
    <t>RF-38061</t>
  </si>
  <si>
    <t>RF-38053</t>
  </si>
  <si>
    <t>RF-38060</t>
  </si>
  <si>
    <t>RF-38059</t>
  </si>
  <si>
    <t>RF-38058</t>
  </si>
  <si>
    <t>RF-38057</t>
  </si>
  <si>
    <t>RF-38056</t>
  </si>
  <si>
    <t>RF-38055</t>
  </si>
  <si>
    <t>RF-38054</t>
  </si>
  <si>
    <t>AS-49642</t>
  </si>
  <si>
    <t>AS-49641</t>
  </si>
  <si>
    <t>AS-49640</t>
  </si>
  <si>
    <t>AS-49636</t>
  </si>
  <si>
    <t>AS-49634</t>
  </si>
  <si>
    <t>AS-49633</t>
  </si>
  <si>
    <t>AS-49631</t>
  </si>
  <si>
    <t>AS-49630</t>
  </si>
  <si>
    <t>AS-49629</t>
  </si>
  <si>
    <t>AS-49628</t>
  </si>
  <si>
    <t>AS-49627</t>
  </si>
  <si>
    <t>AS-49626</t>
  </si>
  <si>
    <t>AR-13784</t>
  </si>
  <si>
    <t>AR-13782</t>
  </si>
  <si>
    <t>AR-13781</t>
  </si>
  <si>
    <t>RF-38052</t>
  </si>
  <si>
    <t>RF-38051</t>
  </si>
  <si>
    <t>RF-38050</t>
  </si>
  <si>
    <t>RF-38049</t>
  </si>
  <si>
    <t>RF-38048</t>
  </si>
  <si>
    <t>RF-38047</t>
  </si>
  <si>
    <t>RF-38046</t>
  </si>
  <si>
    <t>RF-38045</t>
  </si>
  <si>
    <t>AS-48624</t>
  </si>
  <si>
    <t>AS-49623</t>
  </si>
  <si>
    <t>AS-49622</t>
  </si>
  <si>
    <t>AS-49621</t>
  </si>
  <si>
    <t>AS-49620</t>
  </si>
  <si>
    <t>AS-49619</t>
  </si>
  <si>
    <t>AS-49618</t>
  </si>
  <si>
    <t>AS-49617</t>
  </si>
  <si>
    <t>AR-13779</t>
  </si>
  <si>
    <t>RF-38075</t>
  </si>
  <si>
    <t>RF-38074</t>
  </si>
  <si>
    <t>RF-38073</t>
  </si>
  <si>
    <t>RF-38072</t>
  </si>
  <si>
    <t>RF-38071</t>
  </si>
  <si>
    <t>RF-38070</t>
  </si>
  <si>
    <t>RF-38069</t>
  </si>
  <si>
    <t>RF-38068</t>
  </si>
  <si>
    <t>RF-38067</t>
  </si>
  <si>
    <t>RF-38066</t>
  </si>
  <si>
    <t>RF-38065</t>
  </si>
  <si>
    <t>RF-38064</t>
  </si>
  <si>
    <t>RF-38063</t>
  </si>
  <si>
    <t>RF-38062</t>
  </si>
  <si>
    <t>AS-49696</t>
  </si>
  <si>
    <t>AS-49694</t>
  </si>
  <si>
    <t>AS-49691</t>
  </si>
  <si>
    <t>AS-49690</t>
  </si>
  <si>
    <t>AS-49688</t>
  </si>
  <si>
    <t>AS-49687</t>
  </si>
  <si>
    <t>AS-49686</t>
  </si>
  <si>
    <t>AS-49685</t>
  </si>
  <si>
    <t>AS-49684</t>
  </si>
  <si>
    <t>AS-49683</t>
  </si>
  <si>
    <t>AS-49682</t>
  </si>
  <si>
    <t>AS-49680</t>
  </si>
  <si>
    <t>AS-49679</t>
  </si>
  <si>
    <t>AS-49678</t>
  </si>
  <si>
    <t>AS-49677</t>
  </si>
  <si>
    <t>AS-49676</t>
  </si>
  <si>
    <t>AS-49675</t>
  </si>
  <si>
    <t>AS-49674</t>
  </si>
  <si>
    <t>AS-49673</t>
  </si>
  <si>
    <t>AS-49672</t>
  </si>
  <si>
    <t>AS-49671</t>
  </si>
  <si>
    <t>AS-49670</t>
  </si>
  <si>
    <t>AS-49669</t>
  </si>
  <si>
    <t>AS-49668</t>
  </si>
  <si>
    <t>AS-49667</t>
  </si>
  <si>
    <t>AS-49659</t>
  </si>
  <si>
    <t>AR-13796</t>
  </si>
  <si>
    <t>AR-13792</t>
  </si>
  <si>
    <t>AR-13790</t>
  </si>
  <si>
    <t>AR-13789</t>
  </si>
  <si>
    <t>AS-49681</t>
  </si>
  <si>
    <t>RF 38066</t>
  </si>
  <si>
    <t>RF-38079</t>
  </si>
  <si>
    <t>AR-13799</t>
  </si>
  <si>
    <t>RF-38078</t>
  </si>
  <si>
    <t>RF-38077</t>
  </si>
  <si>
    <t>RF-38076</t>
  </si>
  <si>
    <t>RF-38114</t>
  </si>
  <si>
    <t>RF-38113</t>
  </si>
  <si>
    <t>RF-38112</t>
  </si>
  <si>
    <t>RF-38111</t>
  </si>
  <si>
    <t>RF-38110</t>
  </si>
  <si>
    <t>RF-38109</t>
  </si>
  <si>
    <t>RF-38108</t>
  </si>
  <si>
    <t>RF-38107</t>
  </si>
  <si>
    <t>RF-38106</t>
  </si>
  <si>
    <t>RF-38105</t>
  </si>
  <si>
    <t>RF-38104</t>
  </si>
  <si>
    <t>RF-38103</t>
  </si>
  <si>
    <t>RF-38102</t>
  </si>
  <si>
    <t>RF-38101</t>
  </si>
  <si>
    <t>RF-38100</t>
  </si>
  <si>
    <t>RF-38099</t>
  </si>
  <si>
    <t>RF-38098</t>
  </si>
  <si>
    <t>RF-38097</t>
  </si>
  <si>
    <t>RF-38096</t>
  </si>
  <si>
    <t>RF-38095</t>
  </si>
  <si>
    <t>RF-38094</t>
  </si>
  <si>
    <t>RF-38093</t>
  </si>
  <si>
    <t>RF-38092</t>
  </si>
  <si>
    <t>AS-49726</t>
  </si>
  <si>
    <t>AS-49724</t>
  </si>
  <si>
    <t>AS-49723</t>
  </si>
  <si>
    <t>AS-49713</t>
  </si>
  <si>
    <t>AS-49722</t>
  </si>
  <si>
    <t>AS-49721</t>
  </si>
  <si>
    <t>AS-49718</t>
  </si>
  <si>
    <t>AS-49717</t>
  </si>
  <si>
    <t>AS-49716</t>
  </si>
  <si>
    <t>AS-49715</t>
  </si>
  <si>
    <t>AS-49714</t>
  </si>
  <si>
    <t>AS-49712</t>
  </si>
  <si>
    <t>AS-49711</t>
  </si>
  <si>
    <t>AS-49710</t>
  </si>
  <si>
    <t>AS-49709</t>
  </si>
  <si>
    <t>AS-49707</t>
  </si>
  <si>
    <t>AS-49706</t>
  </si>
  <si>
    <t>AS-49705</t>
  </si>
  <si>
    <t>AS-49704</t>
  </si>
  <si>
    <t>AS-49703</t>
  </si>
  <si>
    <t>AS-49701</t>
  </si>
  <si>
    <t>AR-13807</t>
  </si>
  <si>
    <t>AR-13804</t>
  </si>
  <si>
    <t>AR-13803</t>
  </si>
  <si>
    <t>AR-13802</t>
  </si>
  <si>
    <t>AS-49725</t>
  </si>
  <si>
    <t>AR-13805</t>
  </si>
  <si>
    <t>RF-38091</t>
  </si>
  <si>
    <t>RF-38090</t>
  </si>
  <si>
    <t>RF-38089</t>
  </si>
  <si>
    <t>RF-38088</t>
  </si>
  <si>
    <t>RF-38087</t>
  </si>
  <si>
    <t>GARANTIAS RF-38086</t>
  </si>
  <si>
    <t>GARANTIAS RF-38085</t>
  </si>
  <si>
    <t>RF-38084</t>
  </si>
  <si>
    <t>RF-38083</t>
  </si>
  <si>
    <t>RF-38082</t>
  </si>
  <si>
    <t>RF-38081</t>
  </si>
  <si>
    <t>RF-38080</t>
  </si>
  <si>
    <t>AS-49700</t>
  </si>
  <si>
    <t>AS-49697</t>
  </si>
  <si>
    <t>AR-13798</t>
  </si>
  <si>
    <t>RF-38115</t>
  </si>
  <si>
    <t>AS-49743</t>
  </si>
  <si>
    <t>AS-49742</t>
  </si>
  <si>
    <t>AS-49741</t>
  </si>
  <si>
    <t>AS-49740</t>
  </si>
  <si>
    <t>AS-49739</t>
  </si>
  <si>
    <t>AR-13813</t>
  </si>
  <si>
    <t>AR-13812</t>
  </si>
  <si>
    <t>AR-13811</t>
  </si>
  <si>
    <t>AR-13810</t>
  </si>
  <si>
    <t>RF-38033</t>
  </si>
  <si>
    <t>RF-38032</t>
  </si>
  <si>
    <t>RF-38031</t>
  </si>
  <si>
    <t>AR-13775</t>
  </si>
  <si>
    <t>RF-38034</t>
  </si>
  <si>
    <t>AS-49595</t>
  </si>
  <si>
    <t>AS-49594</t>
  </si>
  <si>
    <t>AS-49592</t>
  </si>
  <si>
    <t>AS-49591</t>
  </si>
  <si>
    <t>AS-49590</t>
  </si>
  <si>
    <t>AS-49589</t>
  </si>
  <si>
    <t>AS-49588</t>
  </si>
  <si>
    <t>AR-13773</t>
  </si>
  <si>
    <t>AR-13772</t>
  </si>
  <si>
    <t>RF-38127</t>
  </si>
  <si>
    <t>RF-38126</t>
  </si>
  <si>
    <t>RF-38124</t>
  </si>
  <si>
    <t>RF-38125</t>
  </si>
  <si>
    <t>RF-38123</t>
  </si>
  <si>
    <t>RF-38122</t>
  </si>
  <si>
    <t>RF-38121</t>
  </si>
  <si>
    <t>RF-38120</t>
  </si>
  <si>
    <t>RF-38119</t>
  </si>
  <si>
    <t>RF-38118</t>
  </si>
  <si>
    <t>RF-38117</t>
  </si>
  <si>
    <t>RF-38116</t>
  </si>
  <si>
    <t>AS-49767</t>
  </si>
  <si>
    <t>AS-49766</t>
  </si>
  <si>
    <t>AS-49765</t>
  </si>
  <si>
    <t>AS-49764</t>
  </si>
  <si>
    <t>AS-49763</t>
  </si>
  <si>
    <t>AS-49762</t>
  </si>
  <si>
    <t>AS-49761</t>
  </si>
  <si>
    <t>AS-49760</t>
  </si>
  <si>
    <t>AS-49759</t>
  </si>
  <si>
    <t>AS-49758</t>
  </si>
  <si>
    <t>AS-49757</t>
  </si>
  <si>
    <t>AS-49756</t>
  </si>
  <si>
    <t>AS-49755</t>
  </si>
  <si>
    <t>AS-49754</t>
  </si>
  <si>
    <t>AS-49753</t>
  </si>
  <si>
    <t>AS-49752</t>
  </si>
  <si>
    <t>AS-49751</t>
  </si>
  <si>
    <t>AS-49750</t>
  </si>
  <si>
    <t>AS-49749</t>
  </si>
  <si>
    <t>AS-49748</t>
  </si>
  <si>
    <t>AS-49746</t>
  </si>
  <si>
    <t>AS-49745</t>
  </si>
  <si>
    <t>AS-49744</t>
  </si>
  <si>
    <t>AR-13818</t>
  </si>
  <si>
    <t>AR-13815</t>
  </si>
  <si>
    <t>RF-38156</t>
  </si>
  <si>
    <t>RF-38155</t>
  </si>
  <si>
    <t>RF-38152</t>
  </si>
  <si>
    <t>RF-38150</t>
  </si>
  <si>
    <t>AS-49773</t>
  </si>
  <si>
    <t>RF-38149</t>
  </si>
  <si>
    <t>RF-38148</t>
  </si>
  <si>
    <t>RF-38146</t>
  </si>
  <si>
    <t>RF-38145</t>
  </si>
  <si>
    <t>RF-38143</t>
  </si>
  <si>
    <t>AR-13843</t>
  </si>
  <si>
    <t>RF-38142</t>
  </si>
  <si>
    <t>RF-38141</t>
  </si>
  <si>
    <t>RF-38140</t>
  </si>
  <si>
    <t>RF-38139</t>
  </si>
  <si>
    <t>RF-38137</t>
  </si>
  <si>
    <t>RF-38135</t>
  </si>
  <si>
    <t>RF-38134</t>
  </si>
  <si>
    <t>RF-38133</t>
  </si>
  <si>
    <t>AR-13835</t>
  </si>
  <si>
    <t>AR-13830</t>
  </si>
  <si>
    <t>AS-49798</t>
  </si>
  <si>
    <t>AS-49796</t>
  </si>
  <si>
    <t>AS-49795</t>
  </si>
  <si>
    <t>AS-497921</t>
  </si>
  <si>
    <t>AS-49792</t>
  </si>
  <si>
    <t>AS-49791</t>
  </si>
  <si>
    <t>AS-49790</t>
  </si>
  <si>
    <t>AS-49789</t>
  </si>
  <si>
    <t>AS-49788</t>
  </si>
  <si>
    <t>AS-49787</t>
  </si>
  <si>
    <t>AR-13844</t>
  </si>
  <si>
    <t>AS-49786</t>
  </si>
  <si>
    <t>AS-49785</t>
  </si>
  <si>
    <t>AS-49784</t>
  </si>
  <si>
    <t>AS-49783</t>
  </si>
  <si>
    <t>AS-49782</t>
  </si>
  <si>
    <t>AS-49781</t>
  </si>
  <si>
    <t>AS-49780</t>
  </si>
  <si>
    <t>AS-49779</t>
  </si>
  <si>
    <t>AS-49778</t>
  </si>
  <si>
    <t>RF-49792</t>
  </si>
  <si>
    <t>RF-38132</t>
  </si>
  <si>
    <t>RF-38131</t>
  </si>
  <si>
    <t>RF-38130</t>
  </si>
  <si>
    <t>RF-38129</t>
  </si>
  <si>
    <t>RF-38128</t>
  </si>
  <si>
    <t>AS-49774</t>
  </si>
  <si>
    <t>AS-49772</t>
  </si>
  <si>
    <t>AS-49770</t>
  </si>
  <si>
    <t>AS-49769</t>
  </si>
  <si>
    <t>AS-49768</t>
  </si>
  <si>
    <t>AR-13827</t>
  </si>
  <si>
    <t>AR-13826</t>
  </si>
  <si>
    <t>RF-38174</t>
  </si>
  <si>
    <t>RF-38173</t>
  </si>
  <si>
    <t>RF-38172</t>
  </si>
  <si>
    <t>RF-38171</t>
  </si>
  <si>
    <t>RF-38175</t>
  </si>
  <si>
    <t>RF-38169</t>
  </si>
  <si>
    <t>RF-38168</t>
  </si>
  <si>
    <t>GARANTIAS RF-38167</t>
  </si>
  <si>
    <t>RF-38166</t>
  </si>
  <si>
    <t>RF-38165</t>
  </si>
  <si>
    <t>RF-38164</t>
  </si>
  <si>
    <t>RF-38163</t>
  </si>
  <si>
    <t>AS-49827</t>
  </si>
  <si>
    <t>AS-49826</t>
  </si>
  <si>
    <t>AS-49825</t>
  </si>
  <si>
    <t>AS-49824</t>
  </si>
  <si>
    <t>AS-49823</t>
  </si>
  <si>
    <t>AS-49822</t>
  </si>
  <si>
    <t>AS-49821</t>
  </si>
  <si>
    <t>AS-49820</t>
  </si>
  <si>
    <t>AS-49819</t>
  </si>
  <si>
    <t>AS-49818</t>
  </si>
  <si>
    <t>AS-49817</t>
  </si>
  <si>
    <t>AS-49816</t>
  </si>
  <si>
    <t>AS-49815</t>
  </si>
  <si>
    <t>AS-49813</t>
  </si>
  <si>
    <t>AS-49811</t>
  </si>
  <si>
    <t>AS-49810</t>
  </si>
  <si>
    <t>AS-49809</t>
  </si>
  <si>
    <t>AS-49808</t>
  </si>
  <si>
    <t>AS-49807</t>
  </si>
  <si>
    <t>AS-49806</t>
  </si>
  <si>
    <t>AS-49805</t>
  </si>
  <si>
    <t>AR-13847</t>
  </si>
  <si>
    <t>AR-13840</t>
  </si>
  <si>
    <t>RF-38162</t>
  </si>
  <si>
    <t>RF-38161</t>
  </si>
  <si>
    <t>RF-38160</t>
  </si>
  <si>
    <t>RF-38159</t>
  </si>
  <si>
    <t>RF-38158</t>
  </si>
  <si>
    <t>RF-38157</t>
  </si>
  <si>
    <t>AS-49804</t>
  </si>
  <si>
    <t>AS-49803</t>
  </si>
  <si>
    <t>AS-49802</t>
  </si>
  <si>
    <t>AS-49801</t>
  </si>
  <si>
    <t>AS-49800</t>
  </si>
  <si>
    <t>AS-49799</t>
  </si>
  <si>
    <t>AR-13837</t>
  </si>
  <si>
    <t>AR-13836</t>
  </si>
  <si>
    <t>RF-38196</t>
  </si>
  <si>
    <t>RF-38195</t>
  </si>
  <si>
    <t>RF-38194</t>
  </si>
  <si>
    <t>RF-38193</t>
  </si>
  <si>
    <t>RF-38192</t>
  </si>
  <si>
    <t>RF-38191</t>
  </si>
  <si>
    <t>RF-38190</t>
  </si>
  <si>
    <t>RF-38189</t>
  </si>
  <si>
    <t>RF-38188</t>
  </si>
  <si>
    <t>RF-38187</t>
  </si>
  <si>
    <t>RF-38197</t>
  </si>
  <si>
    <t>RF-38186</t>
  </si>
  <si>
    <t>RF-38185</t>
  </si>
  <si>
    <t>RF-38184</t>
  </si>
  <si>
    <t>RF-38183</t>
  </si>
  <si>
    <t>RF-38182</t>
  </si>
  <si>
    <t>RF-38181</t>
  </si>
  <si>
    <t>AS-49908</t>
  </si>
  <si>
    <t>AS-49906</t>
  </si>
  <si>
    <t>AS-49905</t>
  </si>
  <si>
    <t>AS-49897</t>
  </si>
  <si>
    <t>AS-49893</t>
  </si>
  <si>
    <t>AS-49881</t>
  </si>
  <si>
    <t>AS-49879</t>
  </si>
  <si>
    <t>AS-49873</t>
  </si>
  <si>
    <t>AS-49872</t>
  </si>
  <si>
    <t>AS-49869</t>
  </si>
  <si>
    <t>AS-49868</t>
  </si>
  <si>
    <t>AS-49866</t>
  </si>
  <si>
    <t>AS-49856</t>
  </si>
  <si>
    <t>AS-49842</t>
  </si>
  <si>
    <t>AS-49841</t>
  </si>
  <si>
    <t>AS-49840</t>
  </si>
  <si>
    <t>AS-49839</t>
  </si>
  <si>
    <t>AS-49838</t>
  </si>
  <si>
    <t>AS-49837</t>
  </si>
  <si>
    <t>AS-49836</t>
  </si>
  <si>
    <t>AS-49835</t>
  </si>
  <si>
    <t>AS-49834</t>
  </si>
  <si>
    <t>AS-49833</t>
  </si>
  <si>
    <t>AR-13860</t>
  </si>
  <si>
    <t>AR-13857</t>
  </si>
  <si>
    <t>AS-49858</t>
  </si>
  <si>
    <t>RF-38180</t>
  </si>
  <si>
    <t>RF-38179</t>
  </si>
  <si>
    <t>RF-38178</t>
  </si>
  <si>
    <t>RF-38177</t>
  </si>
  <si>
    <t>RF-38176</t>
  </si>
  <si>
    <t>AS-49832</t>
  </si>
  <si>
    <t>AS-49831</t>
  </si>
  <si>
    <t>AS-49830</t>
  </si>
  <si>
    <t>AS-49829</t>
  </si>
  <si>
    <t>AR-13853</t>
  </si>
  <si>
    <t>AR-13850</t>
  </si>
  <si>
    <t>RF-38207</t>
  </si>
  <si>
    <t>RF-38206</t>
  </si>
  <si>
    <t>RF-38205</t>
  </si>
  <si>
    <t>RF-38204</t>
  </si>
  <si>
    <t>RF-38203</t>
  </si>
  <si>
    <t>RF-38202</t>
  </si>
  <si>
    <t>RF-38201</t>
  </si>
  <si>
    <t>RF-38200</t>
  </si>
  <si>
    <t>RF-38199</t>
  </si>
  <si>
    <t>RF-38198</t>
  </si>
  <si>
    <t>RF-49976</t>
  </si>
  <si>
    <t>AS-49967</t>
  </si>
  <si>
    <t>AS-49966</t>
  </si>
  <si>
    <t>AS-49965</t>
  </si>
  <si>
    <t>AS-49964</t>
  </si>
  <si>
    <t>AS-49963</t>
  </si>
  <si>
    <t>AS-49962</t>
  </si>
  <si>
    <t>AS-49961</t>
  </si>
  <si>
    <t>AS-49960</t>
  </si>
  <si>
    <t>AS-49959</t>
  </si>
  <si>
    <t>AS-49957</t>
  </si>
  <si>
    <t>AS-49956</t>
  </si>
  <si>
    <t>AS-49955</t>
  </si>
  <si>
    <t>AS-49954</t>
  </si>
  <si>
    <t>AS-49953</t>
  </si>
  <si>
    <t>AS-49952</t>
  </si>
  <si>
    <t>AS-49950</t>
  </si>
  <si>
    <t>AS-49939</t>
  </si>
  <si>
    <t>AS-49924</t>
  </si>
  <si>
    <t>AS-49925</t>
  </si>
  <si>
    <t>AR-13864</t>
  </si>
  <si>
    <t>AR-13862</t>
  </si>
  <si>
    <t>AR-13861</t>
  </si>
  <si>
    <t>AS-49958</t>
  </si>
  <si>
    <t>RF-38208</t>
  </si>
  <si>
    <t>RF-38236</t>
  </si>
  <si>
    <t>RF-38235</t>
  </si>
  <si>
    <t>RF-38234</t>
  </si>
  <si>
    <t>RF-38233</t>
  </si>
  <si>
    <t>RF-38232</t>
  </si>
  <si>
    <t>RF-38231</t>
  </si>
  <si>
    <t>RF-38230</t>
  </si>
  <si>
    <t>RF-38229</t>
  </si>
  <si>
    <t>RF-38228</t>
  </si>
  <si>
    <t>RF-38227</t>
  </si>
  <si>
    <t>RF-38226</t>
  </si>
  <si>
    <t>RF-38225</t>
  </si>
  <si>
    <t>RF-38224</t>
  </si>
  <si>
    <t>RF-38223</t>
  </si>
  <si>
    <t>RF-38222</t>
  </si>
  <si>
    <t>RF-38221</t>
  </si>
  <si>
    <t>RF-38220</t>
  </si>
  <si>
    <t>AS-50015</t>
  </si>
  <si>
    <t>AS-50014</t>
  </si>
  <si>
    <t>AS-50013</t>
  </si>
  <si>
    <t>AS-50012</t>
  </si>
  <si>
    <t>AS-50011</t>
  </si>
  <si>
    <t>AS-50010</t>
  </si>
  <si>
    <t>RF-50009</t>
  </si>
  <si>
    <t>AS-50005</t>
  </si>
  <si>
    <t>AS-50004</t>
  </si>
  <si>
    <t>AS-50003</t>
  </si>
  <si>
    <t>AS-50002</t>
  </si>
  <si>
    <t>AS-50001</t>
  </si>
  <si>
    <t>AS-50000</t>
  </si>
  <si>
    <t>AS-49999</t>
  </si>
  <si>
    <t>AS-49988</t>
  </si>
  <si>
    <t>AS-49987</t>
  </si>
  <si>
    <t>AS-49985</t>
  </si>
  <si>
    <t>AS-49984</t>
  </si>
  <si>
    <t>AS-49983</t>
  </si>
  <si>
    <t>AS-49982</t>
  </si>
  <si>
    <t>AR-13876</t>
  </si>
  <si>
    <t>AR-13875</t>
  </si>
  <si>
    <t>AR-13874</t>
  </si>
  <si>
    <t>AR-13872</t>
  </si>
  <si>
    <t>AR-13870</t>
  </si>
  <si>
    <t>RF-38219</t>
  </si>
  <si>
    <t>RF-38218</t>
  </si>
  <si>
    <t>RF-38214</t>
  </si>
  <si>
    <t>RF-38213</t>
  </si>
  <si>
    <t>RF-38212</t>
  </si>
  <si>
    <t>RF-38211</t>
  </si>
  <si>
    <t>RF-38210</t>
  </si>
  <si>
    <t>RF-38209</t>
  </si>
  <si>
    <t>AS-49981</t>
  </si>
  <si>
    <t>AS-49980</t>
  </si>
  <si>
    <t>AS-49979</t>
  </si>
  <si>
    <t>AS-49978</t>
  </si>
  <si>
    <t>AS-49977</t>
  </si>
  <si>
    <t>AR-13867</t>
  </si>
  <si>
    <t>GARANTIAS RF-38216</t>
  </si>
  <si>
    <t>RF-38242</t>
  </si>
  <si>
    <t>RF-38241</t>
  </si>
  <si>
    <t>RF-38240</t>
  </si>
  <si>
    <t>RF-38239</t>
  </si>
  <si>
    <t>AR-13879</t>
  </si>
  <si>
    <t>RF-38238</t>
  </si>
  <si>
    <t>AS-50018</t>
  </si>
  <si>
    <t>AR-13878</t>
  </si>
  <si>
    <t>RF-38237</t>
  </si>
  <si>
    <t>AS-50017</t>
  </si>
  <si>
    <t>AR-13877</t>
  </si>
  <si>
    <t>AS-50033</t>
  </si>
  <si>
    <t>AS-50032</t>
  </si>
  <si>
    <t>AS-50028</t>
  </si>
  <si>
    <t>AS-50025</t>
  </si>
  <si>
    <t>AS-50016</t>
  </si>
  <si>
    <t>RF-38260</t>
  </si>
  <si>
    <t>RF-38259</t>
  </si>
  <si>
    <t>RF-38258</t>
  </si>
  <si>
    <t>RF-38257</t>
  </si>
  <si>
    <t>RF-38256</t>
  </si>
  <si>
    <t>AS-50056</t>
  </si>
  <si>
    <t>RF-38255</t>
  </si>
  <si>
    <t>AS-50055</t>
  </si>
  <si>
    <t>RF-38254</t>
  </si>
  <si>
    <t>RF-38253</t>
  </si>
  <si>
    <t>RF-38252</t>
  </si>
  <si>
    <t>RF-38251</t>
  </si>
  <si>
    <t>RF-38250</t>
  </si>
  <si>
    <t>RF-38249</t>
  </si>
  <si>
    <t>RF-38248</t>
  </si>
  <si>
    <t>RF-38247</t>
  </si>
  <si>
    <t>RF-38246</t>
  </si>
  <si>
    <t>RF-38245</t>
  </si>
  <si>
    <t>RF-38244</t>
  </si>
  <si>
    <t>RF-38243</t>
  </si>
  <si>
    <t>AS-50060</t>
  </si>
  <si>
    <t>AS-50059</t>
  </si>
  <si>
    <t>AS-50058</t>
  </si>
  <si>
    <t>AS-50057</t>
  </si>
  <si>
    <t>AS-50054</t>
  </si>
  <si>
    <t>AS-50052</t>
  </si>
  <si>
    <t>AS-50051</t>
  </si>
  <si>
    <t>AS-50046</t>
  </si>
  <si>
    <t>AS-50045</t>
  </si>
  <si>
    <t>AS-50037</t>
  </si>
  <si>
    <t>AS-50035</t>
  </si>
  <si>
    <t>AS-50034</t>
  </si>
  <si>
    <t>AR-13884</t>
  </si>
  <si>
    <t>AR-13882</t>
  </si>
  <si>
    <t>AR-13881</t>
  </si>
  <si>
    <t>AR-13880</t>
  </si>
  <si>
    <t>RF-38291</t>
  </si>
  <si>
    <t>RF-38290</t>
  </si>
  <si>
    <t>AS-50090</t>
  </si>
  <si>
    <t>RF-38289</t>
  </si>
  <si>
    <t>AS-50089</t>
  </si>
  <si>
    <t>RF-38288</t>
  </si>
  <si>
    <t>RF-38283</t>
  </si>
  <si>
    <t>RF-38281</t>
  </si>
  <si>
    <t>RF-38280</t>
  </si>
  <si>
    <t>RF-38279</t>
  </si>
  <si>
    <t>AS-50118</t>
  </si>
  <si>
    <t>AS-500117</t>
  </si>
  <si>
    <t>AS-50116</t>
  </si>
  <si>
    <t>AS-50108</t>
  </si>
  <si>
    <t>AS-50104</t>
  </si>
  <si>
    <t>AS-50099</t>
  </si>
  <si>
    <t>AS-50098</t>
  </si>
  <si>
    <t>AS-50097</t>
  </si>
  <si>
    <t>AS-50096</t>
  </si>
  <si>
    <t>AS-50095</t>
  </si>
  <si>
    <t>AS-50094</t>
  </si>
  <si>
    <t>AS-50093</t>
  </si>
  <si>
    <t>AS-50092</t>
  </si>
  <si>
    <t>AS-50091</t>
  </si>
  <si>
    <t>AS-50088</t>
  </si>
  <si>
    <t>AS-50087</t>
  </si>
  <si>
    <t>AS-50086</t>
  </si>
  <si>
    <t>AS-50084</t>
  </si>
  <si>
    <t>AS-50070</t>
  </si>
  <si>
    <t>AS-500069</t>
  </si>
  <si>
    <t>AS-50068</t>
  </si>
  <si>
    <t>AR-13890</t>
  </si>
  <si>
    <t>AR-13888</t>
  </si>
  <si>
    <t>AR-13887</t>
  </si>
  <si>
    <t>RF-38278</t>
  </si>
  <si>
    <t>RF-38277</t>
  </si>
  <si>
    <t>RF-38276</t>
  </si>
  <si>
    <t>RF-38275</t>
  </si>
  <si>
    <t>RF-38269</t>
  </si>
  <si>
    <t>RF-38268</t>
  </si>
  <si>
    <t>RF-38267</t>
  </si>
  <si>
    <t>RF-38266</t>
  </si>
  <si>
    <t>RF-38265</t>
  </si>
  <si>
    <t>RF-38264</t>
  </si>
  <si>
    <t>RF-38263</t>
  </si>
  <si>
    <t>RF-38262</t>
  </si>
  <si>
    <t>AS-50066</t>
  </si>
  <si>
    <t>AS-50065</t>
  </si>
  <si>
    <t>AS-50064</t>
  </si>
  <si>
    <t>AS-50063</t>
  </si>
  <si>
    <t>AS-50062</t>
  </si>
  <si>
    <t>AS-450061</t>
  </si>
  <si>
    <t>AR-13886</t>
  </si>
  <si>
    <t>AR-13885</t>
  </si>
  <si>
    <t>RF-38299</t>
  </si>
  <si>
    <t>RF-38298</t>
  </si>
  <si>
    <t>RF-38297</t>
  </si>
  <si>
    <t>RF-38296</t>
  </si>
  <si>
    <t>RF-38295</t>
  </si>
  <si>
    <t>RF-38294</t>
  </si>
  <si>
    <t>AS-50144</t>
  </si>
  <si>
    <t>AS-50143</t>
  </si>
  <si>
    <t>AS-50140</t>
  </si>
  <si>
    <t>AS50137</t>
  </si>
  <si>
    <t>AS-50135</t>
  </si>
  <si>
    <t>AS-50132</t>
  </si>
  <si>
    <t>AS-50130</t>
  </si>
  <si>
    <t>AS-50124</t>
  </si>
  <si>
    <t>AS-50119</t>
  </si>
  <si>
    <t>AR-13895</t>
  </si>
  <si>
    <t>AR-13894</t>
  </si>
  <si>
    <t>AR-13893</t>
  </si>
  <si>
    <t>AR-13892</t>
  </si>
  <si>
    <t>RF-38339</t>
  </si>
  <si>
    <t>RF-38338</t>
  </si>
  <si>
    <t>RF-38337</t>
  </si>
  <si>
    <t>RF-38335</t>
  </si>
  <si>
    <t>RF-38334</t>
  </si>
  <si>
    <t>RF-38331</t>
  </si>
  <si>
    <t>RF-38330</t>
  </si>
  <si>
    <t>RF-38329</t>
  </si>
  <si>
    <t>RF-38328</t>
  </si>
  <si>
    <t>RF-38327</t>
  </si>
  <si>
    <t>RF-38326</t>
  </si>
  <si>
    <t>RF-38325</t>
  </si>
  <si>
    <t>AS-20250</t>
  </si>
  <si>
    <t>AS-50249</t>
  </si>
  <si>
    <t>AS-50248</t>
  </si>
  <si>
    <t>AS-50247</t>
  </si>
  <si>
    <t>AS-50245</t>
  </si>
  <si>
    <t>AS-50243</t>
  </si>
  <si>
    <t>AS-50242</t>
  </si>
  <si>
    <t>AS-50241</t>
  </si>
  <si>
    <t>AS-50239</t>
  </si>
  <si>
    <t>AS-50238</t>
  </si>
  <si>
    <t>AS-50236</t>
  </si>
  <si>
    <t>AS-50232</t>
  </si>
  <si>
    <t>AS-50230</t>
  </si>
  <si>
    <t>AS-50221</t>
  </si>
  <si>
    <t>AS-50212</t>
  </si>
  <si>
    <t>AS-50211</t>
  </si>
  <si>
    <t>AS-50210</t>
  </si>
  <si>
    <t>AS-50209</t>
  </si>
  <si>
    <t>AS-50208</t>
  </si>
  <si>
    <t>AS-50206</t>
  </si>
  <si>
    <t>AS-50204</t>
  </si>
  <si>
    <t>AS-50193</t>
  </si>
  <si>
    <t>AS-50191</t>
  </si>
  <si>
    <t>AS-50190</t>
  </si>
  <si>
    <t>AS-50185</t>
  </si>
  <si>
    <t>AS-50184</t>
  </si>
  <si>
    <t>AS-50183</t>
  </si>
  <si>
    <t>AS-50182</t>
  </si>
  <si>
    <t>AS-50178</t>
  </si>
  <si>
    <t>AR-13911</t>
  </si>
  <si>
    <t>AS-13907</t>
  </si>
  <si>
    <t>AR-13903</t>
  </si>
  <si>
    <t>AR-13900</t>
  </si>
  <si>
    <t>AR-13899</t>
  </si>
  <si>
    <t>RF-38353</t>
  </si>
  <si>
    <t>RF-38350</t>
  </si>
  <si>
    <t>RF-38349</t>
  </si>
  <si>
    <t>RF-38348</t>
  </si>
  <si>
    <t>RF-38347</t>
  </si>
  <si>
    <t>RF-38346</t>
  </si>
  <si>
    <t>RF-38345</t>
  </si>
  <si>
    <t>RF-38344</t>
  </si>
  <si>
    <t>RF-38343</t>
  </si>
  <si>
    <t>RF-38342</t>
  </si>
  <si>
    <t>RF-38341</t>
  </si>
  <si>
    <t>RF-38340</t>
  </si>
  <si>
    <t>AR-50275</t>
  </si>
  <si>
    <t>AS-50273</t>
  </si>
  <si>
    <t>AS-50271</t>
  </si>
  <si>
    <t>AS-50269</t>
  </si>
  <si>
    <t>AS-50268</t>
  </si>
  <si>
    <t>AS-50267</t>
  </si>
  <si>
    <t>AS-50266</t>
  </si>
  <si>
    <t>AS-50265</t>
  </si>
  <si>
    <t>AS-50264</t>
  </si>
  <si>
    <t>AS-50263</t>
  </si>
  <si>
    <t>AS-50262</t>
  </si>
  <si>
    <t>AS-50261</t>
  </si>
  <si>
    <t>AS-50260</t>
  </si>
  <si>
    <t>AS-50258</t>
  </si>
  <si>
    <t>AS-50256</t>
  </si>
  <si>
    <t>AS-50251</t>
  </si>
  <si>
    <t>AR-13914</t>
  </si>
  <si>
    <t>AS-13912</t>
  </si>
  <si>
    <t>AR-13908</t>
  </si>
  <si>
    <t>AR-13916</t>
  </si>
  <si>
    <t>RF-38356</t>
  </si>
  <si>
    <t>RF-38355</t>
  </si>
  <si>
    <t>RF-38354</t>
  </si>
  <si>
    <t>RF-38323</t>
  </si>
  <si>
    <t>RF-38322</t>
  </si>
  <si>
    <t>RF-38321</t>
  </si>
  <si>
    <t>RF-38320</t>
  </si>
  <si>
    <t>RF-38319</t>
  </si>
  <si>
    <t>RF-38317</t>
  </si>
  <si>
    <t>RF-38316</t>
  </si>
  <si>
    <t>RF-38315</t>
  </si>
  <si>
    <t>RF-38314</t>
  </si>
  <si>
    <t>RF-38313</t>
  </si>
  <si>
    <t>RF-38312</t>
  </si>
  <si>
    <t>RF-38311</t>
  </si>
  <si>
    <t>RF-38310</t>
  </si>
  <si>
    <t>RF-38309</t>
  </si>
  <si>
    <t>RF-38308</t>
  </si>
  <si>
    <t>RF-38307</t>
  </si>
  <si>
    <t>RF-38305</t>
  </si>
  <si>
    <t>RF-38304</t>
  </si>
  <si>
    <t>RF-38303</t>
  </si>
  <si>
    <t>RF-38302</t>
  </si>
  <si>
    <t>RF-38301</t>
  </si>
  <si>
    <t>RF-38300</t>
  </si>
  <si>
    <t>AS-50176</t>
  </si>
  <si>
    <t>AS-50175</t>
  </si>
  <si>
    <t>AS-50174</t>
  </si>
  <si>
    <t>AS-50173</t>
  </si>
  <si>
    <t>AS-50171</t>
  </si>
  <si>
    <t>AS-50169</t>
  </si>
  <si>
    <t>AS-50168</t>
  </si>
  <si>
    <t>AS-50167</t>
  </si>
  <si>
    <t>AS-50165</t>
  </si>
  <si>
    <t>AS-50163</t>
  </si>
  <si>
    <t>AS-50162</t>
  </si>
  <si>
    <t>AS-50161</t>
  </si>
  <si>
    <t>AS-50160</t>
  </si>
  <si>
    <t>AS-50159</t>
  </si>
  <si>
    <t>AS-50156</t>
  </si>
  <si>
    <t>AS-50155</t>
  </si>
  <si>
    <t>AS-50151</t>
  </si>
  <si>
    <t>AS-50148</t>
  </si>
  <si>
    <t>AS-50147</t>
  </si>
  <si>
    <t>AR-13898</t>
  </si>
  <si>
    <t>AR-13896</t>
  </si>
  <si>
    <t>RF-38394</t>
  </si>
  <si>
    <t>RF-38392</t>
  </si>
  <si>
    <t>RF-38391</t>
  </si>
  <si>
    <t>RF-38390+</t>
  </si>
  <si>
    <t>RF-38389</t>
  </si>
  <si>
    <t>RF-38388</t>
  </si>
  <si>
    <t>RF-38387</t>
  </si>
  <si>
    <t>RF-38385</t>
  </si>
  <si>
    <t>RF-38384</t>
  </si>
  <si>
    <t>RF-38383</t>
  </si>
  <si>
    <t>RF-38382</t>
  </si>
  <si>
    <t>RF-38381</t>
  </si>
  <si>
    <t>RF-38380</t>
  </si>
  <si>
    <t>RF-38379</t>
  </si>
  <si>
    <t>RF-38378</t>
  </si>
  <si>
    <t>RF-38377</t>
  </si>
  <si>
    <t>RF-38376</t>
  </si>
  <si>
    <t>RF-38375</t>
  </si>
  <si>
    <t>RF-38374</t>
  </si>
  <si>
    <t>RF-38373</t>
  </si>
  <si>
    <t>RF-38372</t>
  </si>
  <si>
    <t>RF-38371</t>
  </si>
  <si>
    <t>RF-38370</t>
  </si>
  <si>
    <t>RF-38367</t>
  </si>
  <si>
    <t>RF-38366</t>
  </si>
  <si>
    <t>RF-38365</t>
  </si>
  <si>
    <t>RF-38364</t>
  </si>
  <si>
    <t>RF-38363+</t>
  </si>
  <si>
    <t>AS-38362</t>
  </si>
  <si>
    <t>RF-38361</t>
  </si>
  <si>
    <t>RF-38360</t>
  </si>
  <si>
    <t>RF-38359</t>
  </si>
  <si>
    <t>RF-38358</t>
  </si>
  <si>
    <t>RF-38357</t>
  </si>
  <si>
    <t>AS-50320</t>
  </si>
  <si>
    <t>AS-50319</t>
  </si>
  <si>
    <t>AS-50318</t>
  </si>
  <si>
    <t>AS-50317</t>
  </si>
  <si>
    <t>AS-50316</t>
  </si>
  <si>
    <t>AS-50315</t>
  </si>
  <si>
    <t>AS-50314</t>
  </si>
  <si>
    <t>AS-50313</t>
  </si>
  <si>
    <t>AS-50312</t>
  </si>
  <si>
    <t>AS-50311</t>
  </si>
  <si>
    <t>AS-50308</t>
  </si>
  <si>
    <t>AS-50303</t>
  </si>
  <si>
    <t>AS-50301</t>
  </si>
  <si>
    <t>AS-50299</t>
  </si>
  <si>
    <t>AS-50298</t>
  </si>
  <si>
    <t>AS-50297</t>
  </si>
  <si>
    <t>AS-50296</t>
  </si>
  <si>
    <t>AS-50295</t>
  </si>
  <si>
    <t>AS-50294</t>
  </si>
  <si>
    <t>AS-50292</t>
  </si>
  <si>
    <t>AS-50280</t>
  </si>
  <si>
    <t>AS-50279</t>
  </si>
  <si>
    <t>AS-50278</t>
  </si>
  <si>
    <t>AS-50276</t>
  </si>
  <si>
    <t>AR-13928</t>
  </si>
  <si>
    <t>AR-13924</t>
  </si>
  <si>
    <t>AR-13922</t>
  </si>
  <si>
    <t>AR-13920</t>
  </si>
  <si>
    <t>AR-13919</t>
  </si>
  <si>
    <t>AR-13918</t>
  </si>
  <si>
    <t>RF-38428</t>
  </si>
  <si>
    <t>RF-38427</t>
  </si>
  <si>
    <t>RF-38426</t>
  </si>
  <si>
    <t>RF-38425</t>
  </si>
  <si>
    <t>RF-38424</t>
  </si>
  <si>
    <t>RF-38423</t>
  </si>
  <si>
    <t>RF-38422</t>
  </si>
  <si>
    <t>RF-38421</t>
  </si>
  <si>
    <t>RF-38420</t>
  </si>
  <si>
    <t>RF-38419</t>
  </si>
  <si>
    <t>RF-38418</t>
  </si>
  <si>
    <t>RF-38417</t>
  </si>
  <si>
    <t>RF-38416</t>
  </si>
  <si>
    <t>RF-38415</t>
  </si>
  <si>
    <t>RF-38414</t>
  </si>
  <si>
    <t>RF-38413</t>
  </si>
  <si>
    <t>RF-38412</t>
  </si>
  <si>
    <t>RF-38410</t>
  </si>
  <si>
    <t>RF-38409</t>
  </si>
  <si>
    <t>RF-38408</t>
  </si>
  <si>
    <t>RF-38407</t>
  </si>
  <si>
    <t>RF-38406</t>
  </si>
  <si>
    <t>RF-38405</t>
  </si>
  <si>
    <t>RF-38404</t>
  </si>
  <si>
    <t>RF-38403</t>
  </si>
  <si>
    <t>RF-38401</t>
  </si>
  <si>
    <t>RF-38400</t>
  </si>
  <si>
    <t>RF-38399</t>
  </si>
  <si>
    <t>RF-38398</t>
  </si>
  <si>
    <t>RF-38397</t>
  </si>
  <si>
    <t>RF-38396</t>
  </si>
  <si>
    <t>AS-50360</t>
  </si>
  <si>
    <t>AS-50359</t>
  </si>
  <si>
    <t>AS-50357</t>
  </si>
  <si>
    <t>AS-50356</t>
  </si>
  <si>
    <t>AS-50355</t>
  </si>
  <si>
    <t>AS-50353</t>
  </si>
  <si>
    <t>AS-50352</t>
  </si>
  <si>
    <t>AS-50351</t>
  </si>
  <si>
    <t>AS-50350</t>
  </si>
  <si>
    <t>AS-50349</t>
  </si>
  <si>
    <t>AS-50348</t>
  </si>
  <si>
    <t>AS-50346</t>
  </si>
  <si>
    <t>AS-50345</t>
  </si>
  <si>
    <t>AS-50344</t>
  </si>
  <si>
    <t>AS-50342</t>
  </si>
  <si>
    <t>AS-50341</t>
  </si>
  <si>
    <t>AS-50339</t>
  </si>
  <si>
    <t>AS-50337</t>
  </si>
  <si>
    <t>AS-50336</t>
  </si>
  <si>
    <t>AS-50335</t>
  </si>
  <si>
    <t>AS-50334</t>
  </si>
  <si>
    <t>AS-50333</t>
  </si>
  <si>
    <t>AS-50332</t>
  </si>
  <si>
    <t>AS-50330</t>
  </si>
  <si>
    <t>AS-50328</t>
  </si>
  <si>
    <t>AS-50322</t>
  </si>
  <si>
    <t>AS-50321</t>
  </si>
  <si>
    <t>AR-13935</t>
  </si>
  <si>
    <t>AR-13933</t>
  </si>
  <si>
    <t>AR-13931</t>
  </si>
  <si>
    <t>RF-38411</t>
  </si>
  <si>
    <t>RF-38395</t>
  </si>
  <si>
    <t>RF-38431</t>
  </si>
  <si>
    <t>RF-38430</t>
  </si>
  <si>
    <t>RF-38486</t>
  </si>
  <si>
    <t>RF-38485</t>
  </si>
  <si>
    <t>RF-38484</t>
  </si>
  <si>
    <t>RF-38482</t>
  </si>
  <si>
    <t>RF-38481</t>
  </si>
  <si>
    <t>RF-38480</t>
  </si>
  <si>
    <t>RF-38479</t>
  </si>
  <si>
    <t>RF-38478</t>
  </si>
  <si>
    <t>RF-38477</t>
  </si>
  <si>
    <t>RF-38476</t>
  </si>
  <si>
    <t>RF-38475</t>
  </si>
  <si>
    <t>RF-38474</t>
  </si>
  <si>
    <t>RF-38473</t>
  </si>
  <si>
    <t>RF-38472</t>
  </si>
  <si>
    <t>RF-38470</t>
  </si>
  <si>
    <t>RF-38469</t>
  </si>
  <si>
    <t>RF-38468</t>
  </si>
  <si>
    <t>RF-38467</t>
  </si>
  <si>
    <t>RF-38466</t>
  </si>
  <si>
    <t>RF-38465</t>
  </si>
  <si>
    <t>RF-38464</t>
  </si>
  <si>
    <t>AS-50399</t>
  </si>
  <si>
    <t>AS-50396</t>
  </si>
  <si>
    <t>AS-50395</t>
  </si>
  <si>
    <t>AS-50394</t>
  </si>
  <si>
    <t>AS-50393</t>
  </si>
  <si>
    <t>AS-50392</t>
  </si>
  <si>
    <t>AS-50391</t>
  </si>
  <si>
    <t>AS-50390</t>
  </si>
  <si>
    <t>AS-50389</t>
  </si>
  <si>
    <t>AS-50388</t>
  </si>
  <si>
    <t>AS-50387</t>
  </si>
  <si>
    <t>AS-50385</t>
  </si>
  <si>
    <t>AS-50377</t>
  </si>
  <si>
    <t>AS-50372</t>
  </si>
  <si>
    <t>AS-50371</t>
  </si>
  <si>
    <t>AS-50370</t>
  </si>
  <si>
    <t>AS-50369</t>
  </si>
  <si>
    <t>AS-50368</t>
  </si>
  <si>
    <t>AS-50367</t>
  </si>
  <si>
    <t>AS-50366</t>
  </si>
  <si>
    <t>AS-50365</t>
  </si>
  <si>
    <t>AS-50364</t>
  </si>
  <si>
    <t>AS-50363</t>
  </si>
  <si>
    <t>AS-50362</t>
  </si>
  <si>
    <t>AR-13947</t>
  </si>
  <si>
    <t>RF-13943</t>
  </si>
  <si>
    <t>RF-38434</t>
  </si>
  <si>
    <t>RF-38507</t>
  </si>
  <si>
    <t>RF-38506</t>
  </si>
  <si>
    <t>RF-38504</t>
  </si>
  <si>
    <t>RF-38503</t>
  </si>
  <si>
    <t>RF-38501</t>
  </si>
  <si>
    <t>RF-38499</t>
  </si>
  <si>
    <t>RF-38498</t>
  </si>
  <si>
    <t>RF-38497</t>
  </si>
  <si>
    <t>RF-38496</t>
  </si>
  <si>
    <t>RF-38495</t>
  </si>
  <si>
    <t>RF-38494</t>
  </si>
  <si>
    <t>RF-38493</t>
  </si>
  <si>
    <t>RF-38492</t>
  </si>
  <si>
    <t>RF-38491</t>
  </si>
  <si>
    <t>RF-38490</t>
  </si>
  <si>
    <t>RF-38489</t>
  </si>
  <si>
    <t>RF-38488</t>
  </si>
  <si>
    <t>RF-38487</t>
  </si>
  <si>
    <t>AS-50438</t>
  </si>
  <si>
    <t>AS-50437</t>
  </si>
  <si>
    <t>AS-50436</t>
  </si>
  <si>
    <t>AS-50435</t>
  </si>
  <si>
    <t>AS-50434</t>
  </si>
  <si>
    <t>AS-50433</t>
  </si>
  <si>
    <t>AS-50431</t>
  </si>
  <si>
    <t>AS-50430</t>
  </si>
  <si>
    <t>AS-50429</t>
  </si>
  <si>
    <t>AS-50428</t>
  </si>
  <si>
    <t>AS-50427</t>
  </si>
  <si>
    <t>AS-50426</t>
  </si>
  <si>
    <t>AS-50425</t>
  </si>
  <si>
    <t>AS-50424</t>
  </si>
  <si>
    <t>AS-50423</t>
  </si>
  <si>
    <t>AS-50422</t>
  </si>
  <si>
    <t>AS-50420</t>
  </si>
  <si>
    <t>AS-50419</t>
  </si>
  <si>
    <t>AS-50417</t>
  </si>
  <si>
    <t>AS-50415</t>
  </si>
  <si>
    <t>AS-50410</t>
  </si>
  <si>
    <t>AS-50408</t>
  </si>
  <si>
    <t>AS-50406</t>
  </si>
  <si>
    <t>AS-50405</t>
  </si>
  <si>
    <t>AS-50404</t>
  </si>
  <si>
    <t>AS-50403</t>
  </si>
  <si>
    <t>AS-50400</t>
  </si>
  <si>
    <t>AR-13956</t>
  </si>
  <si>
    <t>AR-13953</t>
  </si>
  <si>
    <t>AR-13952</t>
  </si>
  <si>
    <t>AR-13951</t>
  </si>
  <si>
    <t>AR-13950</t>
  </si>
  <si>
    <t>AR-13949</t>
  </si>
  <si>
    <t>AR-13948</t>
  </si>
  <si>
    <t>RF-38432</t>
  </si>
  <si>
    <t>RF-38433</t>
  </si>
  <si>
    <t>RF-38526</t>
  </si>
  <si>
    <t>RF-38525</t>
  </si>
  <si>
    <t>RF-38524</t>
  </si>
  <si>
    <t>RF-38523</t>
  </si>
  <si>
    <t>RF-38522</t>
  </si>
  <si>
    <t>RF-38521</t>
  </si>
  <si>
    <t>RF-38520</t>
  </si>
  <si>
    <t>RF-38519</t>
  </si>
  <si>
    <t>RF-38518</t>
  </si>
  <si>
    <t>RF-38517</t>
  </si>
  <si>
    <t>RF-38516</t>
  </si>
  <si>
    <t>RF-38515</t>
  </si>
  <si>
    <t>RF-38514</t>
  </si>
  <si>
    <t>RF-38513</t>
  </si>
  <si>
    <t>RF-38512</t>
  </si>
  <si>
    <t>RF-38511</t>
  </si>
  <si>
    <t>RF-38510</t>
  </si>
  <si>
    <t>RF-38509</t>
  </si>
  <si>
    <t>RF-38508</t>
  </si>
  <si>
    <t>AS-50477</t>
  </si>
  <si>
    <t>AS-50475</t>
  </si>
  <si>
    <t>AS-50473</t>
  </si>
  <si>
    <t>AS-50472</t>
  </si>
  <si>
    <t>AS-50470</t>
  </si>
  <si>
    <t>AS-50468</t>
  </si>
  <si>
    <t>AS-50467</t>
  </si>
  <si>
    <t>AS-50466</t>
  </si>
  <si>
    <t>AS-50465</t>
  </si>
  <si>
    <t>AS-50464</t>
  </si>
  <si>
    <t>AS-50463</t>
  </si>
  <si>
    <t>AS-50462</t>
  </si>
  <si>
    <t>AS-50461</t>
  </si>
  <si>
    <t>AS-50457</t>
  </si>
  <si>
    <t>AS-50456</t>
  </si>
  <si>
    <t>AS-50455</t>
  </si>
  <si>
    <t>AS-50454</t>
  </si>
  <si>
    <t>AS-50452</t>
  </si>
  <si>
    <t>AS-50451</t>
  </si>
  <si>
    <t>AS-50450</t>
  </si>
  <si>
    <t>AS-50449</t>
  </si>
  <si>
    <t>AS-50448</t>
  </si>
  <si>
    <t>AS-50447</t>
  </si>
  <si>
    <t>AS-50446</t>
  </si>
  <si>
    <t>AS-50445</t>
  </si>
  <si>
    <t>AS-50444</t>
  </si>
  <si>
    <t>AS-50443</t>
  </si>
  <si>
    <t>AS-50440</t>
  </si>
  <si>
    <t>AS-13967</t>
  </si>
  <si>
    <t>AR-13966</t>
  </si>
  <si>
    <t>AR-13960</t>
  </si>
  <si>
    <t>AS-50471</t>
  </si>
  <si>
    <t>AS-38540</t>
  </si>
  <si>
    <t>RF-38539</t>
  </si>
  <si>
    <t>AS-38538</t>
  </si>
  <si>
    <t>AS-38537</t>
  </si>
  <si>
    <t>RF-38536</t>
  </si>
  <si>
    <t>RF-38535</t>
  </si>
  <si>
    <t>RF-38534</t>
  </si>
  <si>
    <t>RF-38533</t>
  </si>
  <si>
    <t>RF-38532</t>
  </si>
  <si>
    <t>RF-38531</t>
  </si>
  <si>
    <t>RF-38530</t>
  </si>
  <si>
    <t>RF-38529</t>
  </si>
  <si>
    <t>RF-38528</t>
  </si>
  <si>
    <t>AS-50511</t>
  </si>
  <si>
    <t>AS-50510</t>
  </si>
  <si>
    <t>AS-50509</t>
  </si>
  <si>
    <t>AS-50508</t>
  </si>
  <si>
    <t>AS-50507</t>
  </si>
  <si>
    <t>AS-50506</t>
  </si>
  <si>
    <t>AS-50505</t>
  </si>
  <si>
    <t>AS-50503</t>
  </si>
  <si>
    <t>AS-50500</t>
  </si>
  <si>
    <t>AS-50498</t>
  </si>
  <si>
    <t>AS-50495</t>
  </si>
  <si>
    <t>AS-50494</t>
  </si>
  <si>
    <t>AS-50493</t>
  </si>
  <si>
    <t>AS-50492</t>
  </si>
  <si>
    <t>AS-50491</t>
  </si>
  <si>
    <t>AS-50490</t>
  </si>
  <si>
    <t>AS-50489</t>
  </si>
  <si>
    <t>AS-50488</t>
  </si>
  <si>
    <t>AS-50487</t>
  </si>
  <si>
    <t>AS-50486</t>
  </si>
  <si>
    <t>AS-50484</t>
  </si>
  <si>
    <t>AS-50483</t>
  </si>
  <si>
    <t>AS-50482</t>
  </si>
  <si>
    <t>AS-50481</t>
  </si>
  <si>
    <t>AS-50480</t>
  </si>
  <si>
    <t>AS-50479</t>
  </si>
  <si>
    <t>AR-13971</t>
  </si>
  <si>
    <t>AR-13970</t>
  </si>
  <si>
    <t>AR-13969</t>
  </si>
  <si>
    <t>AR-13972</t>
  </si>
  <si>
    <t>RF-38541</t>
  </si>
  <si>
    <t>RF-38565</t>
  </si>
  <si>
    <t>RF-38564</t>
  </si>
  <si>
    <t>RF-38561</t>
  </si>
  <si>
    <t>RF-38560</t>
  </si>
  <si>
    <t>RF-38559</t>
  </si>
  <si>
    <t>RF-38558</t>
  </si>
  <si>
    <t>RF-38557</t>
  </si>
  <si>
    <t>RF-38556</t>
  </si>
  <si>
    <t>RF-38555</t>
  </si>
  <si>
    <t>RF-38554</t>
  </si>
  <si>
    <t>RF-38553</t>
  </si>
  <si>
    <t>RF-38552</t>
  </si>
  <si>
    <t>RF-38551</t>
  </si>
  <si>
    <t>RF-38550</t>
  </si>
  <si>
    <t>RF-38549</t>
  </si>
  <si>
    <t>RF-38548</t>
  </si>
  <si>
    <t>RF-38546</t>
  </si>
  <si>
    <t>RF-*38545</t>
  </si>
  <si>
    <t>RF-38544</t>
  </si>
  <si>
    <t>RF-38543</t>
  </si>
  <si>
    <t>RF-38542</t>
  </si>
  <si>
    <t>AS-50566</t>
  </si>
  <si>
    <t>AS-50565</t>
  </si>
  <si>
    <t>AS-50564</t>
  </si>
  <si>
    <t>AS-50563</t>
  </si>
  <si>
    <t>AS-50562</t>
  </si>
  <si>
    <t>AS-50561</t>
  </si>
  <si>
    <t>AS-50560</t>
  </si>
  <si>
    <t>AS-50559</t>
  </si>
  <si>
    <t>AS-50558</t>
  </si>
  <si>
    <t>AS-50557</t>
  </si>
  <si>
    <t>AS-50550</t>
  </si>
  <si>
    <t>AS-50549</t>
  </si>
  <si>
    <t>AS-50548</t>
  </si>
  <si>
    <t>AS-50547</t>
  </si>
  <si>
    <t>AS-50545</t>
  </si>
  <si>
    <t>AS-50544</t>
  </si>
  <si>
    <t>AS-50533</t>
  </si>
  <si>
    <t>AS-50526</t>
  </si>
  <si>
    <t>AS-50525</t>
  </si>
  <si>
    <t>AS-50521</t>
  </si>
  <si>
    <t>AS-50520</t>
  </si>
  <si>
    <t>AS-50519</t>
  </si>
  <si>
    <t>AS-50518</t>
  </si>
  <si>
    <t>AS-50517</t>
  </si>
  <si>
    <t>AS-50516</t>
  </si>
  <si>
    <t>AS-50514</t>
  </si>
  <si>
    <t>AS-50513</t>
  </si>
  <si>
    <t>AS-50512</t>
  </si>
  <si>
    <t>AR-13984</t>
  </si>
  <si>
    <t>AR-13983</t>
  </si>
  <si>
    <t>AR-13980</t>
  </si>
  <si>
    <t>AR-13979</t>
  </si>
  <si>
    <t>AR-13975</t>
  </si>
  <si>
    <t>AR-13978</t>
  </si>
  <si>
    <t>AR-13977</t>
  </si>
  <si>
    <t>AR-13976</t>
  </si>
  <si>
    <t>RF-38547</t>
  </si>
  <si>
    <t>RF-38592</t>
  </si>
  <si>
    <t>RF-38591</t>
  </si>
  <si>
    <t>RF-38590</t>
  </si>
  <si>
    <t>RF-38589</t>
  </si>
  <si>
    <t>RF-38588</t>
  </si>
  <si>
    <t>RF-38587</t>
  </si>
  <si>
    <t>RF-38585</t>
  </si>
  <si>
    <t>RF-38584</t>
  </si>
  <si>
    <t>RF-38583</t>
  </si>
  <si>
    <t>RF-38582</t>
  </si>
  <si>
    <t>RF-38580</t>
  </si>
  <si>
    <t>RF-38579</t>
  </si>
  <si>
    <t>RF-38578</t>
  </si>
  <si>
    <t>RF-38577</t>
  </si>
  <si>
    <t>RF-38576</t>
  </si>
  <si>
    <t>RF-38575</t>
  </si>
  <si>
    <t>RF-38574</t>
  </si>
  <si>
    <t>RF-38573</t>
  </si>
  <si>
    <t>RF-38571</t>
  </si>
  <si>
    <t>RF-38570</t>
  </si>
  <si>
    <t>RF-38568</t>
  </si>
  <si>
    <t>RF-38567</t>
  </si>
  <si>
    <t>RF-38566</t>
  </si>
  <si>
    <t>AS-50624</t>
  </si>
  <si>
    <t>AS-50623</t>
  </si>
  <si>
    <t>AS-50622</t>
  </si>
  <si>
    <t>AS-50621</t>
  </si>
  <si>
    <t>AS-50620</t>
  </si>
  <si>
    <t>AS-50618</t>
  </si>
  <si>
    <t>AS-50617</t>
  </si>
  <si>
    <t>AS-50615</t>
  </si>
  <si>
    <t>AS-50614</t>
  </si>
  <si>
    <t>AS-50616</t>
  </si>
  <si>
    <t>AS-50613</t>
  </si>
  <si>
    <t>AS-50612</t>
  </si>
  <si>
    <t>AS-50610</t>
  </si>
  <si>
    <t>AS-50608</t>
  </si>
  <si>
    <t>AS-50607</t>
  </si>
  <si>
    <t>AS-50602</t>
  </si>
  <si>
    <t>AS-50600</t>
  </si>
  <si>
    <t>AS-50587</t>
  </si>
  <si>
    <t>AS-50585</t>
  </si>
  <si>
    <t>AS-50570</t>
  </si>
  <si>
    <t>AS-50569</t>
  </si>
  <si>
    <t>AS-50568</t>
  </si>
  <si>
    <t>AR-13997</t>
  </si>
  <si>
    <t>AR-13996</t>
  </si>
  <si>
    <t>AR-13995</t>
  </si>
  <si>
    <t>AR-13993</t>
  </si>
  <si>
    <t>AR-13989</t>
  </si>
  <si>
    <t>AR-13988</t>
  </si>
  <si>
    <t>AR-13985</t>
  </si>
  <si>
    <t>RF-38614</t>
  </si>
  <si>
    <t>RF-38613</t>
  </si>
  <si>
    <t>RF-38612</t>
  </si>
  <si>
    <t>RF-38611</t>
  </si>
  <si>
    <t>RF-38610</t>
  </si>
  <si>
    <t>RF-38609</t>
  </si>
  <si>
    <t>RF-38608</t>
  </si>
  <si>
    <t>RF-38607</t>
  </si>
  <si>
    <t>RF-38606</t>
  </si>
  <si>
    <t>RF-38605</t>
  </si>
  <si>
    <t>RF-38604</t>
  </si>
  <si>
    <t>RF-38603</t>
  </si>
  <si>
    <t>RF-38602</t>
  </si>
  <si>
    <t>RF-30601</t>
  </si>
  <si>
    <t>RF-38599</t>
  </si>
  <si>
    <t>RF-38595</t>
  </si>
  <si>
    <t>RF-38598</t>
  </si>
  <si>
    <t>RF-38596</t>
  </si>
  <si>
    <t>RF-38594</t>
  </si>
  <si>
    <t>RF-38593</t>
  </si>
  <si>
    <t>AS-50669</t>
  </si>
  <si>
    <t>AS-50668</t>
  </si>
  <si>
    <t>AS-50667</t>
  </si>
  <si>
    <t>AS-50666</t>
  </si>
  <si>
    <t>AS-50665</t>
  </si>
  <si>
    <t>AS-50664</t>
  </si>
  <si>
    <t>AS-50663</t>
  </si>
  <si>
    <t>AS-50662</t>
  </si>
  <si>
    <t>AS-50661</t>
  </si>
  <si>
    <t>AS-50660</t>
  </si>
  <si>
    <t>AS-50658</t>
  </si>
  <si>
    <t>AS-50656</t>
  </si>
  <si>
    <t>AS-50655</t>
  </si>
  <si>
    <t>AS-50654</t>
  </si>
  <si>
    <t>AS-50653</t>
  </si>
  <si>
    <t>AS-50652</t>
  </si>
  <si>
    <t>AS-50648</t>
  </si>
  <si>
    <t>AS-50638</t>
  </si>
  <si>
    <t>AS-50636</t>
  </si>
  <si>
    <t>AS-50635</t>
  </si>
  <si>
    <t>AS-50634</t>
  </si>
  <si>
    <t>AS-50632</t>
  </si>
  <si>
    <t>AS-50631</t>
  </si>
  <si>
    <t>AS-50630</t>
  </si>
  <si>
    <t>AS-50629</t>
  </si>
  <si>
    <t>AS-50628</t>
  </si>
  <si>
    <t>AS-50627</t>
  </si>
  <si>
    <t>AS-50626</t>
  </si>
  <si>
    <t>AR-14008</t>
  </si>
  <si>
    <t>AR-14006</t>
  </si>
  <si>
    <t>AR-14002</t>
  </si>
  <si>
    <t>AR-14001</t>
  </si>
  <si>
    <t>AS-14000</t>
  </si>
  <si>
    <t>AR-13999</t>
  </si>
  <si>
    <t>RF-38636</t>
  </si>
  <si>
    <t>RF-38635</t>
  </si>
  <si>
    <t>RF-38634</t>
  </si>
  <si>
    <t>RF-38632</t>
  </si>
  <si>
    <t>RF-38631</t>
  </si>
  <si>
    <t>RF-38630</t>
  </si>
  <si>
    <t>RF-38629</t>
  </si>
  <si>
    <t>RF-38628</t>
  </si>
  <si>
    <t>RF-38626</t>
  </si>
  <si>
    <t>RF-38625</t>
  </si>
  <si>
    <t>RF-38624</t>
  </si>
  <si>
    <t>RF-38623</t>
  </si>
  <si>
    <t>RF-38622</t>
  </si>
  <si>
    <t>RF-38621</t>
  </si>
  <si>
    <t>RF-38620</t>
  </si>
  <si>
    <t>RF-38618</t>
  </si>
  <si>
    <t>RF-38617</t>
  </si>
  <si>
    <t>RF-38616</t>
  </si>
  <si>
    <t>RF-38615</t>
  </si>
  <si>
    <t>AS-50707</t>
  </si>
  <si>
    <t>AS-50706</t>
  </si>
  <si>
    <t>AS-50705</t>
  </si>
  <si>
    <t>AS-50704</t>
  </si>
  <si>
    <t>AS-50702</t>
  </si>
  <si>
    <t>AS-50692</t>
  </si>
  <si>
    <t>AS-50691</t>
  </si>
  <si>
    <t>AS-50690</t>
  </si>
  <si>
    <t>AS-50689</t>
  </si>
  <si>
    <t>AS-50688</t>
  </si>
  <si>
    <t>AS-50687</t>
  </si>
  <si>
    <t>AS-50686</t>
  </si>
  <si>
    <t>AS-50685</t>
  </si>
  <si>
    <t>AS-50684</t>
  </si>
  <si>
    <t>AS-50683</t>
  </si>
  <si>
    <t>AS-50682</t>
  </si>
  <si>
    <t>AS-50681</t>
  </si>
  <si>
    <t>AS-50679</t>
  </si>
  <si>
    <t>AS-50677</t>
  </si>
  <si>
    <t>AS-50676</t>
  </si>
  <si>
    <t>AS-50675</t>
  </si>
  <si>
    <t>AS-50674</t>
  </si>
  <si>
    <t>AS-50673</t>
  </si>
  <si>
    <t>AS-50672</t>
  </si>
  <si>
    <t>AR-14013</t>
  </si>
  <si>
    <t>AS-50670</t>
  </si>
  <si>
    <t>AR-14021</t>
  </si>
  <si>
    <t>AR-14019</t>
  </si>
  <si>
    <t>AR-14015</t>
  </si>
  <si>
    <t>RF-38665</t>
  </si>
  <si>
    <t>RF-38664</t>
  </si>
  <si>
    <t>RF-38663</t>
  </si>
  <si>
    <t>RF-38662</t>
  </si>
  <si>
    <t>RF-38661</t>
  </si>
  <si>
    <t>RF-38660</t>
  </si>
  <si>
    <t>RF-38659</t>
  </si>
  <si>
    <t>RF-38658</t>
  </si>
  <si>
    <t>RF-38657</t>
  </si>
  <si>
    <t>RF-38656</t>
  </si>
  <si>
    <t>RF-38655</t>
  </si>
  <si>
    <t>RF-38654</t>
  </si>
  <si>
    <t>RF-38653</t>
  </si>
  <si>
    <t>RF-38652</t>
  </si>
  <si>
    <t>RF-38651</t>
  </si>
  <si>
    <t>RF-38650</t>
  </si>
  <si>
    <t>RF-38648</t>
  </si>
  <si>
    <t>RF-38647</t>
  </si>
  <si>
    <t>RF-38646</t>
  </si>
  <si>
    <t>RF-38644</t>
  </si>
  <si>
    <t>RF-38642</t>
  </si>
  <si>
    <t>RF-38643</t>
  </si>
  <si>
    <t>RF-38641</t>
  </si>
  <si>
    <t>RF-38640</t>
  </si>
  <si>
    <t>RF-38639</t>
  </si>
  <si>
    <t>RF-38638</t>
  </si>
  <si>
    <t>RF-38637</t>
  </si>
  <si>
    <t>AS-50759</t>
  </si>
  <si>
    <t>AS-50758</t>
  </si>
  <si>
    <t>AS-50757</t>
  </si>
  <si>
    <t>AS-50756</t>
  </si>
  <si>
    <t>AS-50755</t>
  </si>
  <si>
    <t>AS-50754</t>
  </si>
  <si>
    <t>AS-50753</t>
  </si>
  <si>
    <t>AS-50752</t>
  </si>
  <si>
    <t>AS-50751</t>
  </si>
  <si>
    <t>AS-50750</t>
  </si>
  <si>
    <t>AS-50749</t>
  </si>
  <si>
    <t>AS-50748</t>
  </si>
  <si>
    <t>AS-50747</t>
  </si>
  <si>
    <t>AS-50746</t>
  </si>
  <si>
    <t>AS-50745</t>
  </si>
  <si>
    <t>AS-50744</t>
  </si>
  <si>
    <t>AS-50743</t>
  </si>
  <si>
    <t>AS-50742</t>
  </si>
  <si>
    <t>AS-50741</t>
  </si>
  <si>
    <t>AS-50740</t>
  </si>
  <si>
    <t>AS-50733</t>
  </si>
  <si>
    <t>AS-50727</t>
  </si>
  <si>
    <t>AS-50725</t>
  </si>
  <si>
    <t>AS-50724</t>
  </si>
  <si>
    <t>AS-50723</t>
  </si>
  <si>
    <t>AS-50720</t>
  </si>
  <si>
    <t>AS-50779</t>
  </si>
  <si>
    <t>AS-50719</t>
  </si>
  <si>
    <t>AS-50718</t>
  </si>
  <si>
    <t>AS-50713</t>
  </si>
  <si>
    <t>AS-50712</t>
  </si>
  <si>
    <t>AS-50711</t>
  </si>
  <si>
    <t>AS-50710</t>
  </si>
  <si>
    <t>AS-50709</t>
  </si>
  <si>
    <t>AR-14031</t>
  </si>
  <si>
    <t>AR-14026</t>
  </si>
  <si>
    <t>AR-14025</t>
  </si>
  <si>
    <t>AR-14024</t>
  </si>
  <si>
    <t>AR-14023</t>
  </si>
  <si>
    <t>AR-14022</t>
  </si>
  <si>
    <t>RF-38685</t>
  </si>
  <si>
    <t>RF-38684</t>
  </si>
  <si>
    <t>RF-38683</t>
  </si>
  <si>
    <t>RF-38682</t>
  </si>
  <si>
    <t>RF-38681</t>
  </si>
  <si>
    <t>RF-38680</t>
  </si>
  <si>
    <t>RF-38879</t>
  </si>
  <si>
    <t>RF-38678</t>
  </si>
  <si>
    <t>RF-38677</t>
  </si>
  <si>
    <t>RF-38676</t>
  </si>
  <si>
    <t>RF-38675</t>
  </si>
  <si>
    <t>RF-38670</t>
  </si>
  <si>
    <t>RF-38669</t>
  </si>
  <si>
    <t>RF-38668</t>
  </si>
  <si>
    <t>RF-38667</t>
  </si>
  <si>
    <t>RF-38666</t>
  </si>
  <si>
    <t>AS-50788</t>
  </si>
  <si>
    <t>AS-50787</t>
  </si>
  <si>
    <t>AS-50786</t>
  </si>
  <si>
    <t>AS-50785</t>
  </si>
  <si>
    <t>AS-50784</t>
  </si>
  <si>
    <t>AS-50783</t>
  </si>
  <si>
    <t>AS-50782</t>
  </si>
  <si>
    <t>AS-50781</t>
  </si>
  <si>
    <t>AS-50780</t>
  </si>
  <si>
    <t>AS-50778</t>
  </si>
  <si>
    <t>AS-50777</t>
  </si>
  <si>
    <t>AS-50776</t>
  </si>
  <si>
    <t>AS-50775</t>
  </si>
  <si>
    <t>AS-50774</t>
  </si>
  <si>
    <t>AS-50773</t>
  </si>
  <si>
    <t>AS-50772</t>
  </si>
  <si>
    <t>AS-50771</t>
  </si>
  <si>
    <t>AS-50770</t>
  </si>
  <si>
    <t>AS-50769</t>
  </si>
  <si>
    <t>AS-50768</t>
  </si>
  <si>
    <t>AS-50766</t>
  </si>
  <si>
    <t>AS-50765</t>
  </si>
  <si>
    <t>AS-50764</t>
  </si>
  <si>
    <t>AS-50762</t>
  </si>
  <si>
    <t>AS-50761</t>
  </si>
  <si>
    <t>AS-50760</t>
  </si>
  <si>
    <t>AR-14037</t>
  </si>
  <si>
    <t>AR-14035</t>
  </si>
  <si>
    <t>AR-14034</t>
  </si>
  <si>
    <t>RF-38717</t>
  </si>
  <si>
    <t>RF-38716</t>
  </si>
  <si>
    <t>RF-38715</t>
  </si>
  <si>
    <t>RF-38714</t>
  </si>
  <si>
    <t>RF-38713</t>
  </si>
  <si>
    <t>RF-38712</t>
  </si>
  <si>
    <t>RF-38711</t>
  </si>
  <si>
    <t>RF-38710</t>
  </si>
  <si>
    <t>RF-38709</t>
  </si>
  <si>
    <t>RF-38708</t>
  </si>
  <si>
    <t>RF-38707</t>
  </si>
  <si>
    <t>RF-38706</t>
  </si>
  <si>
    <t>RF-38705</t>
  </si>
  <si>
    <t>RF-38704</t>
  </si>
  <si>
    <t>RF-38703</t>
  </si>
  <si>
    <t>RF-38702</t>
  </si>
  <si>
    <t>RF-38701</t>
  </si>
  <si>
    <t>RF-38700</t>
  </si>
  <si>
    <t>RF-38698</t>
  </si>
  <si>
    <t>RF-38697</t>
  </si>
  <si>
    <t>RF-38694</t>
  </si>
  <si>
    <t>RF-38693</t>
  </si>
  <si>
    <t>RF-38692</t>
  </si>
  <si>
    <t>RF-38691</t>
  </si>
  <si>
    <t>RF-38690</t>
  </si>
  <si>
    <t>RF-38687</t>
  </si>
  <si>
    <t>AS-50847</t>
  </si>
  <si>
    <t>AS-50840</t>
  </si>
  <si>
    <t>AS-50845</t>
  </si>
  <si>
    <t>AS-50844</t>
  </si>
  <si>
    <t>AS-50843</t>
  </si>
  <si>
    <t>AS-50842</t>
  </si>
  <si>
    <t>AS-50841</t>
  </si>
  <si>
    <t>AS-50839</t>
  </si>
  <si>
    <t>AS-50825</t>
  </si>
  <si>
    <t>AS-50824</t>
  </si>
  <si>
    <t>AS-50823</t>
  </si>
  <si>
    <t>AS-50822</t>
  </si>
  <si>
    <t>AS-50821</t>
  </si>
  <si>
    <t>AS-50817</t>
  </si>
  <si>
    <t>AS-50805</t>
  </si>
  <si>
    <t>AS-50803</t>
  </si>
  <si>
    <t>AS-50798</t>
  </si>
  <si>
    <t>AS-50793</t>
  </si>
  <si>
    <t>AS-50789</t>
  </si>
  <si>
    <t>AR-14039</t>
  </si>
  <si>
    <t>RF-38689</t>
  </si>
  <si>
    <t>RF-38742</t>
  </si>
  <si>
    <t>RF-38743</t>
  </si>
  <si>
    <t>RF-38741</t>
  </si>
  <si>
    <t>RF-28740</t>
  </si>
  <si>
    <t>RF-38739</t>
  </si>
  <si>
    <t>RF-38738</t>
  </si>
  <si>
    <t>RF-38737</t>
  </si>
  <si>
    <t>RF-38736</t>
  </si>
  <si>
    <t>RF-38735</t>
  </si>
  <si>
    <t>RF-38734</t>
  </si>
  <si>
    <t>RF-38732</t>
  </si>
  <si>
    <t>RF-38731</t>
  </si>
  <si>
    <t>RF-38730</t>
  </si>
  <si>
    <t>RF-38729</t>
  </si>
  <si>
    <t>RF-38728</t>
  </si>
  <si>
    <t>RF-38727</t>
  </si>
  <si>
    <t>RF-38726</t>
  </si>
  <si>
    <t>RF-38725</t>
  </si>
  <si>
    <t>RF-38724</t>
  </si>
  <si>
    <t>RF-38722</t>
  </si>
  <si>
    <t>RF-38721</t>
  </si>
  <si>
    <t>RF-38720</t>
  </si>
  <si>
    <t>RF-38719</t>
  </si>
  <si>
    <t>RF-38718</t>
  </si>
  <si>
    <t>AS-50868</t>
  </si>
  <si>
    <t>AS-50867</t>
  </si>
  <si>
    <t>AS-50866</t>
  </si>
  <si>
    <t>AS-50865</t>
  </si>
  <si>
    <t>AS-50864</t>
  </si>
  <si>
    <t>AS-50863</t>
  </si>
  <si>
    <t>AS-50862</t>
  </si>
  <si>
    <t>AS-50861</t>
  </si>
  <si>
    <t>AS-50860</t>
  </si>
  <si>
    <t>AS-50859</t>
  </si>
  <si>
    <t>AS-50858</t>
  </si>
  <si>
    <t>AS-50857</t>
  </si>
  <si>
    <t>AS-50856</t>
  </si>
  <si>
    <t>AS-50855</t>
  </si>
  <si>
    <t>AS-50854</t>
  </si>
  <si>
    <t>AS-50853</t>
  </si>
  <si>
    <t>AS-50852</t>
  </si>
  <si>
    <t>AS-50851</t>
  </si>
  <si>
    <t>AS-60850</t>
  </si>
  <si>
    <t>AR-14058</t>
  </si>
  <si>
    <t>AR-14057</t>
  </si>
  <si>
    <t>AR--14054</t>
  </si>
  <si>
    <t>AR-14053</t>
  </si>
  <si>
    <t>AR-14052</t>
  </si>
  <si>
    <t>AR-14051</t>
  </si>
  <si>
    <t>AR-14050</t>
  </si>
  <si>
    <t>AR-14049</t>
  </si>
  <si>
    <t>AR-14048</t>
  </si>
  <si>
    <t>RF-38764</t>
  </si>
  <si>
    <t>RF-38763</t>
  </si>
  <si>
    <t>RF-38762</t>
  </si>
  <si>
    <t>RF-38761</t>
  </si>
  <si>
    <t>RF-38760</t>
  </si>
  <si>
    <t>RF-38759</t>
  </si>
  <si>
    <t>RF-38758</t>
  </si>
  <si>
    <t>RF-38757</t>
  </si>
  <si>
    <t>RF-38756</t>
  </si>
  <si>
    <t>RF-38755</t>
  </si>
  <si>
    <t>RF-38754</t>
  </si>
  <si>
    <t>RF-38753</t>
  </si>
  <si>
    <t>RF-38752</t>
  </si>
  <si>
    <t>RF-38751</t>
  </si>
  <si>
    <t>RF-38750</t>
  </si>
  <si>
    <t>RF-38749</t>
  </si>
  <si>
    <t>RF-38748</t>
  </si>
  <si>
    <t>RF-38747</t>
  </si>
  <si>
    <t>RF-38746</t>
  </si>
  <si>
    <t>RF-38745</t>
  </si>
  <si>
    <t>RF-38744</t>
  </si>
  <si>
    <t>AS-50919</t>
  </si>
  <si>
    <t>AS-50918</t>
  </si>
  <si>
    <t>AS-50917</t>
  </si>
  <si>
    <t>AS-50916</t>
  </si>
  <si>
    <t>AS-50915</t>
  </si>
  <si>
    <t>AS-50914</t>
  </si>
  <si>
    <t>AS-50913</t>
  </si>
  <si>
    <t>AS-50912</t>
  </si>
  <si>
    <t>AS-50908</t>
  </si>
  <si>
    <t>AS-50906</t>
  </si>
  <si>
    <t>AS-50903</t>
  </si>
  <si>
    <t>AS-50901</t>
  </si>
  <si>
    <t>AS-50900</t>
  </si>
  <si>
    <t>AS-50899</t>
  </si>
  <si>
    <t>AS-50898</t>
  </si>
  <si>
    <t>AS-50897</t>
  </si>
  <si>
    <t>AS-50896</t>
  </si>
  <si>
    <t>AS-50895</t>
  </si>
  <si>
    <t>AS-50894</t>
  </si>
  <si>
    <t>AS-50893</t>
  </si>
  <si>
    <t>AS-50892</t>
  </si>
  <si>
    <t>AS-50888</t>
  </si>
  <si>
    <t>AS-50881</t>
  </si>
  <si>
    <t>AS-50876</t>
  </si>
  <si>
    <t>AS-50874</t>
  </si>
  <si>
    <t>AS-50873</t>
  </si>
  <si>
    <t>AS-50872</t>
  </si>
  <si>
    <t>AS-50871</t>
  </si>
  <si>
    <t>AS-50870</t>
  </si>
  <si>
    <t>AR-14065</t>
  </si>
  <si>
    <t>AR-14064</t>
  </si>
  <si>
    <t>AR-14062</t>
  </si>
  <si>
    <t>AR-14061</t>
  </si>
  <si>
    <t>TDD</t>
  </si>
  <si>
    <t>RF-38783</t>
  </si>
  <si>
    <t>RF-38782</t>
  </si>
  <si>
    <t>RF-38781</t>
  </si>
  <si>
    <t>RF-38780</t>
  </si>
  <si>
    <t>RF-38779</t>
  </si>
  <si>
    <t>RF-38777</t>
  </si>
  <si>
    <t>RF-38776</t>
  </si>
  <si>
    <t>RF-38775</t>
  </si>
  <si>
    <t>RF-38774</t>
  </si>
  <si>
    <t>RF-38773</t>
  </si>
  <si>
    <t>AR-14073</t>
  </si>
  <si>
    <t>RF-38772</t>
  </si>
  <si>
    <t>RF-38771</t>
  </si>
  <si>
    <t>RF-38770</t>
  </si>
  <si>
    <t>RF-38769</t>
  </si>
  <si>
    <t>RF-38767</t>
  </si>
  <si>
    <t>RF-38766</t>
  </si>
  <si>
    <t>RF38765</t>
  </si>
  <si>
    <t>AS-50965</t>
  </si>
  <si>
    <t>AS-50964</t>
  </si>
  <si>
    <t>AS-50963</t>
  </si>
  <si>
    <t>AS-50962</t>
  </si>
  <si>
    <t>AS-50961</t>
  </si>
  <si>
    <t>AS-50960</t>
  </si>
  <si>
    <t>AS-50958</t>
  </si>
  <si>
    <t>AS-50956</t>
  </si>
  <si>
    <t>AS-50955</t>
  </si>
  <si>
    <t>AS-50954</t>
  </si>
  <si>
    <t>AS-50953</t>
  </si>
  <si>
    <t>AS-50952</t>
  </si>
  <si>
    <t>AS-50951</t>
  </si>
  <si>
    <t>AS-50950</t>
  </si>
  <si>
    <t>AS-50948</t>
  </si>
  <si>
    <t>AS-50940</t>
  </si>
  <si>
    <t>AS-50939</t>
  </si>
  <si>
    <t>AS-50938</t>
  </si>
  <si>
    <t>AS-50937</t>
  </si>
  <si>
    <t>AS-50936</t>
  </si>
  <si>
    <t>AS-50935</t>
  </si>
  <si>
    <t>AS-50934</t>
  </si>
  <si>
    <t>AS-50933</t>
  </si>
  <si>
    <t>AS-50932</t>
  </si>
  <si>
    <t>AS-50931</t>
  </si>
  <si>
    <t>AS-50930</t>
  </si>
  <si>
    <t>AS-50929</t>
  </si>
  <si>
    <t>AS-50928</t>
  </si>
  <si>
    <t>AS-50927</t>
  </si>
  <si>
    <t>AS-50926</t>
  </si>
  <si>
    <t>AS-50925</t>
  </si>
  <si>
    <t>AS-50924</t>
  </si>
  <si>
    <t>AS-50923</t>
  </si>
  <si>
    <t>AS-50922</t>
  </si>
  <si>
    <t>AS-50921</t>
  </si>
  <si>
    <t>AS-50920</t>
  </si>
  <si>
    <t>AR-14089</t>
  </si>
  <si>
    <t>AR-14088</t>
  </si>
  <si>
    <t>AR-14087</t>
  </si>
  <si>
    <t>AR-14085</t>
  </si>
  <si>
    <t>AR-14084</t>
  </si>
  <si>
    <t>AR-14079</t>
  </si>
  <si>
    <t>AR-14078</t>
  </si>
  <si>
    <t>AR-14075</t>
  </si>
  <si>
    <t>AR-14072</t>
  </si>
  <si>
    <t>RF-38778</t>
  </si>
  <si>
    <t>RF-38815</t>
  </si>
  <si>
    <t>RF-38814</t>
  </si>
  <si>
    <t>RF-38813</t>
  </si>
  <si>
    <t>RF-38812</t>
  </si>
  <si>
    <t>RF-38811</t>
  </si>
  <si>
    <t>RF-38810</t>
  </si>
  <si>
    <t>RF-38809</t>
  </si>
  <si>
    <t>RF-38807</t>
  </si>
  <si>
    <t>RF-38806</t>
  </si>
  <si>
    <t>RF-38805</t>
  </si>
  <si>
    <t>RF-38803</t>
  </si>
  <si>
    <t>RF-38802</t>
  </si>
  <si>
    <t>RF-38800</t>
  </si>
  <si>
    <t>RF-38792</t>
  </si>
  <si>
    <t>RF-38790</t>
  </si>
  <si>
    <t>RF-38799</t>
  </si>
  <si>
    <t>RF-38798</t>
  </si>
  <si>
    <t>RF-38797</t>
  </si>
  <si>
    <t>RF-38796</t>
  </si>
  <si>
    <t>RF-38795</t>
  </si>
  <si>
    <t>RF-38789</t>
  </si>
  <si>
    <t>RF-38788</t>
  </si>
  <si>
    <t>RF-38787</t>
  </si>
  <si>
    <t>RF-38786</t>
  </si>
  <si>
    <t>RF-38785</t>
  </si>
  <si>
    <t>AS-50995</t>
  </si>
  <si>
    <t>AS-50994</t>
  </si>
  <si>
    <t>AS-50996</t>
  </si>
  <si>
    <t>AS-50993</t>
  </si>
  <si>
    <t>AS-50992</t>
  </si>
  <si>
    <t>AS-50990</t>
  </si>
  <si>
    <t>AS-50989</t>
  </si>
  <si>
    <t>AS-50988</t>
  </si>
  <si>
    <t>AS-50986</t>
  </si>
  <si>
    <t>AS-50985</t>
  </si>
  <si>
    <t>AS-50984</t>
  </si>
  <si>
    <t>AS-50983</t>
  </si>
  <si>
    <t>AS-50982</t>
  </si>
  <si>
    <t>AS-50981</t>
  </si>
  <si>
    <t>AS-50979</t>
  </si>
  <si>
    <t>AS-50978</t>
  </si>
  <si>
    <t>AS-50976</t>
  </si>
  <si>
    <t>AS-50975</t>
  </si>
  <si>
    <t>AS-50974</t>
  </si>
  <si>
    <t>AS-50973</t>
  </si>
  <si>
    <t>AS-50972</t>
  </si>
  <si>
    <t>AS-50971</t>
  </si>
  <si>
    <t>AS-50969</t>
  </si>
  <si>
    <t>AS-50968</t>
  </si>
  <si>
    <t>AS-50967</t>
  </si>
  <si>
    <t>AS-50966</t>
  </si>
  <si>
    <t>AR-14097</t>
  </si>
  <si>
    <t>AR-14096</t>
  </si>
  <si>
    <t>AR-14095</t>
  </si>
  <si>
    <t>AR-14094</t>
  </si>
  <si>
    <t>RF-38828</t>
  </si>
  <si>
    <t>RF-38827</t>
  </si>
  <si>
    <t>RF-38826</t>
  </si>
  <si>
    <t>RF-38825</t>
  </si>
  <si>
    <t>RF-38824</t>
  </si>
  <si>
    <t>RF-38823</t>
  </si>
  <si>
    <t>RF-38822</t>
  </si>
  <si>
    <t>RF-38821</t>
  </si>
  <si>
    <t>RF-38820</t>
  </si>
  <si>
    <t>RF-38819</t>
  </si>
  <si>
    <t>RF-38818</t>
  </si>
  <si>
    <t>RF-38816</t>
  </si>
  <si>
    <t>RF-51034</t>
  </si>
  <si>
    <t>AS-51033</t>
  </si>
  <si>
    <t>RF-51032</t>
  </si>
  <si>
    <t>AS-51031</t>
  </si>
  <si>
    <t>AS-51030</t>
  </si>
  <si>
    <t>AS-51024</t>
  </si>
  <si>
    <t>AS-51028</t>
  </si>
  <si>
    <t>AS-51027</t>
  </si>
  <si>
    <t>AS-51026</t>
  </si>
  <si>
    <t>AS-51025</t>
  </si>
  <si>
    <t>AS-51022</t>
  </si>
  <si>
    <t>AS-51017</t>
  </si>
  <si>
    <t>AS-51015</t>
  </si>
  <si>
    <t>AS-51014</t>
  </si>
  <si>
    <t>AS-51013</t>
  </si>
  <si>
    <t>AS-51012</t>
  </si>
  <si>
    <t>AS-51010</t>
  </si>
  <si>
    <t>AS-51007</t>
  </si>
  <si>
    <t>AS-50999</t>
  </si>
  <si>
    <t>AS-50998</t>
  </si>
  <si>
    <t>AS-50997</t>
  </si>
  <si>
    <t>AR14110</t>
  </si>
  <si>
    <t>AR-14109</t>
  </si>
  <si>
    <t>AR-14108</t>
  </si>
  <si>
    <t>AR-14107</t>
  </si>
  <si>
    <t>AR-14106</t>
  </si>
  <si>
    <t>AR-14105</t>
  </si>
  <si>
    <t>AR-14104</t>
  </si>
  <si>
    <t>AR-14103</t>
  </si>
  <si>
    <t>AR-1410</t>
  </si>
  <si>
    <t>AR-14099</t>
  </si>
  <si>
    <t>AS-50977</t>
  </si>
  <si>
    <t>RF-38829</t>
  </si>
  <si>
    <t>RF-38830</t>
  </si>
  <si>
    <t>AS-50987</t>
  </si>
  <si>
    <t>RF-38861</t>
  </si>
  <si>
    <t>RF-38860</t>
  </si>
  <si>
    <t>RF-38859</t>
  </si>
  <si>
    <t>RF-38858</t>
  </si>
  <si>
    <t>RF-38857</t>
  </si>
  <si>
    <t>RF-38856</t>
  </si>
  <si>
    <t>RF-38855</t>
  </si>
  <si>
    <t>RF-38854</t>
  </si>
  <si>
    <t>RF-38853</t>
  </si>
  <si>
    <t>RF-38851</t>
  </si>
  <si>
    <t>RF-38850</t>
  </si>
  <si>
    <t>RF-38849</t>
  </si>
  <si>
    <t>RF-38848</t>
  </si>
  <si>
    <t>RF-38847</t>
  </si>
  <si>
    <t>RF-38842</t>
  </si>
  <si>
    <t>RF-38841</t>
  </si>
  <si>
    <t>RF-38839</t>
  </si>
  <si>
    <t>RF-38838</t>
  </si>
  <si>
    <t>AS-51060</t>
  </si>
  <si>
    <t>AS-51059</t>
  </si>
  <si>
    <t>AS-51058</t>
  </si>
  <si>
    <t>AS-51057</t>
  </si>
  <si>
    <t>AS-51056</t>
  </si>
  <si>
    <t>AS-51054</t>
  </si>
  <si>
    <t>AS-51053</t>
  </si>
  <si>
    <t>AS-51052</t>
  </si>
  <si>
    <t>AS-51051</t>
  </si>
  <si>
    <t>AS-51050</t>
  </si>
  <si>
    <t>AS-51044</t>
  </si>
  <si>
    <t>AS-51043</t>
  </si>
  <si>
    <t>AS-51042</t>
  </si>
  <si>
    <t>AS-51041</t>
  </si>
  <si>
    <t>AS-51040</t>
  </si>
  <si>
    <t>AR-14124</t>
  </si>
  <si>
    <t>AR14122</t>
  </si>
  <si>
    <t>AR-14120</t>
  </si>
  <si>
    <t>AR-14118</t>
  </si>
  <si>
    <t>AR-14117</t>
  </si>
  <si>
    <t>AR-14116</t>
  </si>
  <si>
    <t>AR-14115</t>
  </si>
  <si>
    <t>AS-51055</t>
  </si>
  <si>
    <t>RF-38899</t>
  </si>
  <si>
    <t>RF-38898</t>
  </si>
  <si>
    <t>RF-38897</t>
  </si>
  <si>
    <t>RF-38895</t>
  </si>
  <si>
    <t>RF-38894</t>
  </si>
  <si>
    <t>RF-38893</t>
  </si>
  <si>
    <t>RF-38892</t>
  </si>
  <si>
    <t>RF-38890</t>
  </si>
  <si>
    <t>RF-38889</t>
  </si>
  <si>
    <t>RF-38887</t>
  </si>
  <si>
    <t>RF-38883</t>
  </si>
  <si>
    <t>RF-38882</t>
  </si>
  <si>
    <t>RF-38881</t>
  </si>
  <si>
    <t>RF-38880</t>
  </si>
  <si>
    <t>RF-38878</t>
  </si>
  <si>
    <t>RF-38876</t>
  </si>
  <si>
    <t>RF-38875</t>
  </si>
  <si>
    <t>AS-51112</t>
  </si>
  <si>
    <t>AS-51111</t>
  </si>
  <si>
    <t>AS-511110</t>
  </si>
  <si>
    <t>AS-51109</t>
  </si>
  <si>
    <t>AS-51108</t>
  </si>
  <si>
    <t>AS-51087</t>
  </si>
  <si>
    <t>AS-51085</t>
  </si>
  <si>
    <t>AS-51074</t>
  </si>
  <si>
    <t>AS-51072</t>
  </si>
  <si>
    <t>AS-51071</t>
  </si>
  <si>
    <t>AS-51070</t>
  </si>
  <si>
    <t>AS-51069</t>
  </si>
  <si>
    <t>AS-51068</t>
  </si>
  <si>
    <t>AS-51067</t>
  </si>
  <si>
    <t>AS-51066</t>
  </si>
  <si>
    <t>AS-51065</t>
  </si>
  <si>
    <t>AR-14132</t>
  </si>
  <si>
    <t>AR-14131</t>
  </si>
  <si>
    <t>AR-14130</t>
  </si>
  <si>
    <t>AR-14128</t>
  </si>
  <si>
    <t>AR-14125</t>
  </si>
  <si>
    <t>RF-38837</t>
  </si>
  <si>
    <t>RF-38836</t>
  </si>
  <si>
    <t>RF-38835</t>
  </si>
  <si>
    <t>RF-38834</t>
  </si>
  <si>
    <t>RF-38833</t>
  </si>
  <si>
    <t>RF-38832</t>
  </si>
  <si>
    <t>RF-38831</t>
  </si>
  <si>
    <t>AS-51039</t>
  </si>
  <si>
    <t>AS-51038</t>
  </si>
  <si>
    <t>AS-51037</t>
  </si>
  <si>
    <t>AS-51036</t>
  </si>
  <si>
    <t>AS-51035</t>
  </si>
  <si>
    <t>AR-14114</t>
  </si>
  <si>
    <t>AR-14112</t>
  </si>
  <si>
    <t>AR-14111</t>
  </si>
  <si>
    <t>RF-38873</t>
  </si>
  <si>
    <t>RF-38872</t>
  </si>
  <si>
    <t>RF-38871</t>
  </si>
  <si>
    <t>RF-38870</t>
  </si>
  <si>
    <t>RF-38869</t>
  </si>
  <si>
    <t>RF-38868</t>
  </si>
  <si>
    <t>RF-38867</t>
  </si>
  <si>
    <t>RF-38866</t>
  </si>
  <si>
    <t>RF-38864</t>
  </si>
  <si>
    <t>RF-38863</t>
  </si>
  <si>
    <t>RF-38862</t>
  </si>
  <si>
    <t>AS-51064</t>
  </si>
  <si>
    <t>AS-51062</t>
  </si>
  <si>
    <t>AR-14127</t>
  </si>
  <si>
    <t>RF-38927</t>
  </si>
  <si>
    <t>RF-38926</t>
  </si>
  <si>
    <t>RF-38925</t>
  </si>
  <si>
    <t>RF-38924</t>
  </si>
  <si>
    <t>RF-38923</t>
  </si>
  <si>
    <t>RF-38922</t>
  </si>
  <si>
    <t>RF-38921</t>
  </si>
  <si>
    <t>RF-38920</t>
  </si>
  <si>
    <t>RF-38919</t>
  </si>
  <si>
    <t>RF-38918</t>
  </si>
  <si>
    <t>RF-38917</t>
  </si>
  <si>
    <t>RF-38916</t>
  </si>
  <si>
    <t>RF-38915</t>
  </si>
  <si>
    <t>RF-38913</t>
  </si>
  <si>
    <t>RF-38912</t>
  </si>
  <si>
    <t>RF-38911</t>
  </si>
  <si>
    <t>RF-38910</t>
  </si>
  <si>
    <t>RF-38909</t>
  </si>
  <si>
    <t>RF-38908</t>
  </si>
  <si>
    <t>AS-51143</t>
  </si>
  <si>
    <t>AS-51142</t>
  </si>
  <si>
    <t>AS-51141</t>
  </si>
  <si>
    <t>AS-51140</t>
  </si>
  <si>
    <t>AS-51139</t>
  </si>
  <si>
    <t>AS-51137</t>
  </si>
  <si>
    <t>AS-51136</t>
  </si>
  <si>
    <t>AS-51135</t>
  </si>
  <si>
    <t>AS-51134</t>
  </si>
  <si>
    <t>AS-51131</t>
  </si>
  <si>
    <t>AS-51130</t>
  </si>
  <si>
    <t>AS-51129</t>
  </si>
  <si>
    <t>AS-51128</t>
  </si>
  <si>
    <t>AS-51127</t>
  </si>
  <si>
    <t>AS-51126</t>
  </si>
  <si>
    <t>AS-51125</t>
  </si>
  <si>
    <t>AS-51124</t>
  </si>
  <si>
    <t>AS-51123</t>
  </si>
  <si>
    <t>AS-51122</t>
  </si>
  <si>
    <t>AS-51121</t>
  </si>
  <si>
    <t>AS-51120</t>
  </si>
  <si>
    <t>AS-51119</t>
  </si>
  <si>
    <t>AS-51118</t>
  </si>
  <si>
    <t>AS-51117</t>
  </si>
  <si>
    <t>AS-51116</t>
  </si>
  <si>
    <t>AR-14142</t>
  </si>
  <si>
    <t>AR-14141</t>
  </si>
  <si>
    <t>RF-38945</t>
  </si>
  <si>
    <t>RF-38943</t>
  </si>
  <si>
    <t>RF-38941</t>
  </si>
  <si>
    <t>RF-38940</t>
  </si>
  <si>
    <t>RF-38939</t>
  </si>
  <si>
    <t>RF-38938</t>
  </si>
  <si>
    <t>RF-38937</t>
  </si>
  <si>
    <t>RF-38936</t>
  </si>
  <si>
    <t>RF-38935</t>
  </si>
  <si>
    <t>RF-38933</t>
  </si>
  <si>
    <t>AS-51184</t>
  </si>
  <si>
    <t>AS-51183</t>
  </si>
  <si>
    <t>AS-51182</t>
  </si>
  <si>
    <t>AS-51181</t>
  </si>
  <si>
    <t>AS-51180</t>
  </si>
  <si>
    <t>AS-51178</t>
  </si>
  <si>
    <t>AS-51176</t>
  </si>
  <si>
    <t>AS-51175</t>
  </si>
  <si>
    <t>AS-51174</t>
  </si>
  <si>
    <t>AS-51173</t>
  </si>
  <si>
    <t>AS-51171</t>
  </si>
  <si>
    <t>AS-51170</t>
  </si>
  <si>
    <t>AS-51167</t>
  </si>
  <si>
    <t>AS-51166</t>
  </si>
  <si>
    <t>AS-51165</t>
  </si>
  <si>
    <t>AS-51164</t>
  </si>
  <si>
    <t>AS-51163</t>
  </si>
  <si>
    <t>AS-51162</t>
  </si>
  <si>
    <t>AR-14150</t>
  </si>
  <si>
    <t>AR-14149</t>
  </si>
  <si>
    <t>AR-14148</t>
  </si>
  <si>
    <t xml:space="preserve"> </t>
  </si>
  <si>
    <t>RF-38957</t>
  </si>
  <si>
    <t>RF-38956</t>
  </si>
  <si>
    <t>RF-38955</t>
  </si>
  <si>
    <t>RF-38954</t>
  </si>
  <si>
    <t>RF-38953</t>
  </si>
  <si>
    <t>RF-38952</t>
  </si>
  <si>
    <t>RF-38951</t>
  </si>
  <si>
    <t>RF-38950</t>
  </si>
  <si>
    <t>RF-38949</t>
  </si>
  <si>
    <t>RF-38948</t>
  </si>
  <si>
    <t>RF-38947</t>
  </si>
  <si>
    <t>RF-38946</t>
  </si>
  <si>
    <t>AS-51221</t>
  </si>
  <si>
    <t>AS-51220</t>
  </si>
  <si>
    <t>AS-51219</t>
  </si>
  <si>
    <t>AS-51215</t>
  </si>
  <si>
    <t>AS-51214</t>
  </si>
  <si>
    <t>AS-51209</t>
  </si>
  <si>
    <t>AS-51208</t>
  </si>
  <si>
    <t>AS-51205</t>
  </si>
  <si>
    <t>AS-51204</t>
  </si>
  <si>
    <t>AS-51202</t>
  </si>
  <si>
    <t>AS-51200</t>
  </si>
  <si>
    <t>AS-51197</t>
  </si>
  <si>
    <t>AS-51196</t>
  </si>
  <si>
    <t>AS-51194</t>
  </si>
  <si>
    <t>AS-51192</t>
  </si>
  <si>
    <t>AS-51191</t>
  </si>
  <si>
    <t>AS-51190</t>
  </si>
  <si>
    <t>AS-51188</t>
  </si>
  <si>
    <t>AS-51187</t>
  </si>
  <si>
    <t>AS-51185</t>
  </si>
  <si>
    <t>AR-14159</t>
  </si>
  <si>
    <t>AR-14158</t>
  </si>
  <si>
    <t>AR-14157</t>
  </si>
  <si>
    <t>RF-38906</t>
  </si>
  <si>
    <t>RF-38905</t>
  </si>
  <si>
    <t>RF-38904</t>
  </si>
  <si>
    <t>RF-38902</t>
  </si>
  <si>
    <t>RF-38901</t>
  </si>
  <si>
    <t>RF-38900</t>
  </si>
  <si>
    <t>AS-51115</t>
  </si>
  <si>
    <t>AS-51114</t>
  </si>
  <si>
    <t>AS-51113</t>
  </si>
  <si>
    <t>AR-14138</t>
  </si>
  <si>
    <t>AR-14137</t>
  </si>
  <si>
    <t>AR-14135</t>
  </si>
  <si>
    <t>RF-38932</t>
  </si>
  <si>
    <t>RF-38931</t>
  </si>
  <si>
    <t>RF-38930</t>
  </si>
  <si>
    <t>RF-38929</t>
  </si>
  <si>
    <t>RF-38928</t>
  </si>
  <si>
    <t>AS-51161</t>
  </si>
  <si>
    <t>AS-51160</t>
  </si>
  <si>
    <t>AS-51159</t>
  </si>
  <si>
    <t>AS-51156</t>
  </si>
  <si>
    <t>AS-51155</t>
  </si>
  <si>
    <t>AS-51148</t>
  </si>
  <si>
    <t>AS-51147</t>
  </si>
  <si>
    <t>AS-51146</t>
  </si>
  <si>
    <t>AS-51145</t>
  </si>
  <si>
    <t>AS-51144</t>
  </si>
  <si>
    <t>AR-14146</t>
  </si>
  <si>
    <t>AR-14144</t>
  </si>
  <si>
    <t>RF-38959</t>
  </si>
  <si>
    <t>RF-38962</t>
  </si>
  <si>
    <t>RF-38961</t>
  </si>
  <si>
    <t>RF-38960</t>
  </si>
  <si>
    <t>AS-51231</t>
  </si>
  <si>
    <t>AS-51230</t>
  </si>
  <si>
    <t>AS-51226</t>
  </si>
  <si>
    <t>AS-51224</t>
  </si>
  <si>
    <t>AS-51223</t>
  </si>
  <si>
    <t>AS-51222</t>
  </si>
  <si>
    <t>AR-14160</t>
  </si>
  <si>
    <t>RF-39004</t>
  </si>
  <si>
    <t>RF-39003</t>
  </si>
  <si>
    <t>RF-39002</t>
  </si>
  <si>
    <t>RF-39001</t>
  </si>
  <si>
    <t>RF-39000</t>
  </si>
  <si>
    <t>RF-38998</t>
  </si>
  <si>
    <t>AS-51265</t>
  </si>
  <si>
    <t>AS-51264</t>
  </si>
  <si>
    <t>Rr-14169</t>
  </si>
  <si>
    <t>AR-14168</t>
  </si>
  <si>
    <t>AR-14171</t>
  </si>
  <si>
    <t>RF-39032</t>
  </si>
  <si>
    <t>RF-39031</t>
  </si>
  <si>
    <t>RF-39030</t>
  </si>
  <si>
    <t>RF-39029</t>
  </si>
  <si>
    <t>AS-51296</t>
  </si>
  <si>
    <t>AS-51293</t>
  </si>
  <si>
    <t>AR-14182</t>
  </si>
  <si>
    <t>AR-14181</t>
  </si>
  <si>
    <t>AR-14180</t>
  </si>
  <si>
    <t>AR-14178</t>
  </si>
  <si>
    <t>RF-39054</t>
  </si>
  <si>
    <t>RF-39053</t>
  </si>
  <si>
    <t>RF-39052</t>
  </si>
  <si>
    <t>RF-39049</t>
  </si>
  <si>
    <t>RF-39048</t>
  </si>
  <si>
    <t>RF-39047</t>
  </si>
  <si>
    <t>RF-39047+</t>
  </si>
  <si>
    <t>AS-51355</t>
  </si>
  <si>
    <t>AS-51353</t>
  </si>
  <si>
    <t>AS-51352</t>
  </si>
  <si>
    <t>AS-51351</t>
  </si>
  <si>
    <t>AS-51344</t>
  </si>
  <si>
    <t>AS-51347</t>
  </si>
  <si>
    <t>AS-51345</t>
  </si>
  <si>
    <t>AS-51341</t>
  </si>
  <si>
    <t>AS-51340</t>
  </si>
  <si>
    <t>AR-14194</t>
  </si>
  <si>
    <t>AR-14192</t>
  </si>
  <si>
    <t>AR-14191</t>
  </si>
  <si>
    <t>AS-51349</t>
  </si>
  <si>
    <t>AS-51350</t>
  </si>
  <si>
    <t>AS-51354</t>
  </si>
  <si>
    <t>RF-38997</t>
  </si>
  <si>
    <t>RF-38996</t>
  </si>
  <si>
    <t>RF-38995</t>
  </si>
  <si>
    <t>RF-38994</t>
  </si>
  <si>
    <t>RF-38991</t>
  </si>
  <si>
    <t>RF-38990</t>
  </si>
  <si>
    <t>RF-38987</t>
  </si>
  <si>
    <t>RF-38986</t>
  </si>
  <si>
    <t>RF-38985</t>
  </si>
  <si>
    <t>RF-38984</t>
  </si>
  <si>
    <t>RF-38983</t>
  </si>
  <si>
    <t>RF-38982</t>
  </si>
  <si>
    <t>RF-38981</t>
  </si>
  <si>
    <t>RF-38980</t>
  </si>
  <si>
    <t>RF-38979</t>
  </si>
  <si>
    <t>RF-38978</t>
  </si>
  <si>
    <t>RF-38977</t>
  </si>
  <si>
    <t>RF-38976</t>
  </si>
  <si>
    <t>RF-38975</t>
  </si>
  <si>
    <t>RF-38974</t>
  </si>
  <si>
    <t>RF-38973</t>
  </si>
  <si>
    <t>RF-38972</t>
  </si>
  <si>
    <t>RF-38971</t>
  </si>
  <si>
    <t>RF-38970</t>
  </si>
  <si>
    <t>RF-38968</t>
  </si>
  <si>
    <t>RF-38967</t>
  </si>
  <si>
    <t>RF-38966</t>
  </si>
  <si>
    <t>RF-38965</t>
  </si>
  <si>
    <t>RF-38963</t>
  </si>
  <si>
    <t>AS-51260</t>
  </si>
  <si>
    <t>AS-51259</t>
  </si>
  <si>
    <t>AS-51258</t>
  </si>
  <si>
    <t>AS-51257</t>
  </si>
  <si>
    <t>AS-51256</t>
  </si>
  <si>
    <t>AS-51255</t>
  </si>
  <si>
    <t>AS-51253</t>
  </si>
  <si>
    <t>AS-51252</t>
  </si>
  <si>
    <t>AS-51249</t>
  </si>
  <si>
    <t>AS-51247</t>
  </si>
  <si>
    <t>AS-51246</t>
  </si>
  <si>
    <t>AS-51236</t>
  </si>
  <si>
    <t>AS-51235</t>
  </si>
  <si>
    <t>AS-51234</t>
  </si>
  <si>
    <t>AS-51233</t>
  </si>
  <si>
    <t>AS-51232</t>
  </si>
  <si>
    <t>AR-14165</t>
  </si>
  <si>
    <t>AR-14164</t>
  </si>
  <si>
    <t>AR-14163</t>
  </si>
  <si>
    <t>RF-38969</t>
  </si>
  <si>
    <t>RF-39028</t>
  </si>
  <si>
    <t>RF-39027</t>
  </si>
  <si>
    <t>RF-39026</t>
  </si>
  <si>
    <t>RF-39022</t>
  </si>
  <si>
    <t>RF-39021</t>
  </si>
  <si>
    <t>RF-39020</t>
  </si>
  <si>
    <t>RF-39019</t>
  </si>
  <si>
    <t>RF-39018</t>
  </si>
  <si>
    <t>RF-39015</t>
  </si>
  <si>
    <t>RF-39014</t>
  </si>
  <si>
    <t>RF-39013</t>
  </si>
  <si>
    <t>RF-39012</t>
  </si>
  <si>
    <t>RF-39011</t>
  </si>
  <si>
    <t>RF-39010</t>
  </si>
  <si>
    <t>RF-39009</t>
  </si>
  <si>
    <t>RF-39007</t>
  </si>
  <si>
    <t>RF-39006</t>
  </si>
  <si>
    <t>RF-51291</t>
  </si>
  <si>
    <t>AS-51290</t>
  </si>
  <si>
    <t>AS-51289</t>
  </si>
  <si>
    <t>AS-51288</t>
  </si>
  <si>
    <t>AS-51286</t>
  </si>
  <si>
    <t>AS-51285</t>
  </si>
  <si>
    <t>AS-51283</t>
  </si>
  <si>
    <t>AS-51281</t>
  </si>
  <si>
    <t>AS-51280</t>
  </si>
  <si>
    <t>AS-51279</t>
  </si>
  <si>
    <t>AS-51277</t>
  </si>
  <si>
    <t>AS-51276</t>
  </si>
  <si>
    <t>AS-51275</t>
  </si>
  <si>
    <t>AS-51274</t>
  </si>
  <si>
    <t>AS-51273</t>
  </si>
  <si>
    <t>AS-51272</t>
  </si>
  <si>
    <t>AS-51271</t>
  </si>
  <si>
    <t>AS-51268</t>
  </si>
  <si>
    <t>AS-51269</t>
  </si>
  <si>
    <t>AS-51267</t>
  </si>
  <si>
    <t>AR-14176</t>
  </si>
  <si>
    <t>AR-14175</t>
  </si>
  <si>
    <t>AS-51270</t>
  </si>
  <si>
    <t>RF-39046</t>
  </si>
  <si>
    <t>RF-39045</t>
  </si>
  <si>
    <t>RF-39044</t>
  </si>
  <si>
    <t>RF-37043</t>
  </si>
  <si>
    <t>RF-39041</t>
  </si>
  <si>
    <t>RF-39040</t>
  </si>
  <si>
    <t>RF-39042</t>
  </si>
  <si>
    <t>RF-39039</t>
  </si>
  <si>
    <t>RF-39038</t>
  </si>
  <si>
    <t>RF-39037</t>
  </si>
  <si>
    <t>RF-39036</t>
  </si>
  <si>
    <t>AS-51339</t>
  </si>
  <si>
    <t>AS-51338</t>
  </si>
  <si>
    <t>AS-51337</t>
  </si>
  <si>
    <t>AS-51336</t>
  </si>
  <si>
    <t>AS-51335</t>
  </si>
  <si>
    <t>AS-51334</t>
  </si>
  <si>
    <t>AS-51332</t>
  </si>
  <si>
    <t>AS-51331</t>
  </si>
  <si>
    <t>AS-51330</t>
  </si>
  <si>
    <t>AS-51329</t>
  </si>
  <si>
    <t>AS-51326</t>
  </si>
  <si>
    <t>AS-51325</t>
  </si>
  <si>
    <t>AS-51324</t>
  </si>
  <si>
    <t>AS-51322</t>
  </si>
  <si>
    <t>AS-51321</t>
  </si>
  <si>
    <t>AS-51320</t>
  </si>
  <si>
    <t>AS-51314</t>
  </si>
  <si>
    <t>AS-51311</t>
  </si>
  <si>
    <t>AS-51310</t>
  </si>
  <si>
    <t>AS-51309</t>
  </si>
  <si>
    <t>AS-51308</t>
  </si>
  <si>
    <t>AS-51307</t>
  </si>
  <si>
    <t>AS-51306</t>
  </si>
  <si>
    <t>AS-51305</t>
  </si>
  <si>
    <t>AS-50304</t>
  </si>
  <si>
    <t>AS-51303</t>
  </si>
  <si>
    <t>AS-51301</t>
  </si>
  <si>
    <t>AS-51299</t>
  </si>
  <si>
    <t>AS-51297</t>
  </si>
  <si>
    <t>AS-51328</t>
  </si>
  <si>
    <t>AS-51327</t>
  </si>
  <si>
    <t>AS-14189</t>
  </si>
  <si>
    <t>AS-14188</t>
  </si>
  <si>
    <t>RF-39100</t>
  </si>
  <si>
    <t>RF-39099</t>
  </si>
  <si>
    <t>RF-39098</t>
  </si>
  <si>
    <t>RF-39097</t>
  </si>
  <si>
    <t>RF-39096</t>
  </si>
  <si>
    <t>RF-39095</t>
  </si>
  <si>
    <t>RF-39094</t>
  </si>
  <si>
    <t>RF-39093</t>
  </si>
  <si>
    <t>RF-39092</t>
  </si>
  <si>
    <t>RF-39091</t>
  </si>
  <si>
    <t>RF-39089</t>
  </si>
  <si>
    <t>RF-39088</t>
  </si>
  <si>
    <t>RF-39087</t>
  </si>
  <si>
    <t>RF-39086</t>
  </si>
  <si>
    <t>RF-39085</t>
  </si>
  <si>
    <t>RF-39084</t>
  </si>
  <si>
    <t>RF-39083</t>
  </si>
  <si>
    <t>AS-51446</t>
  </si>
  <si>
    <t>AS-51445</t>
  </si>
  <si>
    <t>AS-51844</t>
  </si>
  <si>
    <t>RF-51443</t>
  </si>
  <si>
    <t>AS-51442</t>
  </si>
  <si>
    <t>AS-51441</t>
  </si>
  <si>
    <t>AS-51436</t>
  </si>
  <si>
    <t>AS-51435</t>
  </si>
  <si>
    <t>AS-51434</t>
  </si>
  <si>
    <t>AS-51433</t>
  </si>
  <si>
    <t>AS-51431</t>
  </si>
  <si>
    <t>AS-51429</t>
  </si>
  <si>
    <t>AS-51427</t>
  </si>
  <si>
    <t>AS-51425</t>
  </si>
  <si>
    <t>AS-51424</t>
  </si>
  <si>
    <t>AS-51422</t>
  </si>
  <si>
    <t>AS-51421</t>
  </si>
  <si>
    <t>AS-51420</t>
  </si>
  <si>
    <t>AS-51418</t>
  </si>
  <si>
    <t>AS-51417</t>
  </si>
  <si>
    <t>AS-51415</t>
  </si>
  <si>
    <t>AS-51414</t>
  </si>
  <si>
    <t>AS-51413</t>
  </si>
  <si>
    <t>AS-51412</t>
  </si>
  <si>
    <t>AS-51411</t>
  </si>
  <si>
    <t>AS-51410</t>
  </si>
  <si>
    <t>AS-51409</t>
  </si>
  <si>
    <t>AS-51408</t>
  </si>
  <si>
    <t>AS-51407</t>
  </si>
  <si>
    <t>AS-51406</t>
  </si>
  <si>
    <t>AS-51405</t>
  </si>
  <si>
    <t>AS-51404</t>
  </si>
  <si>
    <t>AS-51403</t>
  </si>
  <si>
    <t>AS-51401</t>
  </si>
  <si>
    <t>AS-51400</t>
  </si>
  <si>
    <t>AS-51397</t>
  </si>
  <si>
    <t>AS-51396</t>
  </si>
  <si>
    <t>AS-51395</t>
  </si>
  <si>
    <t>ASR-14209</t>
  </si>
  <si>
    <t>AR-14208</t>
  </si>
  <si>
    <t>AR-14207</t>
  </si>
  <si>
    <t>RF-39082</t>
  </si>
  <si>
    <t>RF-39081</t>
  </si>
  <si>
    <t>RF-39077</t>
  </si>
  <si>
    <t>RF-39076</t>
  </si>
  <si>
    <t>RF-39075</t>
  </si>
  <si>
    <t>RF-39074</t>
  </si>
  <si>
    <t>AS-51392</t>
  </si>
  <si>
    <t>AS-51390</t>
  </si>
  <si>
    <t>AS-51388</t>
  </si>
  <si>
    <t>AR-14203</t>
  </si>
  <si>
    <t>AR-14202</t>
  </si>
  <si>
    <t>AS-51402</t>
  </si>
  <si>
    <t>RF-39146</t>
  </si>
  <si>
    <t>RF-39145</t>
  </si>
  <si>
    <t>RF-39144</t>
  </si>
  <si>
    <t>RF-39143</t>
  </si>
  <si>
    <t>RF-39142</t>
  </si>
  <si>
    <t>RF-39141</t>
  </si>
  <si>
    <t>RF-39140</t>
  </si>
  <si>
    <t>RF-39139</t>
  </si>
  <si>
    <t>RF-39138</t>
  </si>
  <si>
    <t>RF-39137</t>
  </si>
  <si>
    <t>RF-39090</t>
  </si>
  <si>
    <t>AS-51472</t>
  </si>
  <si>
    <t>AS-51471</t>
  </si>
  <si>
    <t>AS-51470</t>
  </si>
  <si>
    <t>AS-51469</t>
  </si>
  <si>
    <t>RF-51466</t>
  </si>
  <si>
    <t>AS-51465</t>
  </si>
  <si>
    <t>AS-51464</t>
  </si>
  <si>
    <t>AS-51462</t>
  </si>
  <si>
    <t>AS-51461</t>
  </si>
  <si>
    <t>AS-51460</t>
  </si>
  <si>
    <t>AS-51459</t>
  </si>
  <si>
    <t>RF-39073</t>
  </si>
  <si>
    <t>RF-39072</t>
  </si>
  <si>
    <t>RF-39071</t>
  </si>
  <si>
    <t>RF-39069</t>
  </si>
  <si>
    <t>RF-39068</t>
  </si>
  <si>
    <t>RF-39066</t>
  </si>
  <si>
    <t>RF-39065</t>
  </si>
  <si>
    <t>RF-39064</t>
  </si>
  <si>
    <t>RF-39063</t>
  </si>
  <si>
    <t>RF-39061</t>
  </si>
  <si>
    <t>RF-39060</t>
  </si>
  <si>
    <t>RF-39059</t>
  </si>
  <si>
    <t>RF-39057</t>
  </si>
  <si>
    <t>RF-39056</t>
  </si>
  <si>
    <t>RF-39055</t>
  </si>
  <si>
    <t>AS-51386</t>
  </si>
  <si>
    <t>AS-51385</t>
  </si>
  <si>
    <t>AS-513384</t>
  </si>
  <si>
    <t>AS-51383</t>
  </si>
  <si>
    <t>AS-51382</t>
  </si>
  <si>
    <t>AS-51381</t>
  </si>
  <si>
    <t>AS-51380</t>
  </si>
  <si>
    <t>AS-51360</t>
  </si>
  <si>
    <t>AS-51379</t>
  </si>
  <si>
    <t>AS-51378</t>
  </si>
  <si>
    <t>AS-51377</t>
  </si>
  <si>
    <t>AS-51371</t>
  </si>
  <si>
    <t>AS-51370</t>
  </si>
  <si>
    <t>AS-51367</t>
  </si>
  <si>
    <t>AS-51363</t>
  </si>
  <si>
    <t>AS-51359</t>
  </si>
  <si>
    <t>AS-51358</t>
  </si>
  <si>
    <t>AS-51375</t>
  </si>
  <si>
    <t>AS-51366</t>
  </si>
  <si>
    <t>AS-51364</t>
  </si>
  <si>
    <t>AS-51361</t>
  </si>
  <si>
    <t>AR-14200</t>
  </si>
  <si>
    <t>AR-14199</t>
  </si>
  <si>
    <t>AR-14198</t>
  </si>
  <si>
    <t>AR-14197</t>
  </si>
  <si>
    <t>RF-39062</t>
  </si>
  <si>
    <t>AS-51373</t>
  </si>
  <si>
    <t>AS-51473</t>
  </si>
  <si>
    <t>AS-51458</t>
  </si>
  <si>
    <t>AS-51457</t>
  </si>
  <si>
    <t>AS-51456</t>
  </si>
  <si>
    <t>AS-51455</t>
  </si>
  <si>
    <t>AS-51454</t>
  </si>
  <si>
    <t>AS-51453</t>
  </si>
  <si>
    <t>AS-51452</t>
  </si>
  <si>
    <t>AS-51451</t>
  </si>
  <si>
    <t>AS-51450</t>
  </si>
  <si>
    <t>AS-51499</t>
  </si>
  <si>
    <t>AS-51449</t>
  </si>
  <si>
    <t>AS-51468</t>
  </si>
  <si>
    <t>AS-51467</t>
  </si>
  <si>
    <t>AR-14219</t>
  </si>
  <si>
    <t>AR-14221</t>
  </si>
  <si>
    <t>AR-14220</t>
  </si>
  <si>
    <t>AR-14218</t>
  </si>
  <si>
    <t>AR-14217</t>
  </si>
  <si>
    <t>AR-14215</t>
  </si>
  <si>
    <t>AR-14214</t>
  </si>
  <si>
    <t>AR-14213</t>
  </si>
  <si>
    <t>AR-14211</t>
  </si>
  <si>
    <t>AR-14210</t>
  </si>
  <si>
    <t>RF-39103</t>
  </si>
  <si>
    <t>RF-39104</t>
  </si>
  <si>
    <t>RF-39168</t>
  </si>
  <si>
    <t>RF-39167</t>
  </si>
  <si>
    <t>RF-39166</t>
  </si>
  <si>
    <t>RF-39165</t>
  </si>
  <si>
    <t>RF-39164</t>
  </si>
  <si>
    <t>RF-39163</t>
  </si>
  <si>
    <t>RF-39160</t>
  </si>
  <si>
    <t>RF-39158</t>
  </si>
  <si>
    <t>RF-39157</t>
  </si>
  <si>
    <t>RF-39156</t>
  </si>
  <si>
    <t>RF-39155</t>
  </si>
  <si>
    <t>RF-39154</t>
  </si>
  <si>
    <t>RF-39153</t>
  </si>
  <si>
    <t>AS-51519</t>
  </si>
  <si>
    <t>AS-51518</t>
  </si>
  <si>
    <t>AS-51517</t>
  </si>
  <si>
    <t>AS-51516</t>
  </si>
  <si>
    <t>AS-5515</t>
  </si>
  <si>
    <t>AS-51511</t>
  </si>
  <si>
    <t>AS-51510</t>
  </si>
  <si>
    <t>AS-51509</t>
  </si>
  <si>
    <t>RF-39162</t>
  </si>
  <si>
    <t>AS-51508</t>
  </si>
  <si>
    <t>AS-51505</t>
  </si>
  <si>
    <t>AS-51484</t>
  </si>
  <si>
    <t>AS-51483</t>
  </si>
  <si>
    <t>AS-51482</t>
  </si>
  <si>
    <t>AR-14234</t>
  </si>
  <si>
    <t>AR-14233</t>
  </si>
  <si>
    <t>AR-14232</t>
  </si>
  <si>
    <t>AR-14231</t>
  </si>
  <si>
    <t>AR-14230</t>
  </si>
  <si>
    <t>RF-39171</t>
  </si>
  <si>
    <t>AS-51528</t>
  </si>
  <si>
    <t>AS-51529</t>
  </si>
  <si>
    <t>AS-51527</t>
  </si>
  <si>
    <t>AS-51526</t>
  </si>
  <si>
    <t>AS-51525</t>
  </si>
  <si>
    <t>AS-51524</t>
  </si>
  <si>
    <t>AS-51523</t>
  </si>
  <si>
    <t>AS-51522</t>
  </si>
  <si>
    <t>AS-51521</t>
  </si>
  <si>
    <t>AS-51520</t>
  </si>
  <si>
    <t>AR-14241</t>
  </si>
  <si>
    <t>AR-14240</t>
  </si>
  <si>
    <t>AR-14239</t>
  </si>
  <si>
    <t>AR-14235</t>
  </si>
  <si>
    <t>RF-39151</t>
  </si>
  <si>
    <t>RF-39150</t>
  </si>
  <si>
    <t>RF-39149</t>
  </si>
  <si>
    <t>AS-51481</t>
  </si>
  <si>
    <t>AS-5179</t>
  </si>
  <si>
    <t>AS-51476</t>
  </si>
  <si>
    <t>AS-51475</t>
  </si>
  <si>
    <t>AS-51474</t>
  </si>
  <si>
    <t>AS-51480</t>
  </si>
  <si>
    <t>AR-14228</t>
  </si>
  <si>
    <t>AR-14225</t>
  </si>
  <si>
    <t>AR-14224</t>
  </si>
  <si>
    <t>AR-14223</t>
  </si>
  <si>
    <t>AR-14222</t>
  </si>
  <si>
    <t>AR-14229</t>
  </si>
  <si>
    <t>AS-39185</t>
  </si>
  <si>
    <t>AS-39184</t>
  </si>
  <si>
    <t>RF-39183</t>
  </si>
  <si>
    <t>RF-39182</t>
  </si>
  <si>
    <t>RF-39181</t>
  </si>
  <si>
    <t>RF-39179</t>
  </si>
  <si>
    <t>RF-39178</t>
  </si>
  <si>
    <t>RF-39177</t>
  </si>
  <si>
    <t>RF-37176</t>
  </si>
  <si>
    <t>RF-39175</t>
  </si>
  <si>
    <t>RF-39174</t>
  </si>
  <si>
    <t>RF-39173</t>
  </si>
  <si>
    <t>RF-39172</t>
  </si>
  <si>
    <t>AS-51572</t>
  </si>
  <si>
    <t>AS-51571</t>
  </si>
  <si>
    <t>AS-51570</t>
  </si>
  <si>
    <t>AS-51569</t>
  </si>
  <si>
    <t>AS-51568</t>
  </si>
  <si>
    <t>AS-51566</t>
  </si>
  <si>
    <t>AS-51565</t>
  </si>
  <si>
    <t>AS-51564</t>
  </si>
  <si>
    <t>AS-51563</t>
  </si>
  <si>
    <t>AS-51562</t>
  </si>
  <si>
    <t>AS-51561</t>
  </si>
  <si>
    <t>AS-51560</t>
  </si>
  <si>
    <t>AS-51559</t>
  </si>
  <si>
    <t>AS-51558</t>
  </si>
  <si>
    <t>AS-51557</t>
  </si>
  <si>
    <t>AS-51556</t>
  </si>
  <si>
    <t>AS-51555</t>
  </si>
  <si>
    <t>AS-51554</t>
  </si>
  <si>
    <t>AS-51538</t>
  </si>
  <si>
    <t>AS-51537</t>
  </si>
  <si>
    <t>AS-51536</t>
  </si>
  <si>
    <t>AS-515535</t>
  </si>
  <si>
    <t>AS-51533</t>
  </si>
  <si>
    <t>AS51532</t>
  </si>
  <si>
    <t>AS-51531</t>
  </si>
  <si>
    <t>AS-51530</t>
  </si>
  <si>
    <t>AR-14248</t>
  </si>
  <si>
    <t>AR-14243</t>
  </si>
  <si>
    <t>AS-14242</t>
  </si>
  <si>
    <t>RF-39196</t>
  </si>
  <si>
    <t>RF-39195</t>
  </si>
  <si>
    <t>RF-39194</t>
  </si>
  <si>
    <t>RF-39193</t>
  </si>
  <si>
    <t>RF-39192</t>
  </si>
  <si>
    <t>RF-39191</t>
  </si>
  <si>
    <t>RF-39190</t>
  </si>
  <si>
    <t>RF-39189</t>
  </si>
  <si>
    <t>RF-39188</t>
  </si>
  <si>
    <t>RF-39187</t>
  </si>
  <si>
    <t>RF-39186</t>
  </si>
  <si>
    <t>AS-51581</t>
  </si>
  <si>
    <t>AS-51580</t>
  </si>
  <si>
    <t>AS-51579</t>
  </si>
  <si>
    <t>AS-51577</t>
  </si>
  <si>
    <t>AS-51576</t>
  </si>
  <si>
    <t>AS-51575</t>
  </si>
  <si>
    <t>AS-51574</t>
  </si>
  <si>
    <t>AR-14251</t>
  </si>
  <si>
    <t>AR-14250</t>
  </si>
  <si>
    <t>AS-144249</t>
  </si>
  <si>
    <t>RF-39213</t>
  </si>
  <si>
    <t>RF-39212</t>
  </si>
  <si>
    <t>RF-39211</t>
  </si>
  <si>
    <t>RF-39210</t>
  </si>
  <si>
    <t>RF-39209</t>
  </si>
  <si>
    <t>RF-39208</t>
  </si>
  <si>
    <t>RF-39206</t>
  </si>
  <si>
    <t>RF-30204</t>
  </si>
  <si>
    <t>RF-39203</t>
  </si>
  <si>
    <t>RF-39202</t>
  </si>
  <si>
    <t>RF-39201</t>
  </si>
  <si>
    <t>RF-39200</t>
  </si>
  <si>
    <t>RF-39199</t>
  </si>
  <si>
    <t>RF-39198</t>
  </si>
  <si>
    <t>RF-39197</t>
  </si>
  <si>
    <t>AS-51614</t>
  </si>
  <si>
    <t>AS-51613</t>
  </si>
  <si>
    <t>AS-51612</t>
  </si>
  <si>
    <t>AS-51611</t>
  </si>
  <si>
    <t>AS-51609</t>
  </si>
  <si>
    <t>AS-51606</t>
  </si>
  <si>
    <t>AS-51605</t>
  </si>
  <si>
    <t>AS-51604</t>
  </si>
  <si>
    <t>AS-51603</t>
  </si>
  <si>
    <t>AS-51601</t>
  </si>
  <si>
    <t>AS-51600</t>
  </si>
  <si>
    <t>AS-51599</t>
  </si>
  <si>
    <t>AS-51598</t>
  </si>
  <si>
    <t>AS-51597</t>
  </si>
  <si>
    <t>AS-51596</t>
  </si>
  <si>
    <t>AS-51594</t>
  </si>
  <si>
    <t>AS-51593</t>
  </si>
  <si>
    <t>AS-51592</t>
  </si>
  <si>
    <t>AS-51591</t>
  </si>
  <si>
    <t>AS-51590</t>
  </si>
  <si>
    <t>AS-51588</t>
  </si>
  <si>
    <t>AS-51587</t>
  </si>
  <si>
    <t>AS-51586</t>
  </si>
  <si>
    <t>AS-51585</t>
  </si>
  <si>
    <t>AS-51584</t>
  </si>
  <si>
    <t>AS-51583</t>
  </si>
  <si>
    <t>AS-51582</t>
  </si>
  <si>
    <t>RF-39217</t>
  </si>
  <si>
    <t>RF-39216</t>
  </si>
  <si>
    <t>RF-39215</t>
  </si>
  <si>
    <t>AS-51645</t>
  </si>
  <si>
    <t>AS-51640</t>
  </si>
  <si>
    <t>AS-51638</t>
  </si>
  <si>
    <t>AS-51637</t>
  </si>
  <si>
    <t>AS-51635</t>
  </si>
  <si>
    <t>AS-51625</t>
  </si>
  <si>
    <t>AS-51618</t>
  </si>
  <si>
    <t>AR-14265</t>
  </si>
  <si>
    <t>R-14263</t>
  </si>
  <si>
    <t>RF-3929</t>
  </si>
  <si>
    <t>RF-39288</t>
  </si>
  <si>
    <t>RF-39227</t>
  </si>
  <si>
    <t>RF-39226</t>
  </si>
  <si>
    <t>RF-29225</t>
  </si>
  <si>
    <t>RF-39224</t>
  </si>
  <si>
    <t>RF-39223</t>
  </si>
  <si>
    <t>RF-39222</t>
  </si>
  <si>
    <t>RF-39221</t>
  </si>
  <si>
    <t>RF-39220</t>
  </si>
  <si>
    <t>RF-39219</t>
  </si>
  <si>
    <t>RF-39218</t>
  </si>
  <si>
    <t>RF-51688</t>
  </si>
  <si>
    <t>AS-51686</t>
  </si>
  <si>
    <t>AS-51685</t>
  </si>
  <si>
    <t>AS-51684</t>
  </si>
  <si>
    <t>AS-51683</t>
  </si>
  <si>
    <t>AS-51682</t>
  </si>
  <si>
    <t>AS-51681</t>
  </si>
  <si>
    <t>AS-51680</t>
  </si>
  <si>
    <t>AS-51675</t>
  </si>
  <si>
    <t>AS-51674</t>
  </si>
  <si>
    <t>AS-51672</t>
  </si>
  <si>
    <t>AS-51671</t>
  </si>
  <si>
    <t>AS-51670</t>
  </si>
  <si>
    <t>AS-51664</t>
  </si>
  <si>
    <t>AS-51669</t>
  </si>
  <si>
    <t>AS-51668</t>
  </si>
  <si>
    <t>AS-51667</t>
  </si>
  <si>
    <t>AS-51666</t>
  </si>
  <si>
    <t>AS-51665</t>
  </si>
  <si>
    <t>AS-51663</t>
  </si>
  <si>
    <t>AS-51662</t>
  </si>
  <si>
    <t>AS-51661</t>
  </si>
  <si>
    <t>AS-51660</t>
  </si>
  <si>
    <t>AS-51659</t>
  </si>
  <si>
    <t>AS-51658</t>
  </si>
  <si>
    <t>AS-51657</t>
  </si>
  <si>
    <t>AS-51656</t>
  </si>
  <si>
    <t>AS-51654</t>
  </si>
  <si>
    <t>AS-51652</t>
  </si>
  <si>
    <t>AS-51650</t>
  </si>
  <si>
    <t>AS-51649</t>
  </si>
  <si>
    <t>AR-14269</t>
  </si>
  <si>
    <t>AR-14268</t>
  </si>
  <si>
    <t>AR-14267</t>
  </si>
  <si>
    <t>RF-29255</t>
  </si>
  <si>
    <t>RF-39254</t>
  </si>
  <si>
    <t>RF-39253</t>
  </si>
  <si>
    <t>RF-39252</t>
  </si>
  <si>
    <t>RF-39251</t>
  </si>
  <si>
    <t>RF-39249</t>
  </si>
  <si>
    <t>RF-39248</t>
  </si>
  <si>
    <t>RF-39247</t>
  </si>
  <si>
    <t>RF-29246</t>
  </si>
  <si>
    <t>RF-39245</t>
  </si>
  <si>
    <t>RF-39244</t>
  </si>
  <si>
    <t>RF-39243</t>
  </si>
  <si>
    <t>RF-39242</t>
  </si>
  <si>
    <t>RF-39241</t>
  </si>
  <si>
    <t>RF-39240</t>
  </si>
  <si>
    <t>RF-39239</t>
  </si>
  <si>
    <t>RF-39238</t>
  </si>
  <si>
    <t>RF-39237</t>
  </si>
  <si>
    <t>RF-39236</t>
  </si>
  <si>
    <t>RF-39235</t>
  </si>
  <si>
    <t>RF-39233</t>
  </si>
  <si>
    <t>RF-39232</t>
  </si>
  <si>
    <t>RF-39231</t>
  </si>
  <si>
    <t>AS-51721</t>
  </si>
  <si>
    <t>AS-51720</t>
  </si>
  <si>
    <t>AS-51719</t>
  </si>
  <si>
    <t>AS-51718</t>
  </si>
  <si>
    <t>AS-51717</t>
  </si>
  <si>
    <t>AS-51715</t>
  </si>
  <si>
    <t>AS-51714</t>
  </si>
  <si>
    <t>AS-51713</t>
  </si>
  <si>
    <t>AS-51712</t>
  </si>
  <si>
    <t>AS-51711</t>
  </si>
  <si>
    <t>AS-51710</t>
  </si>
  <si>
    <t>AS-51709</t>
  </si>
  <si>
    <t>AS-51708</t>
  </si>
  <si>
    <t>AS-51706</t>
  </si>
  <si>
    <t>AS-51705</t>
  </si>
  <si>
    <t>AS-51704</t>
  </si>
  <si>
    <t>AS-51703</t>
  </si>
  <si>
    <t>AS-51702</t>
  </si>
  <si>
    <t>AS-51701</t>
  </si>
  <si>
    <t>AS-51700</t>
  </si>
  <si>
    <t>AS-51699</t>
  </si>
  <si>
    <t>AS-51698</t>
  </si>
  <si>
    <t>AS-51696</t>
  </si>
  <si>
    <t>AS-51695</t>
  </si>
  <si>
    <t>AS-51694</t>
  </si>
  <si>
    <t>AS-51692</t>
  </si>
  <si>
    <t>AS-51691</t>
  </si>
  <si>
    <t>AS-51690</t>
  </si>
  <si>
    <t>AS-51689</t>
  </si>
  <si>
    <t>AS-14273</t>
  </si>
  <si>
    <t>AR-14272</t>
  </si>
  <si>
    <t>AR-14271</t>
  </si>
  <si>
    <t>RF-39250</t>
  </si>
  <si>
    <t>RF-39284</t>
  </si>
  <si>
    <t>AS-39283</t>
  </si>
  <si>
    <t>RF-39282</t>
  </si>
  <si>
    <t>RF-39281</t>
  </si>
  <si>
    <t>RF-39280</t>
  </si>
  <si>
    <t>RF-39278</t>
  </si>
  <si>
    <t>RF-39277</t>
  </si>
  <si>
    <t>RF-39275</t>
  </si>
  <si>
    <t>RF-39274</t>
  </si>
  <si>
    <t>RF-39273</t>
  </si>
  <si>
    <t>RF-39272</t>
  </si>
  <si>
    <t>RF-39271</t>
  </si>
  <si>
    <t>AS-51803</t>
  </si>
  <si>
    <t>RF-51802</t>
  </si>
  <si>
    <t>AS-51800</t>
  </si>
  <si>
    <t>AS-51798</t>
  </si>
  <si>
    <t>AS-51796</t>
  </si>
  <si>
    <t>AS-51790</t>
  </si>
  <si>
    <t>AS-51786</t>
  </si>
  <si>
    <t>AS-51785</t>
  </si>
  <si>
    <t>AS-51784</t>
  </si>
  <si>
    <t>AS-51782</t>
  </si>
  <si>
    <t>AS-51781</t>
  </si>
  <si>
    <t>AS-51779</t>
  </si>
  <si>
    <t>AS-51778</t>
  </si>
  <si>
    <t>AS-51777</t>
  </si>
  <si>
    <t>AS-51776</t>
  </si>
  <si>
    <t>AS-51775</t>
  </si>
  <si>
    <t>AS-51774</t>
  </si>
  <si>
    <t>AS-51773</t>
  </si>
  <si>
    <t>AS-51772</t>
  </si>
  <si>
    <t>AS-51771</t>
  </si>
  <si>
    <t>AS-51770</t>
  </si>
  <si>
    <t>AS-51769</t>
  </si>
  <si>
    <t>AS-51768</t>
  </si>
  <si>
    <t>AS-51765</t>
  </si>
  <si>
    <t>AS-51764</t>
  </si>
  <si>
    <t>AR-14284</t>
  </si>
  <si>
    <t>AR-14283</t>
  </si>
  <si>
    <t>AR-14282</t>
  </si>
  <si>
    <t>RF-39270</t>
  </si>
  <si>
    <t>RF-39264</t>
  </si>
  <si>
    <t>RF-39263</t>
  </si>
  <si>
    <t>RF-39262</t>
  </si>
  <si>
    <t>RF-39261</t>
  </si>
  <si>
    <t>RF-39260</t>
  </si>
  <si>
    <t>RF-39258</t>
  </si>
  <si>
    <t>RF-39257</t>
  </si>
  <si>
    <t>RF-39256</t>
  </si>
  <si>
    <t>AS-51756</t>
  </si>
  <si>
    <t>AS-51755</t>
  </si>
  <si>
    <t>AS-51754</t>
  </si>
  <si>
    <t>AS-51753</t>
  </si>
  <si>
    <t>AS-51752</t>
  </si>
  <si>
    <t>AS-51751</t>
  </si>
  <si>
    <t>AS-51750</t>
  </si>
  <si>
    <t>AS-51749</t>
  </si>
  <si>
    <t>AS-51748</t>
  </si>
  <si>
    <t>AS-51747</t>
  </si>
  <si>
    <t>AS-51746</t>
  </si>
  <si>
    <t>AS-51745</t>
  </si>
  <si>
    <t>AS-51744</t>
  </si>
  <si>
    <t>AS-51743</t>
  </si>
  <si>
    <t>AS-51742</t>
  </si>
  <si>
    <t>AS-51741</t>
  </si>
  <si>
    <t>AS-51740</t>
  </si>
  <si>
    <t>AS-51739</t>
  </si>
  <si>
    <t>AS-51738</t>
  </si>
  <si>
    <t>AS-51737</t>
  </si>
  <si>
    <t>AS-51736</t>
  </si>
  <si>
    <t>AS-51734</t>
  </si>
  <si>
    <t>AS-51733</t>
  </si>
  <si>
    <t>AS-51732</t>
  </si>
  <si>
    <t>AS-51731</t>
  </si>
  <si>
    <t>AS-51730</t>
  </si>
  <si>
    <t>AS-51729</t>
  </si>
  <si>
    <t>AS-51728</t>
  </si>
  <si>
    <t>AS-51727</t>
  </si>
  <si>
    <t>AS-51726</t>
  </si>
  <si>
    <t>AS-51725</t>
  </si>
  <si>
    <t>AS-51724</t>
  </si>
  <si>
    <t>AS-51723</t>
  </si>
  <si>
    <t>AS-51722</t>
  </si>
  <si>
    <t>RF-39265</t>
  </si>
  <si>
    <t>RF-39269</t>
  </si>
  <si>
    <t>RF-39268</t>
  </si>
  <si>
    <t>RF-39267</t>
  </si>
  <si>
    <t>RF-39266</t>
  </si>
  <si>
    <t>AS-51763</t>
  </si>
  <si>
    <t>AS-51762</t>
  </si>
  <si>
    <t>AS-51760</t>
  </si>
  <si>
    <t>AS-51758</t>
  </si>
  <si>
    <t>AR-14280</t>
  </si>
  <si>
    <t>AR-14279</t>
  </si>
  <si>
    <t>RF-39292</t>
  </si>
  <si>
    <t>RF-39291</t>
  </si>
  <si>
    <t>RF-39290</t>
  </si>
  <si>
    <t>RF-39289</t>
  </si>
  <si>
    <t>RF-39286</t>
  </si>
  <si>
    <t>RF-51850</t>
  </si>
  <si>
    <t>AS-51849</t>
  </si>
  <si>
    <t>AS-51848</t>
  </si>
  <si>
    <t>AS-51822</t>
  </si>
  <si>
    <t>AS-51821</t>
  </si>
  <si>
    <t>AS-51818</t>
  </si>
  <si>
    <t>AR-14292</t>
  </si>
  <si>
    <t>AR-14290</t>
  </si>
  <si>
    <t>AR-14289</t>
  </si>
  <si>
    <t>RF-39308</t>
  </si>
  <si>
    <t>RF-39306</t>
  </si>
  <si>
    <t>RF-39307</t>
  </si>
  <si>
    <t>RF-39305</t>
  </si>
  <si>
    <t>RF-39304</t>
  </si>
  <si>
    <t>RF-39303</t>
  </si>
  <si>
    <t>RF-39302</t>
  </si>
  <si>
    <t>RF-39301</t>
  </si>
  <si>
    <t>RF-39300</t>
  </si>
  <si>
    <t>RF-39299</t>
  </si>
  <si>
    <t>RF-39298</t>
  </si>
  <si>
    <t>RF-39297</t>
  </si>
  <si>
    <t>RF-39296</t>
  </si>
  <si>
    <t>RF-39295</t>
  </si>
  <si>
    <t>RF-39294</t>
  </si>
  <si>
    <t>RF-39293</t>
  </si>
  <si>
    <t>AR-1431</t>
  </si>
  <si>
    <t>AR-14296</t>
  </si>
  <si>
    <t>AR-14295</t>
  </si>
  <si>
    <t>AR-14293</t>
  </si>
  <si>
    <t>AS-51900</t>
  </si>
  <si>
    <t>AS-51898</t>
  </si>
  <si>
    <t>AS-51897</t>
  </si>
  <si>
    <t>AS-51896</t>
  </si>
  <si>
    <t>AS-51895</t>
  </si>
  <si>
    <t>AS-51894</t>
  </si>
  <si>
    <t>AS-51893</t>
  </si>
  <si>
    <t>AS-51892</t>
  </si>
  <si>
    <t>AS-51891</t>
  </si>
  <si>
    <t>AS-51890</t>
  </si>
  <si>
    <t>AS-51889</t>
  </si>
  <si>
    <t>AS-51888</t>
  </si>
  <si>
    <t>AS-51887</t>
  </si>
  <si>
    <t>RF-51886</t>
  </si>
  <si>
    <t>AS-51885</t>
  </si>
  <si>
    <t>AS-51884</t>
  </si>
  <si>
    <t>AS-51883</t>
  </si>
  <si>
    <t>AS-51882</t>
  </si>
  <si>
    <t>AS-51881</t>
  </si>
  <si>
    <t>AS-51880</t>
  </si>
  <si>
    <t>AS-51879</t>
  </si>
  <si>
    <t>AS-51878</t>
  </si>
  <si>
    <t>AS-51876</t>
  </si>
  <si>
    <t>AS-51874</t>
  </si>
  <si>
    <t>AS-51871</t>
  </si>
  <si>
    <t>AS-51870</t>
  </si>
  <si>
    <t>AS-51869</t>
  </si>
  <si>
    <t>RF-39315</t>
  </si>
  <si>
    <t>RF-39314</t>
  </si>
  <si>
    <t>RF-39313</t>
  </si>
  <si>
    <t>RF-39312</t>
  </si>
  <si>
    <t>RF-39311</t>
  </si>
  <si>
    <t>RF-39310</t>
  </si>
  <si>
    <t>RF-39309</t>
  </si>
  <si>
    <t>AS-51913</t>
  </si>
  <si>
    <t>AS-51912</t>
  </si>
  <si>
    <t>AS-51911</t>
  </si>
  <si>
    <t>AS-51910</t>
  </si>
  <si>
    <t>AS-51909</t>
  </si>
  <si>
    <t>AS-511908</t>
  </si>
  <si>
    <t>AS-51907</t>
  </si>
  <si>
    <t>AS-51906</t>
  </si>
  <si>
    <t>AS-51905</t>
  </si>
  <si>
    <t>AS-51908</t>
  </si>
  <si>
    <t>AS-51902</t>
  </si>
  <si>
    <t>AR-14305</t>
  </si>
  <si>
    <t>AR-14304</t>
  </si>
  <si>
    <t>AR-14303</t>
  </si>
  <si>
    <t>AR-14302</t>
  </si>
  <si>
    <t>RF-39336</t>
  </si>
  <si>
    <t>RF-39335</t>
  </si>
  <si>
    <t>RF-39334</t>
  </si>
  <si>
    <t>RF-39332</t>
  </si>
  <si>
    <t>RF-39331</t>
  </si>
  <si>
    <t>RF-39330</t>
  </si>
  <si>
    <t>RF-39329</t>
  </si>
  <si>
    <t>RF-39328</t>
  </si>
  <si>
    <t>RF-39327</t>
  </si>
  <si>
    <t>RF-39326</t>
  </si>
  <si>
    <t>RF-39325</t>
  </si>
  <si>
    <t>RF-39324</t>
  </si>
  <si>
    <t>RF-39323</t>
  </si>
  <si>
    <t>RF-39322</t>
  </si>
  <si>
    <t>RF-39321</t>
  </si>
  <si>
    <t>RF-39320</t>
  </si>
  <si>
    <t>RF-39319</t>
  </si>
  <si>
    <t>RF-39318</t>
  </si>
  <si>
    <t>RF-39317</t>
  </si>
  <si>
    <t>RF-39316</t>
  </si>
  <si>
    <t>AS-51947</t>
  </si>
  <si>
    <t>AS-51946</t>
  </si>
  <si>
    <t>AS-51945</t>
  </si>
  <si>
    <t>AS-51944</t>
  </si>
  <si>
    <t>AS-51943</t>
  </si>
  <si>
    <t>AS-51941</t>
  </si>
  <si>
    <t>AS-51940</t>
  </si>
  <si>
    <t>AS-51939</t>
  </si>
  <si>
    <t>AS-51938</t>
  </si>
  <si>
    <t>AS-51937</t>
  </si>
  <si>
    <t>AS-51935</t>
  </si>
  <si>
    <t>AS-51934</t>
  </si>
  <si>
    <t>AS-51933</t>
  </si>
  <si>
    <t>AS-51931</t>
  </si>
  <si>
    <t>AS-51930</t>
  </si>
  <si>
    <t>AS-51929</t>
  </si>
  <si>
    <t>AS-51928</t>
  </si>
  <si>
    <t>AS-51927</t>
  </si>
  <si>
    <t>AS-51926</t>
  </si>
  <si>
    <t>AS-51925</t>
  </si>
  <si>
    <t>AS-51924</t>
  </si>
  <si>
    <t>AS-51923</t>
  </si>
  <si>
    <t>AS-51922</t>
  </si>
  <si>
    <t>AS-51920</t>
  </si>
  <si>
    <t>AS-51919</t>
  </si>
  <si>
    <t>AS-51918</t>
  </si>
  <si>
    <t>AS-51917</t>
  </si>
  <si>
    <t>AS-51916</t>
  </si>
  <si>
    <t>AS-51915</t>
  </si>
  <si>
    <t>AS-51914</t>
  </si>
  <si>
    <t>AR-14307</t>
  </si>
  <si>
    <t>AR-14306</t>
  </si>
  <si>
    <t>RF-39351</t>
  </si>
  <si>
    <t>RF-39350</t>
  </si>
  <si>
    <t>RF-39349</t>
  </si>
  <si>
    <t>RF-39348</t>
  </si>
  <si>
    <t>RF-39347</t>
  </si>
  <si>
    <t>RF-39346</t>
  </si>
  <si>
    <t>RF-39344</t>
  </si>
  <si>
    <t>RF-39343</t>
  </si>
  <si>
    <t>RF-39342</t>
  </si>
  <si>
    <t>RF-39341</t>
  </si>
  <si>
    <t>RF-39340</t>
  </si>
  <si>
    <t>RF-39339</t>
  </si>
  <si>
    <t>RF-39338</t>
  </si>
  <si>
    <t>AS-51948</t>
  </si>
  <si>
    <t>RF-39337</t>
  </si>
  <si>
    <t>AS-51967</t>
  </si>
  <si>
    <t>AS-51966</t>
  </si>
  <si>
    <t>AS-51965</t>
  </si>
  <si>
    <t>S-51964</t>
  </si>
  <si>
    <t>AS-51963</t>
  </si>
  <si>
    <t>AS-51962</t>
  </si>
  <si>
    <t>AS-51961</t>
  </si>
  <si>
    <t>AS-51960</t>
  </si>
  <si>
    <t>AS-51959</t>
  </si>
  <si>
    <t>AS-51958</t>
  </si>
  <si>
    <t>AS-51957</t>
  </si>
  <si>
    <t>AS-51955</t>
  </si>
  <si>
    <t>AS-51954</t>
  </si>
  <si>
    <t>AS-51953</t>
  </si>
  <si>
    <t>AS-51952</t>
  </si>
  <si>
    <t>AS-51951</t>
  </si>
  <si>
    <t>AS-51950</t>
  </si>
  <si>
    <t>AS-51949</t>
  </si>
  <si>
    <t>AR-14311</t>
  </si>
  <si>
    <t>RF-39389</t>
  </si>
  <si>
    <t>RF-39388</t>
  </si>
  <si>
    <t>RF-39387</t>
  </si>
  <si>
    <t>RF-39386</t>
  </si>
  <si>
    <t>RF-39384</t>
  </si>
  <si>
    <t>RF-39382</t>
  </si>
  <si>
    <t>RF-39381</t>
  </si>
  <si>
    <t>RF-39380</t>
  </si>
  <si>
    <t>RF-39378</t>
  </si>
  <si>
    <t>RF-39376</t>
  </si>
  <si>
    <t>RF-39375</t>
  </si>
  <si>
    <t>RF-39373</t>
  </si>
  <si>
    <t>RF-39372</t>
  </si>
  <si>
    <t>RF-39370</t>
  </si>
  <si>
    <t>RF-39369</t>
  </si>
  <si>
    <t>RF-39368</t>
  </si>
  <si>
    <t>RF-39367</t>
  </si>
  <si>
    <t>RF-39366</t>
  </si>
  <si>
    <t>RF-39365</t>
  </si>
  <si>
    <t>RF-39364</t>
  </si>
  <si>
    <t>RF-39363</t>
  </si>
  <si>
    <t>RF-39362</t>
  </si>
  <si>
    <t>RF-39361</t>
  </si>
  <si>
    <t>RF-39360</t>
  </si>
  <si>
    <t>RF-39359</t>
  </si>
  <si>
    <t>RF-39358</t>
  </si>
  <si>
    <t>RF-39357</t>
  </si>
  <si>
    <t>RF-39356</t>
  </si>
  <si>
    <t>RF-39355</t>
  </si>
  <si>
    <t>RF-39354</t>
  </si>
  <si>
    <t>RF-39353</t>
  </si>
  <si>
    <t>RF-39352</t>
  </si>
  <si>
    <t>AS-51994</t>
  </si>
  <si>
    <t>AS-51993</t>
  </si>
  <si>
    <t>AS-51992</t>
  </si>
  <si>
    <t>AS-51991</t>
  </si>
  <si>
    <t>AS-51990</t>
  </si>
  <si>
    <t>AS-51989</t>
  </si>
  <si>
    <t>AS-51988</t>
  </si>
  <si>
    <t>AS-51987</t>
  </si>
  <si>
    <t>AS-51986</t>
  </si>
  <si>
    <t>AS-51979</t>
  </si>
  <si>
    <t>AS-51975</t>
  </si>
  <si>
    <t>AS-51973</t>
  </si>
  <si>
    <t>AS-51972</t>
  </si>
  <si>
    <t>AS-51971</t>
  </si>
  <si>
    <t>AS-51970</t>
  </si>
  <si>
    <t>AS-51969</t>
  </si>
  <si>
    <t>AS-51968</t>
  </si>
  <si>
    <t>AR-14319</t>
  </si>
  <si>
    <t>AR-14315</t>
  </si>
  <si>
    <t>AR-14313</t>
  </si>
  <si>
    <t>RF-39420</t>
  </si>
  <si>
    <t>RF-39419</t>
  </si>
  <si>
    <t>RF-39418</t>
  </si>
  <si>
    <t>RF-39417</t>
  </si>
  <si>
    <t>RF-39416</t>
  </si>
  <si>
    <t>RF-39415</t>
  </si>
  <si>
    <t>RF-39414</t>
  </si>
  <si>
    <t>RF-39413</t>
  </si>
  <si>
    <t>RF-39411</t>
  </si>
  <si>
    <t>RF-39410</t>
  </si>
  <si>
    <t>RF-39409</t>
  </si>
  <si>
    <t>RF-39408</t>
  </si>
  <si>
    <t>RF-39407</t>
  </si>
  <si>
    <t>RF-39406</t>
  </si>
  <si>
    <t>RF-39405</t>
  </si>
  <si>
    <t>RF-39404</t>
  </si>
  <si>
    <t>RF-39403</t>
  </si>
  <si>
    <t>RF-39402</t>
  </si>
  <si>
    <t>RF-39400</t>
  </si>
  <si>
    <t>RF-39399</t>
  </si>
  <si>
    <t>RF-39397</t>
  </si>
  <si>
    <t>RF-39396</t>
  </si>
  <si>
    <t>RF-39395</t>
  </si>
  <si>
    <t>RF-39394</t>
  </si>
  <si>
    <t>RF-39393</t>
  </si>
  <si>
    <t>RF-39392</t>
  </si>
  <si>
    <t>RF-39390</t>
  </si>
  <si>
    <t>AS-52021</t>
  </si>
  <si>
    <t>RF-52020</t>
  </si>
  <si>
    <t>AS-52109</t>
  </si>
  <si>
    <t>AS-52018</t>
  </si>
  <si>
    <t>AS-512017</t>
  </si>
  <si>
    <t>AS-52016</t>
  </si>
  <si>
    <t>AS-52014</t>
  </si>
  <si>
    <t>AS-52013</t>
  </si>
  <si>
    <t>AS-52012</t>
  </si>
  <si>
    <t>AS-52011</t>
  </si>
  <si>
    <t>AS-52010</t>
  </si>
  <si>
    <t>AS-52099</t>
  </si>
  <si>
    <t>AS-52008</t>
  </si>
  <si>
    <t>AS-52007</t>
  </si>
  <si>
    <t>AS-52006</t>
  </si>
  <si>
    <t>AS-52005</t>
  </si>
  <si>
    <t>AS-52004</t>
  </si>
  <si>
    <t>AS-52003</t>
  </si>
  <si>
    <t>AS-52002</t>
  </si>
  <si>
    <t>AS-52001</t>
  </si>
  <si>
    <t>AS-52000</t>
  </si>
  <si>
    <t>AS-51999</t>
  </si>
  <si>
    <t>AS-51998</t>
  </si>
  <si>
    <t>AS-51997</t>
  </si>
  <si>
    <t>AS-51996</t>
  </si>
  <si>
    <t>AS-51995</t>
  </si>
  <si>
    <t>AR-14338</t>
  </si>
  <si>
    <t>AR-14337</t>
  </si>
  <si>
    <t>AR-14336</t>
  </si>
  <si>
    <t>AR-14335</t>
  </si>
  <si>
    <t>AR-14333</t>
  </si>
  <si>
    <t>AR-14332</t>
  </si>
  <si>
    <t>AR-14330</t>
  </si>
  <si>
    <t>AR-14329</t>
  </si>
  <si>
    <t>AR-14328</t>
  </si>
  <si>
    <t>AR-14327</t>
  </si>
  <si>
    <t>AR-14324</t>
  </si>
  <si>
    <t>AR-14322</t>
  </si>
  <si>
    <t>AR-14349</t>
  </si>
  <si>
    <t>AR-14347</t>
  </si>
  <si>
    <t>AR-14346</t>
  </si>
  <si>
    <t>AR-14345</t>
  </si>
  <si>
    <t>AR-14339</t>
  </si>
  <si>
    <t>RF-39446</t>
  </si>
  <si>
    <t>RF-39445</t>
  </si>
  <si>
    <t>RF-39444</t>
  </si>
  <si>
    <t>RF-39443</t>
  </si>
  <si>
    <t>RF-39442</t>
  </si>
  <si>
    <t>RF-39440</t>
  </si>
  <si>
    <t>RF-39438</t>
  </si>
  <si>
    <t>RF-39439</t>
  </si>
  <si>
    <t>RF-39437</t>
  </si>
  <si>
    <t>RF-39436</t>
  </si>
  <si>
    <t>RF-39435</t>
  </si>
  <si>
    <t>RF-39434</t>
  </si>
  <si>
    <t>RF-39433</t>
  </si>
  <si>
    <t>RF-39432</t>
  </si>
  <si>
    <t>RF-39431</t>
  </si>
  <si>
    <t>RF-39430</t>
  </si>
  <si>
    <t>RF-39429</t>
  </si>
  <si>
    <t>RF-39427</t>
  </si>
  <si>
    <t>RF-39426</t>
  </si>
  <si>
    <t>RF-39425</t>
  </si>
  <si>
    <t>RF-39424</t>
  </si>
  <si>
    <t>RF-39423</t>
  </si>
  <si>
    <t>RF-39422</t>
  </si>
  <si>
    <t>RF-39421</t>
  </si>
  <si>
    <t>AS-52057</t>
  </si>
  <si>
    <t>AS-52056</t>
  </si>
  <si>
    <t>AS-52055</t>
  </si>
  <si>
    <t>AS-52054</t>
  </si>
  <si>
    <t>AS-52053</t>
  </si>
  <si>
    <t>AS-52052</t>
  </si>
  <si>
    <t>AS-52051</t>
  </si>
  <si>
    <t>AS-52050</t>
  </si>
  <si>
    <t>AS-52048</t>
  </si>
  <si>
    <t>AS-52047</t>
  </si>
  <si>
    <t>AS-52046</t>
  </si>
  <si>
    <t>AS-52043</t>
  </si>
  <si>
    <t>AS-52039</t>
  </si>
  <si>
    <t>AS-52038</t>
  </si>
  <si>
    <t>AS-52037</t>
  </si>
  <si>
    <t>AS-52036</t>
  </si>
  <si>
    <t>AS-52035</t>
  </si>
  <si>
    <t>AS-52034</t>
  </si>
  <si>
    <t>AS-52033</t>
  </si>
  <si>
    <t>AS-52032</t>
  </si>
  <si>
    <t>AS-52031</t>
  </si>
  <si>
    <t>AS-52030</t>
  </si>
  <si>
    <t>AS-52029</t>
  </si>
  <si>
    <t>AS-52028</t>
  </si>
  <si>
    <t>AS-52027</t>
  </si>
  <si>
    <t>AS-52026</t>
  </si>
  <si>
    <t>AS-52025</t>
  </si>
  <si>
    <t>AS-52024</t>
  </si>
  <si>
    <t>AS-52023</t>
  </si>
  <si>
    <t>AS-52022</t>
  </si>
  <si>
    <t>RF-39470</t>
  </si>
  <si>
    <t>RF-39468</t>
  </si>
  <si>
    <t>RF-39467</t>
  </si>
  <si>
    <t>RF-39499</t>
  </si>
  <si>
    <t>RF-39465</t>
  </si>
  <si>
    <t>RF-39464</t>
  </si>
  <si>
    <t>RF-39463</t>
  </si>
  <si>
    <t>RF-39461</t>
  </si>
  <si>
    <t>RF-39460</t>
  </si>
  <si>
    <t>RF-39459</t>
  </si>
  <si>
    <t>RF-39458</t>
  </si>
  <si>
    <t>RF-39457</t>
  </si>
  <si>
    <t>RF-39456</t>
  </si>
  <si>
    <t>RF-39455</t>
  </si>
  <si>
    <t>RF-39454</t>
  </si>
  <si>
    <t>RF-39453</t>
  </si>
  <si>
    <t>RF-39452</t>
  </si>
  <si>
    <t>RF-39450</t>
  </si>
  <si>
    <t>RF-39449</t>
  </si>
  <si>
    <t>RF-39448</t>
  </si>
  <si>
    <t>RF-39447</t>
  </si>
  <si>
    <t>AS-52140</t>
  </si>
  <si>
    <t>AS-52102</t>
  </si>
  <si>
    <t>AS-52101</t>
  </si>
  <si>
    <t>AS-52100</t>
  </si>
  <si>
    <t>AS-52098</t>
  </si>
  <si>
    <t>AS-52094</t>
  </si>
  <si>
    <t>AS-52093</t>
  </si>
  <si>
    <t>AS-52092</t>
  </si>
  <si>
    <t>AS-52091</t>
  </si>
  <si>
    <t>AS-52090</t>
  </si>
  <si>
    <t>AS-52089</t>
  </si>
  <si>
    <t>AS-52088</t>
  </si>
  <si>
    <t>AS-52087</t>
  </si>
  <si>
    <t>AS-52086</t>
  </si>
  <si>
    <t>AS-52085</t>
  </si>
  <si>
    <t>AS-52084</t>
  </si>
  <si>
    <t>AS-52083</t>
  </si>
  <si>
    <t>AS-52082</t>
  </si>
  <si>
    <t>AS-52081</t>
  </si>
  <si>
    <t>AS-52080</t>
  </si>
  <si>
    <t>AS-52079</t>
  </si>
  <si>
    <t>AS-52077</t>
  </si>
  <si>
    <t>AS-52076</t>
  </si>
  <si>
    <t>AS-52075</t>
  </si>
  <si>
    <t>AS-52073</t>
  </si>
  <si>
    <t>AS-52072</t>
  </si>
  <si>
    <t>AS-52071</t>
  </si>
  <si>
    <t>AS-52070</t>
  </si>
  <si>
    <t>AS-52069</t>
  </si>
  <si>
    <t>AS-52068</t>
  </si>
  <si>
    <t>AS-52067</t>
  </si>
  <si>
    <t>AS-52066</t>
  </si>
  <si>
    <t>AS-52065</t>
  </si>
  <si>
    <t>AS-52064</t>
  </si>
  <si>
    <t>AS-52063</t>
  </si>
  <si>
    <t>AS-52062</t>
  </si>
  <si>
    <t>AS-52061</t>
  </si>
  <si>
    <t>AS-52059</t>
  </si>
  <si>
    <t>AS-52058</t>
  </si>
  <si>
    <t>AR-14363</t>
  </si>
  <si>
    <t>AR-14362</t>
  </si>
  <si>
    <t>AR-14357</t>
  </si>
  <si>
    <t>AR-14356</t>
  </si>
  <si>
    <t>AR-14355</t>
  </si>
  <si>
    <t>AR-14353</t>
  </si>
  <si>
    <t>AR-14352</t>
  </si>
  <si>
    <t>RF-39491</t>
  </si>
  <si>
    <t>RF-39490</t>
  </si>
  <si>
    <t>RF-39489</t>
  </si>
  <si>
    <t>RF-39488</t>
  </si>
  <si>
    <t>RF-39487</t>
  </si>
  <si>
    <t>RF-39486</t>
  </si>
  <si>
    <t>RF-39485</t>
  </si>
  <si>
    <t>RF-39484</t>
  </si>
  <si>
    <t>RF-39483</t>
  </si>
  <si>
    <t>RF-39482</t>
  </si>
  <si>
    <t>RF-39481</t>
  </si>
  <si>
    <t>RF-39480</t>
  </si>
  <si>
    <t>RF-39479</t>
  </si>
  <si>
    <t>RF-39478</t>
  </si>
  <si>
    <t>RF-39477</t>
  </si>
  <si>
    <t>RF-39476</t>
  </si>
  <si>
    <t>RF-39475</t>
  </si>
  <si>
    <t>RF-39474</t>
  </si>
  <si>
    <t>RF-39473</t>
  </si>
  <si>
    <t>RF-39472</t>
  </si>
  <si>
    <t>AS-52177</t>
  </si>
  <si>
    <t>AS-52175</t>
  </si>
  <si>
    <t>AS-52174</t>
  </si>
  <si>
    <t>AS-52173</t>
  </si>
  <si>
    <t>AS-52172</t>
  </si>
  <si>
    <t>AS-52171</t>
  </si>
  <si>
    <t>AS-52170</t>
  </si>
  <si>
    <t>AS52169</t>
  </si>
  <si>
    <t>AS-52168</t>
  </si>
  <si>
    <t>AS-52167</t>
  </si>
  <si>
    <t>AS-52164</t>
  </si>
  <si>
    <t>AS-52163</t>
  </si>
  <si>
    <t>AS-52159</t>
  </si>
  <si>
    <t>AS-52155</t>
  </si>
  <si>
    <t>AS-52151</t>
  </si>
  <si>
    <t>AS-52141</t>
  </si>
  <si>
    <t>AS-52139</t>
  </si>
  <si>
    <t>AS-52138</t>
  </si>
  <si>
    <t>AS-52137</t>
  </si>
  <si>
    <t>AS-52136</t>
  </si>
  <si>
    <t>AS-52135</t>
  </si>
  <si>
    <t>AS-52129</t>
  </si>
  <si>
    <t>AS-52128</t>
  </si>
  <si>
    <t>AS-52127</t>
  </si>
  <si>
    <t>AS-52125</t>
  </si>
  <si>
    <t>AS-52119</t>
  </si>
  <si>
    <t>AS-52118</t>
  </si>
  <si>
    <t>AS-52117</t>
  </si>
  <si>
    <t>AS-52116</t>
  </si>
  <si>
    <t>AS-52106</t>
  </si>
  <si>
    <t>AR-14372</t>
  </si>
  <si>
    <t>AR-14371</t>
  </si>
  <si>
    <t>AR-14370</t>
  </si>
  <si>
    <t>AR-14369</t>
  </si>
  <si>
    <t>AR-14366</t>
  </si>
  <si>
    <t>AR-14365</t>
  </si>
  <si>
    <t>AR-14364</t>
  </si>
  <si>
    <t>RF-39509</t>
  </si>
  <si>
    <t>RF-39508</t>
  </si>
  <si>
    <t>RF-39506</t>
  </si>
  <si>
    <t>RF-39505</t>
  </si>
  <si>
    <t>RF-39504</t>
  </si>
  <si>
    <t>RF-39503</t>
  </si>
  <si>
    <t>RF-39502</t>
  </si>
  <si>
    <t>RF-39500</t>
  </si>
  <si>
    <t>RF-39498</t>
  </si>
  <si>
    <t>RF-39496</t>
  </si>
  <si>
    <t>RF-39495</t>
  </si>
  <si>
    <t>RF-39494</t>
  </si>
  <si>
    <t>RF-39493</t>
  </si>
  <si>
    <t>RF-39492</t>
  </si>
  <si>
    <t>AS-52204</t>
  </si>
  <si>
    <t>AS-52203</t>
  </si>
  <si>
    <t>AS-52202</t>
  </si>
  <si>
    <t>AS-52201</t>
  </si>
  <si>
    <t>AS-52200</t>
  </si>
  <si>
    <t>AS-52199</t>
  </si>
  <si>
    <t>AS-52198</t>
  </si>
  <si>
    <t>AS-52197</t>
  </si>
  <si>
    <t>AS-52196</t>
  </si>
  <si>
    <t>AS-52195</t>
  </si>
  <si>
    <t>AS-52194</t>
  </si>
  <si>
    <t>AS-52193</t>
  </si>
  <si>
    <t>AS-52192</t>
  </si>
  <si>
    <t>AS-52191</t>
  </si>
  <si>
    <t>AS-52190</t>
  </si>
  <si>
    <t>AS-52189</t>
  </si>
  <si>
    <t>AS-52188</t>
  </si>
  <si>
    <t>AS-52187</t>
  </si>
  <si>
    <t>AS-52186</t>
  </si>
  <si>
    <t>AS-52185</t>
  </si>
  <si>
    <t>AS-52184</t>
  </si>
  <si>
    <t>AS-52183</t>
  </si>
  <si>
    <t>AS-52182</t>
  </si>
  <si>
    <t>AS-52181</t>
  </si>
  <si>
    <t>AS-52180</t>
  </si>
  <si>
    <t>AS-52179</t>
  </si>
  <si>
    <t>AS-52178</t>
  </si>
  <si>
    <t>AR-14379</t>
  </si>
  <si>
    <t>AR-14378</t>
  </si>
  <si>
    <t>AR-14377</t>
  </si>
  <si>
    <t>AR-14375</t>
  </si>
  <si>
    <t>AR-14373</t>
  </si>
  <si>
    <t>RF-39533</t>
  </si>
  <si>
    <t>RF-39532</t>
  </si>
  <si>
    <t>RF-39531</t>
  </si>
  <si>
    <t>RF-39530</t>
  </si>
  <si>
    <t>RF-39529</t>
  </si>
  <si>
    <t>RF-39528</t>
  </si>
  <si>
    <t>RF-39527</t>
  </si>
  <si>
    <t>RF-39526</t>
  </si>
  <si>
    <t>RF-39525</t>
  </si>
  <si>
    <t>RF-39524</t>
  </si>
  <si>
    <t>RF-39523</t>
  </si>
  <si>
    <t>RF-39522</t>
  </si>
  <si>
    <t>RF-39521</t>
  </si>
  <si>
    <t>RF-39520</t>
  </si>
  <si>
    <t>RF-39519</t>
  </si>
  <si>
    <t>RF-39518</t>
  </si>
  <si>
    <t>RF-39517</t>
  </si>
  <si>
    <t>RF-39516</t>
  </si>
  <si>
    <t>RF-39515</t>
  </si>
  <si>
    <t>RF-39514</t>
  </si>
  <si>
    <t>RF-39512</t>
  </si>
  <si>
    <t>AS-52260</t>
  </si>
  <si>
    <t>AS-52257</t>
  </si>
  <si>
    <t>AS-52253</t>
  </si>
  <si>
    <t>AS-52252</t>
  </si>
  <si>
    <t>AS-52251</t>
  </si>
  <si>
    <t>AS-52250</t>
  </si>
  <si>
    <t>AS-52249</t>
  </si>
  <si>
    <t>S-52248</t>
  </si>
  <si>
    <t>AS-52247</t>
  </si>
  <si>
    <t>AS-52246</t>
  </si>
  <si>
    <t>AS-52245</t>
  </si>
  <si>
    <t>AS-52235</t>
  </si>
  <si>
    <t>AS-52234</t>
  </si>
  <si>
    <t>AS-52233</t>
  </si>
  <si>
    <t>AS-52232</t>
  </si>
  <si>
    <t>AS-52215</t>
  </si>
  <si>
    <t>AS-52214</t>
  </si>
  <si>
    <t>AS-52213</t>
  </si>
  <si>
    <t>AS-52210</t>
  </si>
  <si>
    <t>AS-52209</t>
  </si>
  <si>
    <t>AS-52208</t>
  </si>
  <si>
    <t>AS-52207</t>
  </si>
  <si>
    <t>AS-52206</t>
  </si>
  <si>
    <t>AR-14385</t>
  </si>
  <si>
    <t>AR-14383</t>
  </si>
  <si>
    <t>RF-39510</t>
  </si>
  <si>
    <t>RF-39561</t>
  </si>
  <si>
    <t>RF-39560</t>
  </si>
  <si>
    <t>RF-39559</t>
  </si>
  <si>
    <t>RF-39557</t>
  </si>
  <si>
    <t>RF-39556</t>
  </si>
  <si>
    <t>RF-39554</t>
  </si>
  <si>
    <t>RF-39553</t>
  </si>
  <si>
    <t>RF-39552</t>
  </si>
  <si>
    <t>RF-39551</t>
  </si>
  <si>
    <t>RF-39550</t>
  </si>
  <si>
    <t>RF-39549</t>
  </si>
  <si>
    <t>RF-39548</t>
  </si>
  <si>
    <t>RF-39547</t>
  </si>
  <si>
    <t>RF-39546</t>
  </si>
  <si>
    <t>RF-39545</t>
  </si>
  <si>
    <t>RF-39544</t>
  </si>
  <si>
    <t>RF-39542</t>
  </si>
  <si>
    <t>RF-39541</t>
  </si>
  <si>
    <t>RF-39540</t>
  </si>
  <si>
    <t>RF-39539</t>
  </si>
  <si>
    <t>RF-39538</t>
  </si>
  <si>
    <t>RF-39537</t>
  </si>
  <si>
    <t>RF-39536</t>
  </si>
  <si>
    <t>RF-39535</t>
  </si>
  <si>
    <t>RF-39534</t>
  </si>
  <si>
    <t>AS-52294</t>
  </si>
  <si>
    <t>AS-52292</t>
  </si>
  <si>
    <t>AS-52290</t>
  </si>
  <si>
    <t>AS-52289</t>
  </si>
  <si>
    <t>AS-52286</t>
  </si>
  <si>
    <t>AS-52283</t>
  </si>
  <si>
    <t>AS-52282</t>
  </si>
  <si>
    <t>AS-52281</t>
  </si>
  <si>
    <t>AS-52280</t>
  </si>
  <si>
    <t>AS-52279</t>
  </si>
  <si>
    <t>AS-52278</t>
  </si>
  <si>
    <t>AS-52277</t>
  </si>
  <si>
    <t>AS-52276</t>
  </si>
  <si>
    <t>AS-52275</t>
  </si>
  <si>
    <t>AS-52274</t>
  </si>
  <si>
    <t>AS-52273</t>
  </si>
  <si>
    <t>AS-52272</t>
  </si>
  <si>
    <t>AS-52271</t>
  </si>
  <si>
    <t>AS-52270</t>
  </si>
  <si>
    <t>AS-52268</t>
  </si>
  <si>
    <t>AS-52267</t>
  </si>
  <si>
    <t>AS-52266</t>
  </si>
  <si>
    <t>AS-52265</t>
  </si>
  <si>
    <t>AS-52264</t>
  </si>
  <si>
    <t>AS-52263</t>
  </si>
  <si>
    <t>AS-52262</t>
  </si>
  <si>
    <t>AS-52261</t>
  </si>
  <si>
    <t>AR-14394</t>
  </si>
  <si>
    <t>AR-14393</t>
  </si>
  <si>
    <t>AR-14392</t>
  </si>
  <si>
    <t>AR-14389</t>
  </si>
  <si>
    <t>RF-39572</t>
  </si>
  <si>
    <t>RF-39570</t>
  </si>
  <si>
    <t>RF-39569</t>
  </si>
  <si>
    <t>RF-39568</t>
  </si>
  <si>
    <t>RF-39567</t>
  </si>
  <si>
    <t>RF-39565</t>
  </si>
  <si>
    <t>RF-39564</t>
  </si>
  <si>
    <t>RF-39563</t>
  </si>
  <si>
    <t>RF-39562</t>
  </si>
  <si>
    <t>AS-52323</t>
  </si>
  <si>
    <t>AS-52322</t>
  </si>
  <si>
    <t>AS-52320</t>
  </si>
  <si>
    <t>AS-52319</t>
  </si>
  <si>
    <t>AS-52318</t>
  </si>
  <si>
    <t>AS-52317</t>
  </si>
  <si>
    <t>AS-52316</t>
  </si>
  <si>
    <t>AS-52315</t>
  </si>
  <si>
    <t>AS-52314</t>
  </si>
  <si>
    <t>AS-5238</t>
  </si>
  <si>
    <t>AS-52307</t>
  </si>
  <si>
    <t>AS-52306</t>
  </si>
  <si>
    <t>AS-52305</t>
  </si>
  <si>
    <t>AS-52304</t>
  </si>
  <si>
    <t>AS-52303</t>
  </si>
  <si>
    <t>AS-52302</t>
  </si>
  <si>
    <t>AS-52301</t>
  </si>
  <si>
    <t>AS-52300</t>
  </si>
  <si>
    <t>AS-52299</t>
  </si>
  <si>
    <t>AS-52298</t>
  </si>
  <si>
    <t>AS-52297</t>
  </si>
  <si>
    <t>AS-52296</t>
  </si>
  <si>
    <t>AR-14403</t>
  </si>
  <si>
    <t>AR-14402</t>
  </si>
  <si>
    <t>AR-14399</t>
  </si>
  <si>
    <t>AR-14398</t>
  </si>
  <si>
    <t>AR-14397</t>
  </si>
  <si>
    <t>AR-14395</t>
  </si>
  <si>
    <t>RF-39591</t>
  </si>
  <si>
    <t>RF-39592</t>
  </si>
  <si>
    <t>RF-39590</t>
  </si>
  <si>
    <t>RF-39589</t>
  </si>
  <si>
    <t>RF-39587</t>
  </si>
  <si>
    <t>RF-39586</t>
  </si>
  <si>
    <t>RF-39585</t>
  </si>
  <si>
    <t>RF-39584</t>
  </si>
  <si>
    <t>RF-39583</t>
  </si>
  <si>
    <t>RF-39582</t>
  </si>
  <si>
    <t>RF-39581</t>
  </si>
  <si>
    <t>RF-39580</t>
  </si>
  <si>
    <t>RF-39579</t>
  </si>
  <si>
    <t>RF-39578</t>
  </si>
  <si>
    <t>RF-39577</t>
  </si>
  <si>
    <t>RF-39576</t>
  </si>
  <si>
    <t>RF-39575</t>
  </si>
  <si>
    <t>RF-39574</t>
  </si>
  <si>
    <t>RF-39573</t>
  </si>
  <si>
    <t>AS-52367</t>
  </si>
  <si>
    <t>AS-52366</t>
  </si>
  <si>
    <t>AS-52365</t>
  </si>
  <si>
    <t>AS-52363</t>
  </si>
  <si>
    <t>AS-52362</t>
  </si>
  <si>
    <t>AS-52359</t>
  </si>
  <si>
    <t>AS-52358</t>
  </si>
  <si>
    <t>AS-52355</t>
  </si>
  <si>
    <t>AS-52350</t>
  </si>
  <si>
    <t>AS-52349</t>
  </si>
  <si>
    <t>AS-52348</t>
  </si>
  <si>
    <t>AS-52347</t>
  </si>
  <si>
    <t>AS-52346</t>
  </si>
  <si>
    <t>AS-52344</t>
  </si>
  <si>
    <t>AS-52343</t>
  </si>
  <si>
    <t>AS-52342</t>
  </si>
  <si>
    <t>AS-52341</t>
  </si>
  <si>
    <t>AS-52340</t>
  </si>
  <si>
    <t>AS-52339</t>
  </si>
  <si>
    <t>AS-52338</t>
  </si>
  <si>
    <t>AS-52337</t>
  </si>
  <si>
    <t>AS-52336</t>
  </si>
  <si>
    <t>AS-52335</t>
  </si>
  <si>
    <t>AS-52334</t>
  </si>
  <si>
    <t>AS-52333</t>
  </si>
  <si>
    <t>AS-52332</t>
  </si>
  <si>
    <t>AR-14417</t>
  </si>
  <si>
    <t>AR-14414</t>
  </si>
  <si>
    <t>AR-14413</t>
  </si>
  <si>
    <t>AR-14412</t>
  </si>
  <si>
    <t>AR-14411</t>
  </si>
  <si>
    <t>AR-14409</t>
  </si>
  <si>
    <t>AR-14407</t>
  </si>
  <si>
    <t>AR-14405</t>
  </si>
  <si>
    <t>AR-14404</t>
  </si>
  <si>
    <t>RF-39644</t>
  </si>
  <si>
    <t>RF-39643</t>
  </si>
  <si>
    <t>RF-39642</t>
  </si>
  <si>
    <t>RF-39641</t>
  </si>
  <si>
    <t>RF-39640</t>
  </si>
  <si>
    <t>RF-39639</t>
  </si>
  <si>
    <t>RF-39638</t>
  </si>
  <si>
    <t>RF-39637</t>
  </si>
  <si>
    <t>RF-39636</t>
  </si>
  <si>
    <t>RF-39635</t>
  </si>
  <si>
    <t>RF-39633</t>
  </si>
  <si>
    <t>RF-39631</t>
  </si>
  <si>
    <t>RF-39630</t>
  </si>
  <si>
    <t>RF-39629</t>
  </si>
  <si>
    <t>RF-39628</t>
  </si>
  <si>
    <t>RF-39627</t>
  </si>
  <si>
    <t>AS-52447</t>
  </si>
  <si>
    <t>AS-52446</t>
  </si>
  <si>
    <t>AS-52445</t>
  </si>
  <si>
    <t>AS-52444</t>
  </si>
  <si>
    <t>AS-52443</t>
  </si>
  <si>
    <t>AS-52442</t>
  </si>
  <si>
    <t>AS-52438</t>
  </si>
  <si>
    <t>AS-52437</t>
  </si>
  <si>
    <t>A-52435</t>
  </si>
  <si>
    <t>AS-52433</t>
  </si>
  <si>
    <t>AS-52432</t>
  </si>
  <si>
    <t>AS-52431</t>
  </si>
  <si>
    <t>AS-52430</t>
  </si>
  <si>
    <t>AS-52429</t>
  </si>
  <si>
    <t>AS-52428</t>
  </si>
  <si>
    <t>AS-52427</t>
  </si>
  <si>
    <t>AS-52426</t>
  </si>
  <si>
    <t>AS-52425</t>
  </si>
  <si>
    <t>AS-52424</t>
  </si>
  <si>
    <t>AS-52422</t>
  </si>
  <si>
    <t>AS-52421</t>
  </si>
  <si>
    <t>AS-52419</t>
  </si>
  <si>
    <t>AS-52418</t>
  </si>
  <si>
    <t>AS-52417</t>
  </si>
  <si>
    <t>AS-52416</t>
  </si>
  <si>
    <t>AR-14438</t>
  </si>
  <si>
    <t>AR-14436</t>
  </si>
  <si>
    <t>AR-14434</t>
  </si>
  <si>
    <t>AR-14433</t>
  </si>
  <si>
    <t>AR-14432</t>
  </si>
  <si>
    <t>AR-14431</t>
  </si>
  <si>
    <t>AR-14430</t>
  </si>
  <si>
    <t>AR-14428</t>
  </si>
  <si>
    <t>AR-14427</t>
  </si>
  <si>
    <t>RF-39626</t>
  </si>
  <si>
    <t>RF-39625</t>
  </si>
  <si>
    <t>RF-33622</t>
  </si>
  <si>
    <t>RF-39621</t>
  </si>
  <si>
    <t>RF-39620</t>
  </si>
  <si>
    <t>RF-39615</t>
  </si>
  <si>
    <t>RF-39613</t>
  </si>
  <si>
    <t>RF-39612</t>
  </si>
  <si>
    <t>RF-39611</t>
  </si>
  <si>
    <t>RF-39610</t>
  </si>
  <si>
    <t>RF-39609</t>
  </si>
  <si>
    <t>RF-39608</t>
  </si>
  <si>
    <t>RF-39607</t>
  </si>
  <si>
    <t>RF-39606</t>
  </si>
  <si>
    <t>RF-39605</t>
  </si>
  <si>
    <t>RF-39604</t>
  </si>
  <si>
    <t>RF-39603</t>
  </si>
  <si>
    <t>RF-39602</t>
  </si>
  <si>
    <t>RF-39600</t>
  </si>
  <si>
    <t>RF-39599</t>
  </si>
  <si>
    <t>RF-39597</t>
  </si>
  <si>
    <t>R-39596</t>
  </si>
  <si>
    <t>RF-39595</t>
  </si>
  <si>
    <t>RF-39594</t>
  </si>
  <si>
    <t>RF-39593</t>
  </si>
  <si>
    <t>AS-52414</t>
  </si>
  <si>
    <t>AS-52413</t>
  </si>
  <si>
    <t>AS-52410</t>
  </si>
  <si>
    <t>AS-52409</t>
  </si>
  <si>
    <t>AS-52408</t>
  </si>
  <si>
    <t>AS-52407</t>
  </si>
  <si>
    <t>AS-52406</t>
  </si>
  <si>
    <t>AS-52405</t>
  </si>
  <si>
    <t>AS-52404</t>
  </si>
  <si>
    <t>AS-52403</t>
  </si>
  <si>
    <t>AS-52400</t>
  </si>
  <si>
    <t>AS-52397</t>
  </si>
  <si>
    <t>AS-52395</t>
  </si>
  <si>
    <t>AS-52392</t>
  </si>
  <si>
    <t>AS-52390</t>
  </si>
  <si>
    <t>AS-52388</t>
  </si>
  <si>
    <t>AS-52387</t>
  </si>
  <si>
    <t>AS-52386</t>
  </si>
  <si>
    <t>AS-52385</t>
  </si>
  <si>
    <t>AS-52384</t>
  </si>
  <si>
    <t>AS-52383</t>
  </si>
  <si>
    <t>AS-52382</t>
  </si>
  <si>
    <t>AS-52381</t>
  </si>
  <si>
    <t>AS-52380</t>
  </si>
  <si>
    <t>AS-52379</t>
  </si>
  <si>
    <t>AS-52378</t>
  </si>
  <si>
    <t>AS-52377</t>
  </si>
  <si>
    <t>AS-52376</t>
  </si>
  <si>
    <t>AS-52375</t>
  </si>
  <si>
    <t>AS-52374</t>
  </si>
  <si>
    <t>AS-52373</t>
  </si>
  <si>
    <t>AS-52370</t>
  </si>
  <si>
    <t>AS-52369</t>
  </si>
  <si>
    <t>AS-14424</t>
  </si>
  <si>
    <t>AR-14423</t>
  </si>
  <si>
    <t>AR-14421</t>
  </si>
  <si>
    <t>AR-14419</t>
  </si>
  <si>
    <t>RF-39646</t>
  </si>
  <si>
    <t>RF-39647</t>
  </si>
  <si>
    <t>RF-39683</t>
  </si>
  <si>
    <t>RF-39684</t>
  </si>
  <si>
    <t>RF-39685</t>
  </si>
  <si>
    <t>RF-39686</t>
  </si>
  <si>
    <t>RF-39716</t>
  </si>
  <si>
    <t>RF-39714</t>
  </si>
  <si>
    <t>RF-39713</t>
  </si>
  <si>
    <t>RF-39712</t>
  </si>
  <si>
    <t>RF-39711</t>
  </si>
  <si>
    <t>RF-39710</t>
  </si>
  <si>
    <t>RF-39708</t>
  </si>
  <si>
    <t>RF-39706</t>
  </si>
  <si>
    <t>RF-39705</t>
  </si>
  <si>
    <t>RF-39704</t>
  </si>
  <si>
    <t>RF-39703</t>
  </si>
  <si>
    <t>RF-39702</t>
  </si>
  <si>
    <t>RF-39701</t>
  </si>
  <si>
    <t>RF-39699</t>
  </si>
  <si>
    <t>RF-39697</t>
  </si>
  <si>
    <t>RF-39696</t>
  </si>
  <si>
    <t>RF-39693</t>
  </si>
  <si>
    <t>RF-39691</t>
  </si>
  <si>
    <t>RF-39690</t>
  </si>
  <si>
    <t>RF-39689</t>
  </si>
  <si>
    <t>RF-39688</t>
  </si>
  <si>
    <t>AS-52472</t>
  </si>
  <si>
    <t>AS-52471</t>
  </si>
  <si>
    <t>AS-52470</t>
  </si>
  <si>
    <t>AS-52469</t>
  </si>
  <si>
    <t>AS-52468</t>
  </si>
  <si>
    <t>AS-52467</t>
  </si>
  <si>
    <t>AS-52464</t>
  </si>
  <si>
    <t>AS-52462</t>
  </si>
  <si>
    <t>AS-52460</t>
  </si>
  <si>
    <t>AS-52457</t>
  </si>
  <si>
    <t>AS-52456</t>
  </si>
  <si>
    <t>AS-52455</t>
  </si>
  <si>
    <t>AS-52454</t>
  </si>
  <si>
    <t>AS-52453</t>
  </si>
  <si>
    <t>AS-52452</t>
  </si>
  <si>
    <t>AS-52451</t>
  </si>
  <si>
    <t>AS-52450</t>
  </si>
  <si>
    <t>AS-52449</t>
  </si>
  <si>
    <t>AS-52448</t>
  </si>
  <si>
    <t>AR-14443</t>
  </si>
  <si>
    <t>AR-14442</t>
  </si>
  <si>
    <t>AR-14441</t>
  </si>
  <si>
    <t>RESEVAS</t>
  </si>
  <si>
    <t>RESERVAS</t>
  </si>
  <si>
    <t>RF-39661</t>
  </si>
  <si>
    <t>RF-39660</t>
  </si>
  <si>
    <t>RF-39658</t>
  </si>
  <si>
    <t>RF-39657</t>
  </si>
  <si>
    <t>RF-39656</t>
  </si>
  <si>
    <t>RF-39655</t>
  </si>
  <si>
    <t>RF-39654</t>
  </si>
  <si>
    <t>RF-39652</t>
  </si>
  <si>
    <t>RF-39742</t>
  </si>
  <si>
    <t>RF-39741</t>
  </si>
  <si>
    <t>RF-39740</t>
  </si>
  <si>
    <t>RF-39739</t>
  </si>
  <si>
    <t>RF-39738</t>
  </si>
  <si>
    <t>RF-39737</t>
  </si>
  <si>
    <t>RF-39736</t>
  </si>
  <si>
    <t>RF-39735</t>
  </si>
  <si>
    <t>RF-39734</t>
  </si>
  <si>
    <t>RF-39733</t>
  </si>
  <si>
    <t>RF-39732</t>
  </si>
  <si>
    <t>RF-39731</t>
  </si>
  <si>
    <t>RF-39730</t>
  </si>
  <si>
    <t>RF-39729</t>
  </si>
  <si>
    <t>RF-39728</t>
  </si>
  <si>
    <t>RF-39727</t>
  </si>
  <si>
    <t>RF-39726</t>
  </si>
  <si>
    <t>RF-39725</t>
  </si>
  <si>
    <t>RF-285000</t>
  </si>
  <si>
    <t>RF-39723</t>
  </si>
  <si>
    <t>RF-39721</t>
  </si>
  <si>
    <t>RF-39720</t>
  </si>
  <si>
    <t>RF-39719</t>
  </si>
  <si>
    <t>RF-39718</t>
  </si>
  <si>
    <t>AS-52533</t>
  </si>
  <si>
    <t>AS-52532</t>
  </si>
  <si>
    <t>AS-52531</t>
  </si>
  <si>
    <t>AS-52529</t>
  </si>
  <si>
    <t>AS-52528</t>
  </si>
  <si>
    <t>AS-52527</t>
  </si>
  <si>
    <t>AS-52526</t>
  </si>
  <si>
    <t>AS-52524</t>
  </si>
  <si>
    <t>AS-52523</t>
  </si>
  <si>
    <t>AS-52522</t>
  </si>
  <si>
    <t>AS-52521</t>
  </si>
  <si>
    <t>AS-52517</t>
  </si>
  <si>
    <t>AS-52515</t>
  </si>
  <si>
    <t>AS-52313</t>
  </si>
  <si>
    <t>AS-52510</t>
  </si>
  <si>
    <t>AS-52506</t>
  </si>
  <si>
    <t>AS-52504</t>
  </si>
  <si>
    <t>AS-52503</t>
  </si>
  <si>
    <t>AS-52501</t>
  </si>
  <si>
    <t>AS-52500</t>
  </si>
  <si>
    <t>AS-52498</t>
  </si>
  <si>
    <t>AS-52497</t>
  </si>
  <si>
    <t>AS-52496</t>
  </si>
  <si>
    <t>AS-52488</t>
  </si>
  <si>
    <t>AS-52487</t>
  </si>
  <si>
    <t>AS-52486</t>
  </si>
  <si>
    <t>AS-52479</t>
  </si>
  <si>
    <t>AS-52477</t>
  </si>
  <si>
    <t>AS-52476</t>
  </si>
  <si>
    <t>AS-52475</t>
  </si>
  <si>
    <t>AS-52474</t>
  </si>
  <si>
    <t>AS-52473</t>
  </si>
  <si>
    <t>AR-14459</t>
  </si>
  <si>
    <t>AR-14458</t>
  </si>
  <si>
    <t>AR-14454</t>
  </si>
  <si>
    <t>AR-14453</t>
  </si>
  <si>
    <t>AR-14445</t>
  </si>
  <si>
    <t>RF-39761</t>
  </si>
  <si>
    <t>RF-39760</t>
  </si>
  <si>
    <t>RF-39756</t>
  </si>
  <si>
    <t>RF-39755</t>
  </si>
  <si>
    <t>RF-39754</t>
  </si>
  <si>
    <t>RF-39753</t>
  </si>
  <si>
    <t>RF-39752</t>
  </si>
  <si>
    <t>RF-39751</t>
  </si>
  <si>
    <t>R-39750</t>
  </si>
  <si>
    <t>RF-39749</t>
  </si>
  <si>
    <t>RF-39748</t>
  </si>
  <si>
    <t>RF-39747</t>
  </si>
  <si>
    <t>RF-39746</t>
  </si>
  <si>
    <t>RF-39745</t>
  </si>
  <si>
    <t>AS-52573</t>
  </si>
  <si>
    <t>AS-52572</t>
  </si>
  <si>
    <t>AS-52571</t>
  </si>
  <si>
    <t>AS-57570</t>
  </si>
  <si>
    <t>AS-52569</t>
  </si>
  <si>
    <t>AS-52568</t>
  </si>
  <si>
    <t>AS-52567</t>
  </si>
  <si>
    <t>AS-52566</t>
  </si>
  <si>
    <t>AS-52564</t>
  </si>
  <si>
    <t>AS-52563</t>
  </si>
  <si>
    <t>AS-52561</t>
  </si>
  <si>
    <t>AS-52560</t>
  </si>
  <si>
    <t>AS-52559</t>
  </si>
  <si>
    <t>AS-52558</t>
  </si>
  <si>
    <t>AS-52557</t>
  </si>
  <si>
    <t>AS-52555</t>
  </si>
  <si>
    <t>AS-52554</t>
  </si>
  <si>
    <t>AS-52553</t>
  </si>
  <si>
    <t>AS-52552</t>
  </si>
  <si>
    <t>AS-52551</t>
  </si>
  <si>
    <t>AS-52550</t>
  </si>
  <si>
    <t>AS-52549</t>
  </si>
  <si>
    <t>AS-52548</t>
  </si>
  <si>
    <t>AS-52547</t>
  </si>
  <si>
    <t>AS-52546</t>
  </si>
  <si>
    <t>AS-52545</t>
  </si>
  <si>
    <t>AS-52544</t>
  </si>
  <si>
    <t>AS-52543</t>
  </si>
  <si>
    <t>AS-55542</t>
  </si>
  <si>
    <t>AS-52541</t>
  </si>
  <si>
    <t>AS-52540</t>
  </si>
  <si>
    <t>AS-52539</t>
  </si>
  <si>
    <t>AS-52538</t>
  </si>
  <si>
    <t>AS-52537</t>
  </si>
  <si>
    <t>AS-52536</t>
  </si>
  <si>
    <t>AS-52535</t>
  </si>
  <si>
    <t>AR-14470</t>
  </si>
  <si>
    <t>AR-14469</t>
  </si>
  <si>
    <t>AR-14468</t>
  </si>
  <si>
    <t>AR-14464</t>
  </si>
  <si>
    <t>AR-14463</t>
  </si>
  <si>
    <t>AR-14462</t>
  </si>
  <si>
    <t>AR-14460</t>
  </si>
  <si>
    <t>AD-52562</t>
  </si>
  <si>
    <t>RF-39782</t>
  </si>
  <si>
    <t>RF-39781</t>
  </si>
  <si>
    <t>RF-39780</t>
  </si>
  <si>
    <t>RF-39779</t>
  </si>
  <si>
    <t>RF-39777</t>
  </si>
  <si>
    <t>RF-39776</t>
  </si>
  <si>
    <t>RF-39775</t>
  </si>
  <si>
    <t>RF-39774</t>
  </si>
  <si>
    <t>RF-39773</t>
  </si>
  <si>
    <t>RF-39772</t>
  </si>
  <si>
    <t>RF-39771</t>
  </si>
  <si>
    <t>RF-39769</t>
  </si>
  <si>
    <t>RF-39768</t>
  </si>
  <si>
    <t>RF-39767</t>
  </si>
  <si>
    <t>RF-39765</t>
  </si>
  <si>
    <t>RF-39764</t>
  </si>
  <si>
    <t>RF-39763</t>
  </si>
  <si>
    <t>RF-39762</t>
  </si>
  <si>
    <t>AS-52617</t>
  </si>
  <si>
    <t>AS-52616</t>
  </si>
  <si>
    <t>AS-52614</t>
  </si>
  <si>
    <t>AS-52613</t>
  </si>
  <si>
    <t>AS-52612</t>
  </si>
  <si>
    <t>AS-52611</t>
  </si>
  <si>
    <t>AS-52610</t>
  </si>
  <si>
    <t>AS-52609</t>
  </si>
  <si>
    <t>AS-52608</t>
  </si>
  <si>
    <t>AS-52607</t>
  </si>
  <si>
    <t>AS-52606</t>
  </si>
  <si>
    <t>AS-52605</t>
  </si>
  <si>
    <t>AS-52604</t>
  </si>
  <si>
    <t>AS-52603</t>
  </si>
  <si>
    <t>AS-52602</t>
  </si>
  <si>
    <t>AS-52601</t>
  </si>
  <si>
    <t>AS-52600</t>
  </si>
  <si>
    <t>AS-52599</t>
  </si>
  <si>
    <t>AS-52598</t>
  </si>
  <si>
    <t>AS-52597</t>
  </si>
  <si>
    <t>AS-52596</t>
  </si>
  <si>
    <t>AS-52595</t>
  </si>
  <si>
    <t>AS-52594</t>
  </si>
  <si>
    <t>AS-52593</t>
  </si>
  <si>
    <t>AS-52592</t>
  </si>
  <si>
    <t>AS-52591</t>
  </si>
  <si>
    <t>AS-52590</t>
  </si>
  <si>
    <t>AS-52588</t>
  </si>
  <si>
    <t>AS-52586</t>
  </si>
  <si>
    <t>AS-52585</t>
  </si>
  <si>
    <t>AS-52584</t>
  </si>
  <si>
    <t>AS-52583</t>
  </si>
  <si>
    <t>AS-52582</t>
  </si>
  <si>
    <t>AR-14479</t>
  </si>
  <si>
    <t>AR-14478</t>
  </si>
  <si>
    <t>AR-14477</t>
  </si>
  <si>
    <t>AR-14476</t>
  </si>
  <si>
    <t>AR-14475</t>
  </si>
  <si>
    <t>RF-39783</t>
  </si>
  <si>
    <t>RF-39785</t>
  </si>
  <si>
    <t>RF-39786</t>
  </si>
  <si>
    <t>RF-39787</t>
  </si>
  <si>
    <t>RF-39788</t>
  </si>
  <si>
    <t>RF-39789</t>
  </si>
  <si>
    <t>RF-39790</t>
  </si>
  <si>
    <t>RF-39791</t>
  </si>
  <si>
    <t>RF-39792</t>
  </si>
  <si>
    <t>RF-39793</t>
  </si>
  <si>
    <t>AR-14480</t>
  </si>
  <si>
    <t>AR-14481</t>
  </si>
  <si>
    <t>AR-14482</t>
  </si>
  <si>
    <t>AR-14484</t>
  </si>
  <si>
    <t>AR-14485</t>
  </si>
  <si>
    <t>AR-14486</t>
  </si>
  <si>
    <t>AR-14457</t>
  </si>
  <si>
    <t>AS-52618</t>
  </si>
  <si>
    <t>AS-52620</t>
  </si>
  <si>
    <t>AS-52621</t>
  </si>
  <si>
    <t>AS-52622</t>
  </si>
  <si>
    <t>AS-52623</t>
  </si>
  <si>
    <t>AS-52624</t>
  </si>
  <si>
    <t>AS-52625</t>
  </si>
  <si>
    <t>AS-52626</t>
  </si>
  <si>
    <t>AS-52627</t>
  </si>
  <si>
    <t>AS-52628</t>
  </si>
  <si>
    <t>AS-52629</t>
  </si>
  <si>
    <t>AS-52630</t>
  </si>
  <si>
    <t>AS-52631</t>
  </si>
  <si>
    <t>AS-52632</t>
  </si>
  <si>
    <t>AS-52633</t>
  </si>
  <si>
    <t>AS-52634</t>
  </si>
  <si>
    <t>AS-52635</t>
  </si>
  <si>
    <t>AS-52636</t>
  </si>
  <si>
    <t>AS-52637</t>
  </si>
  <si>
    <t>AS-52638</t>
  </si>
  <si>
    <t>AS-52639</t>
  </si>
  <si>
    <t>AS-52640</t>
  </si>
  <si>
    <t>AS-52641</t>
  </si>
  <si>
    <t>AS-52642</t>
  </si>
  <si>
    <t>AS-52643</t>
  </si>
  <si>
    <t>AS-52644</t>
  </si>
  <si>
    <t>AS-52645</t>
  </si>
  <si>
    <t>AS-52646</t>
  </si>
  <si>
    <t>AS-52647</t>
  </si>
  <si>
    <t>AS-52648</t>
  </si>
  <si>
    <t>AS-52649</t>
  </si>
  <si>
    <t>AS-52650</t>
  </si>
  <si>
    <t>RF-39794</t>
  </si>
  <si>
    <t>RF-39824</t>
  </si>
  <si>
    <t>RF-39823</t>
  </si>
  <si>
    <t>RF-39822</t>
  </si>
  <si>
    <t>RF-39821</t>
  </si>
  <si>
    <t>RF-39820</t>
  </si>
  <si>
    <t>RF-39818</t>
  </si>
  <si>
    <t>RF-39815</t>
  </si>
  <si>
    <t>RF-39813</t>
  </si>
  <si>
    <t>RF-39812</t>
  </si>
  <si>
    <t>RFG-39810</t>
  </si>
  <si>
    <t>RF-39809</t>
  </si>
  <si>
    <t>RF-39808</t>
  </si>
  <si>
    <t>RF-39807</t>
  </si>
  <si>
    <t>RF-39806</t>
  </si>
  <si>
    <t>RF-39805</t>
  </si>
  <si>
    <t>RF-39804</t>
  </si>
  <si>
    <t>RF-39803</t>
  </si>
  <si>
    <t>RF-39801</t>
  </si>
  <si>
    <t>RF-39800</t>
  </si>
  <si>
    <t>RF-39799</t>
  </si>
  <si>
    <t>RF-39798</t>
  </si>
  <si>
    <t>RF-39797</t>
  </si>
  <si>
    <t>RF-39796</t>
  </si>
  <si>
    <t>RF-39795</t>
  </si>
  <si>
    <t>AS-52669</t>
  </si>
  <si>
    <t>AS-52668</t>
  </si>
  <si>
    <t>AS-52667</t>
  </si>
  <si>
    <t>AS-52666</t>
  </si>
  <si>
    <t>AS-52665</t>
  </si>
  <si>
    <t>AS-52664</t>
  </si>
  <si>
    <t>AS-52663</t>
  </si>
  <si>
    <t>AS-52662</t>
  </si>
  <si>
    <t>AS-52661</t>
  </si>
  <si>
    <t>AS-52657</t>
  </si>
  <si>
    <t>AS-52656</t>
  </si>
  <si>
    <t>AS-52655</t>
  </si>
  <si>
    <t>AS-52654</t>
  </si>
  <si>
    <t>AS-52653</t>
  </si>
  <si>
    <t>AS-52652</t>
  </si>
  <si>
    <t>AS-52651</t>
  </si>
  <si>
    <t>AR-14490</t>
  </si>
  <si>
    <t>AR-14488</t>
  </si>
  <si>
    <t>RF-39854</t>
  </si>
  <si>
    <t>RF-39853</t>
  </si>
  <si>
    <t>RF-39852</t>
  </si>
  <si>
    <t>RF-39851</t>
  </si>
  <si>
    <t>RF-39850</t>
  </si>
  <si>
    <t>RF-39848</t>
  </si>
  <si>
    <t>RF-39847</t>
  </si>
  <si>
    <t>RF-39846</t>
  </si>
  <si>
    <t>RF-39845</t>
  </si>
  <si>
    <t>RF-39844</t>
  </si>
  <si>
    <t>RF-39843</t>
  </si>
  <si>
    <t>RF-39842</t>
  </si>
  <si>
    <t>RF-39841</t>
  </si>
  <si>
    <t>RF-39838</t>
  </si>
  <si>
    <t>RF-39837</t>
  </si>
  <si>
    <t>RF-39836</t>
  </si>
  <si>
    <t>RF-39835</t>
  </si>
  <si>
    <t>RF-39834</t>
  </si>
  <si>
    <t>RF-39833</t>
  </si>
  <si>
    <t>RF-39832</t>
  </si>
  <si>
    <t>RF-39831</t>
  </si>
  <si>
    <t>RF-39830</t>
  </si>
  <si>
    <t>RF-39829</t>
  </si>
  <si>
    <t>RF-39828</t>
  </si>
  <si>
    <t>RF-39827</t>
  </si>
  <si>
    <t>RF-39826</t>
  </si>
  <si>
    <t>RF-39825</t>
  </si>
  <si>
    <t>AS-52704</t>
  </si>
  <si>
    <t>AS-52703</t>
  </si>
  <si>
    <t>AS-52702</t>
  </si>
  <si>
    <t>AS-52701</t>
  </si>
  <si>
    <t>AS-52700</t>
  </si>
  <si>
    <t>AS-52699</t>
  </si>
  <si>
    <t>AS-52698</t>
  </si>
  <si>
    <t>AS-52697</t>
  </si>
  <si>
    <t>AS-52696</t>
  </si>
  <si>
    <t>AS-52694</t>
  </si>
  <si>
    <t>AS-52693</t>
  </si>
  <si>
    <t>AS-52692</t>
  </si>
  <si>
    <t>AS-52691</t>
  </si>
  <si>
    <t>AS-52690</t>
  </si>
  <si>
    <t>AS-52689</t>
  </si>
  <si>
    <t>AS-52688</t>
  </si>
  <si>
    <t>AS-52687</t>
  </si>
  <si>
    <t>AS-52684</t>
  </si>
  <si>
    <t>AS-52683</t>
  </si>
  <si>
    <t>AS-52682</t>
  </si>
  <si>
    <t>AS-52681</t>
  </si>
  <si>
    <t>AS-52680</t>
  </si>
  <si>
    <t>AS-52679</t>
  </si>
  <si>
    <t>AS-52678</t>
  </si>
  <si>
    <t>AS-52677</t>
  </si>
  <si>
    <t>AS-52676</t>
  </si>
  <si>
    <t>AS-52675</t>
  </si>
  <si>
    <t>AS-52673</t>
  </si>
  <si>
    <t>AR-14499</t>
  </si>
  <si>
    <t>AR-14498</t>
  </si>
  <si>
    <t>AR-14494</t>
  </si>
  <si>
    <t>AR-14503</t>
  </si>
  <si>
    <t>RF-39868</t>
  </si>
  <si>
    <t>RF-39867</t>
  </si>
  <si>
    <t>RF-39866</t>
  </si>
  <si>
    <t>RF-39865</t>
  </si>
  <si>
    <t>RF-39863</t>
  </si>
  <si>
    <t>RF-39862</t>
  </si>
  <si>
    <t>RF-39861</t>
  </si>
  <si>
    <t>RF-39860</t>
  </si>
  <si>
    <t>RF-39859</t>
  </si>
  <si>
    <t>RF-39857</t>
  </si>
  <si>
    <t>RF-39856</t>
  </si>
  <si>
    <t>RF-39855</t>
  </si>
  <si>
    <t>AS-52733</t>
  </si>
  <si>
    <t>AS-52732</t>
  </si>
  <si>
    <t>AS-52731</t>
  </si>
  <si>
    <t>AS-52730</t>
  </si>
  <si>
    <t>AS-52729</t>
  </si>
  <si>
    <t>AS-52728</t>
  </si>
  <si>
    <t>AS-52727</t>
  </si>
  <si>
    <t>AS-52726</t>
  </si>
  <si>
    <t>AS-52725</t>
  </si>
  <si>
    <t>AS-52724</t>
  </si>
  <si>
    <t>AS-52723</t>
  </si>
  <si>
    <t>AS-52722</t>
  </si>
  <si>
    <t>AS-52721</t>
  </si>
  <si>
    <t>AS-52720</t>
  </si>
  <si>
    <t>AS-52719</t>
  </si>
  <si>
    <t>AS-52718</t>
  </si>
  <si>
    <t>AS-52717</t>
  </si>
  <si>
    <t>AS-52716</t>
  </si>
  <si>
    <t>AS-52715</t>
  </si>
  <si>
    <t>AS-52714</t>
  </si>
  <si>
    <t>AS-52713</t>
  </si>
  <si>
    <t>AS-52712</t>
  </si>
  <si>
    <t>AS-52711</t>
  </si>
  <si>
    <t>AS-52710</t>
  </si>
  <si>
    <t>AS-52709</t>
  </si>
  <si>
    <t>AS-52708</t>
  </si>
  <si>
    <t>AR-14514</t>
  </si>
  <si>
    <t>AR-14513</t>
  </si>
  <si>
    <t>AR-14512</t>
  </si>
  <si>
    <t>AR-14511</t>
  </si>
  <si>
    <t>AR-14508</t>
  </si>
  <si>
    <t>AR-14507</t>
  </si>
  <si>
    <t>AR-14506</t>
  </si>
  <si>
    <t>AR-14505</t>
  </si>
  <si>
    <t>RF-39888</t>
  </si>
  <si>
    <t>RF-39886</t>
  </si>
  <si>
    <t>RF-39885</t>
  </si>
  <si>
    <t>RF-39884</t>
  </si>
  <si>
    <t>RF-39883</t>
  </si>
  <si>
    <t>RF-39882</t>
  </si>
  <si>
    <t>RF-39881</t>
  </si>
  <si>
    <t>RF-39879</t>
  </si>
  <si>
    <t>RF-39878</t>
  </si>
  <si>
    <t>RF-39877</t>
  </si>
  <si>
    <t>RF-39876</t>
  </si>
  <si>
    <t>RF-39875</t>
  </si>
  <si>
    <t>RF-39874</t>
  </si>
  <si>
    <t>RF-39873</t>
  </si>
  <si>
    <t>RF-39872</t>
  </si>
  <si>
    <t>RF-39871</t>
  </si>
  <si>
    <t>RF-39870</t>
  </si>
  <si>
    <t>AS-52753</t>
  </si>
  <si>
    <t>AS-52754</t>
  </si>
  <si>
    <t>AS-52750</t>
  </si>
  <si>
    <t>AS-52749</t>
  </si>
  <si>
    <t>AS-52748</t>
  </si>
  <si>
    <t>AS-52747</t>
  </si>
  <si>
    <t>AS-52746</t>
  </si>
  <si>
    <t>AS-52745</t>
  </si>
  <si>
    <t>AS-52744</t>
  </si>
  <si>
    <t>AS-52743</t>
  </si>
  <si>
    <t>AS-52739</t>
  </si>
  <si>
    <t>AS-52738</t>
  </si>
  <si>
    <t>AS-52737</t>
  </si>
  <si>
    <t>AS-52736</t>
  </si>
  <si>
    <t>AS-52734</t>
  </si>
  <si>
    <t>AR-14528</t>
  </si>
  <si>
    <t>AR-14518</t>
  </si>
  <si>
    <t>RF-39906</t>
  </si>
  <si>
    <t>RF-39905</t>
  </si>
  <si>
    <t>RF-39904</t>
  </si>
  <si>
    <t>RF-39903</t>
  </si>
  <si>
    <t>RF-39902</t>
  </si>
  <si>
    <t>RF-39901</t>
  </si>
  <si>
    <t>RF-39900</t>
  </si>
  <si>
    <t>RF-39899</t>
  </si>
  <si>
    <t>RF-39898</t>
  </si>
  <si>
    <t>RF-39897</t>
  </si>
  <si>
    <t>RF-39895</t>
  </si>
  <si>
    <t>RF-39891</t>
  </si>
  <si>
    <t>RF-39890</t>
  </si>
  <si>
    <t>AS-52799</t>
  </si>
  <si>
    <t>AS-52798</t>
  </si>
  <si>
    <t>AS-52796</t>
  </si>
  <si>
    <t>AS-52795</t>
  </si>
  <si>
    <t>AS-52794</t>
  </si>
  <si>
    <t>AS-52793</t>
  </si>
  <si>
    <t>AS-52792</t>
  </si>
  <si>
    <t>AS-52791</t>
  </si>
  <si>
    <t>AS-52790</t>
  </si>
  <si>
    <t>AS-52789</t>
  </si>
  <si>
    <t>AS-52788</t>
  </si>
  <si>
    <t>AS-52786</t>
  </si>
  <si>
    <t>AS-52785</t>
  </si>
  <si>
    <t>AS-52783</t>
  </si>
  <si>
    <t>AS-52782</t>
  </si>
  <si>
    <t>AS-52781</t>
  </si>
  <si>
    <t>AS-52780</t>
  </si>
  <si>
    <t>AS-52779</t>
  </si>
  <si>
    <t>AS-52776</t>
  </si>
  <si>
    <t>AS-52774</t>
  </si>
  <si>
    <t>AS-52772</t>
  </si>
  <si>
    <t>AS-52770</t>
  </si>
  <si>
    <t>AS-52769</t>
  </si>
  <si>
    <t>AS-52768</t>
  </si>
  <si>
    <t>AS-52764</t>
  </si>
  <si>
    <t>AS-52760</t>
  </si>
  <si>
    <t>AS-52759</t>
  </si>
  <si>
    <t>AS-52758</t>
  </si>
  <si>
    <t>AR-14539</t>
  </si>
  <si>
    <t>AR-14537</t>
  </si>
  <si>
    <t>AR-14535</t>
  </si>
  <si>
    <t>AR-14531</t>
  </si>
  <si>
    <t>AR-14530</t>
  </si>
  <si>
    <t>RF-39923</t>
  </si>
  <si>
    <t>RF-39919</t>
  </si>
  <si>
    <t>RF-39918</t>
  </si>
  <si>
    <t>RF-39917</t>
  </si>
  <si>
    <t>RF-39916</t>
  </si>
  <si>
    <t>RF-39915</t>
  </si>
  <si>
    <t>RF-39914</t>
  </si>
  <si>
    <t>RF-39913</t>
  </si>
  <si>
    <t>RF-39912</t>
  </si>
  <si>
    <t>RF-39911</t>
  </si>
  <si>
    <t>RF-39910</t>
  </si>
  <si>
    <t>RF-39908</t>
  </si>
  <si>
    <t>AS-52844</t>
  </si>
  <si>
    <t>AS-52843</t>
  </si>
  <si>
    <t>AS-52842</t>
  </si>
  <si>
    <t>AS-52840</t>
  </si>
  <si>
    <t>AS-52839</t>
  </si>
  <si>
    <t>AS-52838</t>
  </si>
  <si>
    <t>AS-52837</t>
  </si>
  <si>
    <t>AS-52836</t>
  </si>
  <si>
    <t>AS-52835</t>
  </si>
  <si>
    <t>AS-52834</t>
  </si>
  <si>
    <t>AS-52833</t>
  </si>
  <si>
    <t>AS-52832</t>
  </si>
  <si>
    <t>AS-52831</t>
  </si>
  <si>
    <t>AS-52830</t>
  </si>
  <si>
    <t>AS-52829</t>
  </si>
  <si>
    <t>AS-52828</t>
  </si>
  <si>
    <t>AS-52827</t>
  </si>
  <si>
    <t>AS-52826</t>
  </si>
  <si>
    <t>AS-52825</t>
  </si>
  <si>
    <t>AS-52824</t>
  </si>
  <si>
    <t>AS-52823</t>
  </si>
  <si>
    <t>AS-52822</t>
  </si>
  <si>
    <t>AS-52821</t>
  </si>
  <si>
    <t>AS-52820</t>
  </si>
  <si>
    <t>AS-52819</t>
  </si>
  <si>
    <t>AS-52818</t>
  </si>
  <si>
    <t>AS-52817</t>
  </si>
  <si>
    <t>AS-52816</t>
  </si>
  <si>
    <t>AS-52815</t>
  </si>
  <si>
    <t>AS-52814</t>
  </si>
  <si>
    <t>AS-52813</t>
  </si>
  <si>
    <t>AS-52812</t>
  </si>
  <si>
    <t>AS-52811</t>
  </si>
  <si>
    <t>AS-52801</t>
  </si>
  <si>
    <t>AS-52800</t>
  </si>
  <si>
    <t>AR-14545</t>
  </si>
  <si>
    <t>AR-14544</t>
  </si>
  <si>
    <t>AR-14543</t>
  </si>
  <si>
    <t>AR-14542</t>
  </si>
  <si>
    <t>AR-14540</t>
  </si>
  <si>
    <t>RF-39922</t>
  </si>
  <si>
    <t>RF-39938</t>
  </si>
  <si>
    <t>RF-39926</t>
  </si>
  <si>
    <t>RF-39925</t>
  </si>
  <si>
    <t>RF-39930</t>
  </si>
  <si>
    <t>RF-39929</t>
  </si>
  <si>
    <t>AS-52856</t>
  </si>
  <si>
    <t>AS-52855</t>
  </si>
  <si>
    <t>AS-52854</t>
  </si>
  <si>
    <t>AS-52853</t>
  </si>
  <si>
    <t>AS-52846</t>
  </si>
  <si>
    <t>AS-52845</t>
  </si>
  <si>
    <t>AS-14548</t>
  </si>
  <si>
    <t>AR-14547</t>
  </si>
  <si>
    <t>RF-39962</t>
  </si>
  <si>
    <t>RF-39961</t>
  </si>
  <si>
    <t>RF-39960</t>
  </si>
  <si>
    <t>RF-39959</t>
  </si>
  <si>
    <t>RF-39958</t>
  </si>
  <si>
    <t>RF-39957</t>
  </si>
  <si>
    <t>RF-39956</t>
  </si>
  <si>
    <t>RF-39953</t>
  </si>
  <si>
    <t>RF-39951</t>
  </si>
  <si>
    <t>RF-39950</t>
  </si>
  <si>
    <t>RF-39949</t>
  </si>
  <si>
    <t>RF-39948</t>
  </si>
  <si>
    <t>RF-39947</t>
  </si>
  <si>
    <t>RF-39946</t>
  </si>
  <si>
    <t>RF-39941</t>
  </si>
  <si>
    <t>RF-39940</t>
  </si>
  <si>
    <t>RF-39939</t>
  </si>
  <si>
    <t>RF-39937</t>
  </si>
  <si>
    <t>RF-39936</t>
  </si>
  <si>
    <t>RF-39935</t>
  </si>
  <si>
    <t>RF-39934</t>
  </si>
  <si>
    <t>RF-39933</t>
  </si>
  <si>
    <t>RF-39932</t>
  </si>
  <si>
    <t>RF-39931</t>
  </si>
  <si>
    <t>AS-52902</t>
  </si>
  <si>
    <t>AS-52900</t>
  </si>
  <si>
    <t>AS-52899</t>
  </si>
  <si>
    <t>AS-52898</t>
  </si>
  <si>
    <t>AS-52897</t>
  </si>
  <si>
    <t>AS-52896</t>
  </si>
  <si>
    <t>AS-52895</t>
  </si>
  <si>
    <t>AS-52894</t>
  </si>
  <si>
    <t>AS-52893</t>
  </si>
  <si>
    <t>AS-52890</t>
  </si>
  <si>
    <t>AS-52884</t>
  </si>
  <si>
    <t>AS-52883</t>
  </si>
  <si>
    <t>AS-52882</t>
  </si>
  <si>
    <t>AS-52881</t>
  </si>
  <si>
    <t>AS-52875</t>
  </si>
  <si>
    <t>AS-52874</t>
  </si>
  <si>
    <t>AS-52873</t>
  </si>
  <si>
    <t>AS-52864</t>
  </si>
  <si>
    <t>AS-52861</t>
  </si>
  <si>
    <t>AS-52860</t>
  </si>
  <si>
    <t>AS-52859</t>
  </si>
  <si>
    <t>AS-52858</t>
  </si>
  <si>
    <t>AS-52857</t>
  </si>
  <si>
    <t>AR-14552</t>
  </si>
  <si>
    <t>AR-14551</t>
  </si>
  <si>
    <t>AR-14550</t>
  </si>
  <si>
    <t>AR-14549</t>
  </si>
  <si>
    <t>RF-39971</t>
  </si>
  <si>
    <t>RF-39970</t>
  </si>
  <si>
    <t>RF-39969</t>
  </si>
  <si>
    <t>RF-39968</t>
  </si>
  <si>
    <t>RF-39965</t>
  </si>
  <si>
    <t>RF-39964</t>
  </si>
  <si>
    <t>RF-39963</t>
  </si>
  <si>
    <t>AS-52910</t>
  </si>
  <si>
    <t>AS-52909</t>
  </si>
  <si>
    <t>AS-52908</t>
  </si>
  <si>
    <t>AS-52907</t>
  </si>
  <si>
    <t>AS-52906</t>
  </si>
  <si>
    <t>AS-52905</t>
  </si>
  <si>
    <t>AS-52904</t>
  </si>
  <si>
    <t>AS-52903</t>
  </si>
  <si>
    <t>AR-14554</t>
  </si>
  <si>
    <t>RF-39982</t>
  </si>
  <si>
    <t>RF-39981</t>
  </si>
  <si>
    <t>RF-39980</t>
  </si>
  <si>
    <t>RF-39979</t>
  </si>
  <si>
    <t>RF-39978</t>
  </si>
  <si>
    <t>RF-39977</t>
  </si>
  <si>
    <t>RF-39976</t>
  </si>
  <si>
    <t>RF-39975</t>
  </si>
  <si>
    <t>RF-39974</t>
  </si>
  <si>
    <t>RF-39973</t>
  </si>
  <si>
    <t>AS-52930</t>
  </si>
  <si>
    <t>AS-52929</t>
  </si>
  <si>
    <t>AS-52928</t>
  </si>
  <si>
    <t>AS-52927</t>
  </si>
  <si>
    <t>AS-52926</t>
  </si>
  <si>
    <t>AS-52925</t>
  </si>
  <si>
    <t>AS-52924</t>
  </si>
  <si>
    <t>AS-52923</t>
  </si>
  <si>
    <t>AS-52922</t>
  </si>
  <si>
    <t>AS-52921</t>
  </si>
  <si>
    <t>AS-52920</t>
  </si>
  <si>
    <t>AS-52919</t>
  </si>
  <si>
    <t>AS-52918</t>
  </si>
  <si>
    <t>AS-52917</t>
  </si>
  <si>
    <t>AS-52916</t>
  </si>
  <si>
    <t>AS-52915</t>
  </si>
  <si>
    <t>AS-52914</t>
  </si>
  <si>
    <t>AS-52913</t>
  </si>
  <si>
    <t>AR-14558</t>
  </si>
  <si>
    <t>RF-40003</t>
  </si>
  <si>
    <t>RF-40002</t>
  </si>
  <si>
    <t>RF-40001</t>
  </si>
  <si>
    <t>RF-39999</t>
  </si>
  <si>
    <t>RF-39998</t>
  </si>
  <si>
    <t>RF-39997</t>
  </si>
  <si>
    <t>RF-39996</t>
  </si>
  <si>
    <t>RF-39995</t>
  </si>
  <si>
    <t>RF-39993</t>
  </si>
  <si>
    <t>RF-39992</t>
  </si>
  <si>
    <t>RF-39989</t>
  </si>
  <si>
    <t>RF-39988</t>
  </si>
  <si>
    <t>AS-52957</t>
  </si>
  <si>
    <t>AS-52956</t>
  </si>
  <si>
    <t>AS-52955</t>
  </si>
  <si>
    <t>AS-52954</t>
  </si>
  <si>
    <t>AS-52953</t>
  </si>
  <si>
    <t>AS-52952</t>
  </si>
  <si>
    <t>AS-52946</t>
  </si>
  <si>
    <t>AS-52945</t>
  </si>
  <si>
    <t>AS-52944</t>
  </si>
  <si>
    <t>AS-52943</t>
  </si>
  <si>
    <t>AS-52942</t>
  </si>
  <si>
    <t>AS-52940</t>
  </si>
  <si>
    <t>AS-52939</t>
  </si>
  <si>
    <t>AS-52938</t>
  </si>
  <si>
    <t>AS-52937</t>
  </si>
  <si>
    <t>AR-14565</t>
  </si>
  <si>
    <t>AR-14563</t>
  </si>
  <si>
    <t>RF-39987</t>
  </si>
  <si>
    <t>RF-39986</t>
  </si>
  <si>
    <t>RF-39985</t>
  </si>
  <si>
    <t>RF-39984</t>
  </si>
  <si>
    <t>RF-39983</t>
  </si>
  <si>
    <t>AS-52936</t>
  </si>
  <si>
    <t>AS-32935</t>
  </si>
  <si>
    <t>AS-52934</t>
  </si>
  <si>
    <t>AS-52933</t>
  </si>
  <si>
    <t>AS-52932</t>
  </si>
  <si>
    <t>AR-14561</t>
  </si>
  <si>
    <t>AR-14560</t>
  </si>
  <si>
    <t>AR-14559</t>
  </si>
  <si>
    <t>RF-40005</t>
  </si>
  <si>
    <t>RF-40004</t>
  </si>
  <si>
    <t>AS-52961</t>
  </si>
  <si>
    <t>RF-52960</t>
  </si>
  <si>
    <t>AS-52959</t>
  </si>
  <si>
    <t>AS-52958</t>
  </si>
  <si>
    <t>AR-14576</t>
  </si>
  <si>
    <t>AR-14569</t>
  </si>
  <si>
    <t>AR-14568</t>
  </si>
  <si>
    <t>AR-14567</t>
  </si>
  <si>
    <t>AR-14566</t>
  </si>
  <si>
    <t>RF-40022</t>
  </si>
  <si>
    <t>RF-40021</t>
  </si>
  <si>
    <t>RF-40020</t>
  </si>
  <si>
    <t>RF-40019</t>
  </si>
  <si>
    <t>RF-40017</t>
  </si>
  <si>
    <t>RF-40015</t>
  </si>
  <si>
    <t>RF-40014</t>
  </si>
  <si>
    <t>RF-40013</t>
  </si>
  <si>
    <t>RF-40012</t>
  </si>
  <si>
    <t>RF-40011</t>
  </si>
  <si>
    <t>RF-40009</t>
  </si>
  <si>
    <t>RF-40007</t>
  </si>
  <si>
    <t>RF-40006</t>
  </si>
  <si>
    <t>AS-52991</t>
  </si>
  <si>
    <t>AS-52990</t>
  </si>
  <si>
    <t>AS-52989</t>
  </si>
  <si>
    <t>AS-52988</t>
  </si>
  <si>
    <t>AS-52987</t>
  </si>
  <si>
    <t>AS-52986</t>
  </si>
  <si>
    <t>AS-52985</t>
  </si>
  <si>
    <t>AS-52984</t>
  </si>
  <si>
    <t>AS-52983</t>
  </si>
  <si>
    <t>AS-52982</t>
  </si>
  <si>
    <t>AS-52981</t>
  </si>
  <si>
    <t>AS-52980</t>
  </si>
  <si>
    <t>AS-52979</t>
  </si>
  <si>
    <t>AS-52978</t>
  </si>
  <si>
    <t>AS-52977</t>
  </si>
  <si>
    <t>AS-52976</t>
  </si>
  <si>
    <t>AS-52975</t>
  </si>
  <si>
    <t>AS-52974</t>
  </si>
  <si>
    <t>AS-52973</t>
  </si>
  <si>
    <t>AS-52972</t>
  </si>
  <si>
    <t>AS-52971</t>
  </si>
  <si>
    <t>AS-52970</t>
  </si>
  <si>
    <t>AS-52969</t>
  </si>
  <si>
    <t>AS-52968</t>
  </si>
  <si>
    <t>AS-52967</t>
  </si>
  <si>
    <t>AS-52966</t>
  </si>
  <si>
    <t>AS-52965</t>
  </si>
  <si>
    <t>AS-52964</t>
  </si>
  <si>
    <t>AS-52963</t>
  </si>
  <si>
    <t>AS-52962</t>
  </si>
  <si>
    <t>AR-14582</t>
  </si>
  <si>
    <t>AR-14581</t>
  </si>
  <si>
    <t>AR-14580</t>
  </si>
  <si>
    <t>AR-14579</t>
  </si>
  <si>
    <t>AR-14578</t>
  </si>
  <si>
    <t>RF-40048</t>
  </si>
  <si>
    <t>RF-40047</t>
  </si>
  <si>
    <t>RF-40045</t>
  </si>
  <si>
    <t>RF-40043</t>
  </si>
  <si>
    <t>RF-40042</t>
  </si>
  <si>
    <t>RF-4041</t>
  </si>
  <si>
    <t>RF-40041</t>
  </si>
  <si>
    <t>RF-40040</t>
  </si>
  <si>
    <t>RF-40039</t>
  </si>
  <si>
    <t>RF-40038</t>
  </si>
  <si>
    <t>RF-40036</t>
  </si>
  <si>
    <t>RF-40035</t>
  </si>
  <si>
    <t>RF-40034</t>
  </si>
  <si>
    <t>RF-40032</t>
  </si>
  <si>
    <t>RF-40031</t>
  </si>
  <si>
    <t>RF-40030</t>
  </si>
  <si>
    <t>AS-53025</t>
  </si>
  <si>
    <t>AS-53023</t>
  </si>
  <si>
    <t>AS-53020</t>
  </si>
  <si>
    <t>AS-53019</t>
  </si>
  <si>
    <t>AS-53018</t>
  </si>
  <si>
    <t>AS-53017</t>
  </si>
  <si>
    <t>AS-53016</t>
  </si>
  <si>
    <t>AS-53015</t>
  </si>
  <si>
    <t>AS-53014</t>
  </si>
  <si>
    <t>AS-53013</t>
  </si>
  <si>
    <t>AS-53012</t>
  </si>
  <si>
    <t>AS-53011</t>
  </si>
  <si>
    <t>AS-53010</t>
  </si>
  <si>
    <t>AS-53008</t>
  </si>
  <si>
    <t>AS-53006</t>
  </si>
  <si>
    <t>AS-53005</t>
  </si>
  <si>
    <t>AS-53004</t>
  </si>
  <si>
    <t>AS-53003</t>
  </si>
  <si>
    <t>AS-53002</t>
  </si>
  <si>
    <t>AS-53001</t>
  </si>
  <si>
    <t>AS-53000</t>
  </si>
  <si>
    <t>AS-52999</t>
  </si>
  <si>
    <t>AS-52998</t>
  </si>
  <si>
    <t>AR-14590</t>
  </si>
  <si>
    <t>RF-40052</t>
  </si>
  <si>
    <t>RF-40051</t>
  </si>
  <si>
    <t>RF-40050</t>
  </si>
  <si>
    <t>RF-40049</t>
  </si>
  <si>
    <t>AS-53051</t>
  </si>
  <si>
    <t>AS-53046</t>
  </si>
  <si>
    <t>AS-53045</t>
  </si>
  <si>
    <t>AS-53044</t>
  </si>
  <si>
    <t>AS-53043</t>
  </si>
  <si>
    <t>RF-53043</t>
  </si>
  <si>
    <t>AS-53542</t>
  </si>
  <si>
    <t>AS-53041</t>
  </si>
  <si>
    <t>AS-53040</t>
  </si>
  <si>
    <t>AS-53039</t>
  </si>
  <si>
    <t>AS-53038</t>
  </si>
  <si>
    <t>AS-53037</t>
  </si>
  <si>
    <t>AS-53036</t>
  </si>
  <si>
    <t>AS-53035</t>
  </si>
  <si>
    <t>AS-53034</t>
  </si>
  <si>
    <t>AS-53033</t>
  </si>
  <si>
    <t>AS-53032</t>
  </si>
  <si>
    <t>AS-53031</t>
  </si>
  <si>
    <t>AS-53030</t>
  </si>
  <si>
    <t>AS-53029</t>
  </si>
  <si>
    <t>AS-53028</t>
  </si>
  <si>
    <t>AS-53027</t>
  </si>
  <si>
    <t>AS-53026</t>
  </si>
  <si>
    <t>AR-14598</t>
  </si>
  <si>
    <t>AR-14597</t>
  </si>
  <si>
    <t>AR-14595</t>
  </si>
  <si>
    <t>AR-14594</t>
  </si>
  <si>
    <t>AR-14591</t>
  </si>
  <si>
    <t>RF-40057</t>
  </si>
  <si>
    <t>RF-40056</t>
  </si>
  <si>
    <t>RF-40055</t>
  </si>
  <si>
    <t>RF-40054</t>
  </si>
  <si>
    <t>RF-40053</t>
  </si>
  <si>
    <t>AS-53055</t>
  </si>
  <si>
    <t>AS-53053</t>
  </si>
  <si>
    <t>AR-14600</t>
  </si>
  <si>
    <t>RF-40028</t>
  </si>
  <si>
    <t>RF-40027</t>
  </si>
  <si>
    <t>RF-40026</t>
  </si>
  <si>
    <t>RF-40025</t>
  </si>
  <si>
    <t>RF-40024</t>
  </si>
  <si>
    <t>RF-40023</t>
  </si>
  <si>
    <t>AS-52996</t>
  </si>
  <si>
    <t>AS-52995</t>
  </si>
  <si>
    <t>AS-52994</t>
  </si>
  <si>
    <t>AS-52993</t>
  </si>
  <si>
    <t>AS-52992</t>
  </si>
  <si>
    <t>AR-14587</t>
  </si>
  <si>
    <t>AR-14583</t>
  </si>
  <si>
    <t>RF-40071</t>
  </si>
  <si>
    <t>RF-40070</t>
  </si>
  <si>
    <t>RF-40069</t>
  </si>
  <si>
    <t>RF-40068</t>
  </si>
  <si>
    <t>RF-40067</t>
  </si>
  <si>
    <t>RF-40066</t>
  </si>
  <si>
    <t>RF-40064</t>
  </si>
  <si>
    <t>RF-40063</t>
  </si>
  <si>
    <t>RF-40062</t>
  </si>
  <si>
    <t>RF-40061</t>
  </si>
  <si>
    <t>RF-40060</t>
  </si>
  <si>
    <t>RF-40059</t>
  </si>
  <si>
    <t>RF-40058</t>
  </si>
  <si>
    <t>AS-53094</t>
  </si>
  <si>
    <t>AS-53091</t>
  </si>
  <si>
    <t>AS-53090</t>
  </si>
  <si>
    <t>AS-53089</t>
  </si>
  <si>
    <t>AS-53088</t>
  </si>
  <si>
    <t>AS-53087</t>
  </si>
  <si>
    <t>AS-53084</t>
  </si>
  <si>
    <t>AS-53083</t>
  </si>
  <si>
    <t>AS-53082</t>
  </si>
  <si>
    <t>AS-53081</t>
  </si>
  <si>
    <t>AS-53079</t>
  </si>
  <si>
    <t>AS-53078</t>
  </si>
  <si>
    <t>AS-53074</t>
  </si>
  <si>
    <t>AS-53070</t>
  </si>
  <si>
    <t>AS-53068</t>
  </si>
  <si>
    <t>AS-53067</t>
  </si>
  <si>
    <t>AS-53066</t>
  </si>
  <si>
    <t>AS-53065</t>
  </si>
  <si>
    <t>AS-53064</t>
  </si>
  <si>
    <t>AS-53062</t>
  </si>
  <si>
    <t>AS-53061</t>
  </si>
  <si>
    <t>AS-53059</t>
  </si>
  <si>
    <t>AS-53058</t>
  </si>
  <si>
    <t>AS-53057</t>
  </si>
  <si>
    <t>AR-14603</t>
  </si>
  <si>
    <t>AR-14604</t>
  </si>
  <si>
    <t>RF-40076</t>
  </si>
  <si>
    <t>RF-40075</t>
  </si>
  <si>
    <t>RF-40079</t>
  </si>
  <si>
    <t>RF-40073</t>
  </si>
  <si>
    <t>RF40072</t>
  </si>
  <si>
    <t>RF-40077</t>
  </si>
  <si>
    <t>RF-4072</t>
  </si>
  <si>
    <t>AS-53097</t>
  </si>
  <si>
    <t>AS-53096</t>
  </si>
  <si>
    <t>AS-53095</t>
  </si>
  <si>
    <t>RF-40097</t>
  </si>
  <si>
    <t>RF-40095</t>
  </si>
  <si>
    <t>RF-40093</t>
  </si>
  <si>
    <t>RF-40091</t>
  </si>
  <si>
    <t>RF-40089</t>
  </si>
  <si>
    <t>RF-40088</t>
  </si>
  <si>
    <t>RF-40087</t>
  </si>
  <si>
    <t>RF-40086</t>
  </si>
  <si>
    <t>RF-40085</t>
  </si>
  <si>
    <t>RF-40084</t>
  </si>
  <si>
    <t>RF-40083</t>
  </si>
  <si>
    <t>RF-40082</t>
  </si>
  <si>
    <t>RF-40080</t>
  </si>
  <si>
    <t>RF-40078</t>
  </si>
  <si>
    <t>AS-53124</t>
  </si>
  <si>
    <t>AS-53123</t>
  </si>
  <si>
    <t>AS-53122</t>
  </si>
  <si>
    <t>AS-53121</t>
  </si>
  <si>
    <t>AS-53120</t>
  </si>
  <si>
    <t>AS-53119</t>
  </si>
  <si>
    <t>AS-53118</t>
  </si>
  <si>
    <t>AS-53116</t>
  </si>
  <si>
    <t>AS-53114</t>
  </si>
  <si>
    <t>AS-53113</t>
  </si>
  <si>
    <t>AS-53112</t>
  </si>
  <si>
    <t>AS-53107</t>
  </si>
  <si>
    <t>AS-53106</t>
  </si>
  <si>
    <t>AS-53105</t>
  </si>
  <si>
    <t>AS-53104</t>
  </si>
  <si>
    <t>AS-53103</t>
  </si>
  <si>
    <t>AS-53101</t>
  </si>
  <si>
    <t>AS-53099</t>
  </si>
  <si>
    <t>AS-53098</t>
  </si>
  <si>
    <t>AR-14611</t>
  </si>
  <si>
    <t>AR-14610</t>
  </si>
  <si>
    <t>AR-14607</t>
  </si>
  <si>
    <t>AR-14606</t>
  </si>
  <si>
    <t>AR-14605</t>
  </si>
  <si>
    <t>RF-40109</t>
  </si>
  <si>
    <t>RF-40108</t>
  </si>
  <si>
    <t>RF-40107</t>
  </si>
  <si>
    <t>RF-40106</t>
  </si>
  <si>
    <t>RF-40105</t>
  </si>
  <si>
    <t>RF-40104</t>
  </si>
  <si>
    <t>RF-40103</t>
  </si>
  <si>
    <t>RF-40102</t>
  </si>
  <si>
    <t>RF-40101</t>
  </si>
  <si>
    <t>RF-40100</t>
  </si>
  <si>
    <t>RF-40099</t>
  </si>
  <si>
    <t>RF-40098</t>
  </si>
  <si>
    <t>AS-53136</t>
  </si>
  <si>
    <t>AS-53135</t>
  </si>
  <si>
    <t>AS-53134</t>
  </si>
  <si>
    <t>AS-53132</t>
  </si>
  <si>
    <t>AS-53131</t>
  </si>
  <si>
    <t>AS-53130</t>
  </si>
  <si>
    <t>AR-14617</t>
  </si>
  <si>
    <t>AR-14616</t>
  </si>
  <si>
    <t>AR-14615</t>
  </si>
  <si>
    <t>AR-14614</t>
  </si>
  <si>
    <t>AR-14612</t>
  </si>
  <si>
    <t>RF-40111</t>
  </si>
  <si>
    <t>RF-40121</t>
  </si>
  <si>
    <t>RF-40119</t>
  </si>
  <si>
    <t>RF-40116</t>
  </si>
  <si>
    <t>RF-40115</t>
  </si>
  <si>
    <t>RF-40114</t>
  </si>
  <si>
    <t>RF-40113</t>
  </si>
  <si>
    <t>RF-40112</t>
  </si>
  <si>
    <t>AS-53184</t>
  </si>
  <si>
    <t>AS-53183</t>
  </si>
  <si>
    <t>AS-5382</t>
  </si>
  <si>
    <t>AS-53181</t>
  </si>
  <si>
    <t>AS-53180</t>
  </si>
  <si>
    <t>AS-53179</t>
  </si>
  <si>
    <t>AS-53178</t>
  </si>
  <si>
    <t>AS-53177</t>
  </si>
  <si>
    <t>AS-53176</t>
  </si>
  <si>
    <t>AS-53175</t>
  </si>
  <si>
    <t>AS-53174</t>
  </si>
  <si>
    <t>AS-53173</t>
  </si>
  <si>
    <t>AS-53166</t>
  </si>
  <si>
    <t>AS-53164</t>
  </si>
  <si>
    <t>AS-53161</t>
  </si>
  <si>
    <t>AS-53158</t>
  </si>
  <si>
    <t>AS-53154</t>
  </si>
  <si>
    <t>AS-53151</t>
  </si>
  <si>
    <t>AS-53150</t>
  </si>
  <si>
    <t>AS-53149</t>
  </si>
  <si>
    <t>AS-53148</t>
  </si>
  <si>
    <t>AS-53147</t>
  </si>
  <si>
    <t>AS-53145</t>
  </si>
  <si>
    <t>AS-53144</t>
  </si>
  <si>
    <t>AS-53143</t>
  </si>
  <si>
    <t>AS-53140</t>
  </si>
  <si>
    <t>AS-53139</t>
  </si>
  <si>
    <t>AS-53138+</t>
  </si>
  <si>
    <t>AS-53137</t>
  </si>
  <si>
    <t>RF-40127</t>
  </si>
  <si>
    <t>RF-40126</t>
  </si>
  <si>
    <t>RF-40125</t>
  </si>
  <si>
    <t>RF-40124</t>
  </si>
  <si>
    <t>RF-40123</t>
  </si>
  <si>
    <t>RF-40122</t>
  </si>
  <si>
    <t>AS-53193</t>
  </si>
  <si>
    <t>AS-53192</t>
  </si>
  <si>
    <t>AS-53191</t>
  </si>
  <si>
    <t>AS-53188</t>
  </si>
  <si>
    <t>AS-53185</t>
  </si>
  <si>
    <t>AR-14627</t>
  </si>
  <si>
    <t>RF-40143</t>
  </si>
  <si>
    <t>RF-40141</t>
  </si>
  <si>
    <t>RF-40140</t>
  </si>
  <si>
    <t>RF-40138</t>
  </si>
  <si>
    <t>RF-40137</t>
  </si>
  <si>
    <t>RF-40136</t>
  </si>
  <si>
    <t>RF-40134</t>
  </si>
  <si>
    <t>RF-40132</t>
  </si>
  <si>
    <t>RF-40131</t>
  </si>
  <si>
    <t>RF-40130</t>
  </si>
  <si>
    <t>RF-40129</t>
  </si>
  <si>
    <t>RF-40128</t>
  </si>
  <si>
    <t>AS-53219</t>
  </si>
  <si>
    <t>AS-53218</t>
  </si>
  <si>
    <t>AS-53217</t>
  </si>
  <si>
    <t>AS-53216</t>
  </si>
  <si>
    <t>AS-53215</t>
  </si>
  <si>
    <t>AS-53213</t>
  </si>
  <si>
    <t>AS-53212</t>
  </si>
  <si>
    <t>AS-53204</t>
  </si>
  <si>
    <t>AS-53201</t>
  </si>
  <si>
    <t>AS-53200</t>
  </si>
  <si>
    <t>AS-53199</t>
  </si>
  <si>
    <t>AS-53198</t>
  </si>
  <si>
    <t>AS-53197</t>
  </si>
  <si>
    <t>AS-53196</t>
  </si>
  <si>
    <t>AS-53195</t>
  </si>
  <si>
    <t>AS-53194</t>
  </si>
  <si>
    <t>AR-14632</t>
  </si>
  <si>
    <t>AR14631</t>
  </si>
  <si>
    <t>AR-14630</t>
  </si>
  <si>
    <t>AR-14629</t>
  </si>
  <si>
    <t>AR-14628</t>
  </si>
  <si>
    <t>RF-40173</t>
  </si>
  <si>
    <t>RF-40172</t>
  </si>
  <si>
    <t>RF-40170</t>
  </si>
  <si>
    <t>RF-40169</t>
  </si>
  <si>
    <t>RF-40165</t>
  </si>
  <si>
    <t>RF-40164</t>
  </si>
  <si>
    <t>RF-40163</t>
  </si>
  <si>
    <t>RF-40162</t>
  </si>
  <si>
    <t>RF-40161</t>
  </si>
  <si>
    <t>AS-53276</t>
  </si>
  <si>
    <t>AS-53273</t>
  </si>
  <si>
    <t>AS-53270</t>
  </si>
  <si>
    <t>AS-53268</t>
  </si>
  <si>
    <t>AS-53267</t>
  </si>
  <si>
    <t>AS-53264</t>
  </si>
  <si>
    <t>AS-53263</t>
  </si>
  <si>
    <t>AS-53254</t>
  </si>
  <si>
    <t>AS-53287</t>
  </si>
  <si>
    <t>AS-53251</t>
  </si>
  <si>
    <t>AS-53250</t>
  </si>
  <si>
    <t>AS-53249</t>
  </si>
  <si>
    <t>AS-53248</t>
  </si>
  <si>
    <t>AS-53247</t>
  </si>
  <si>
    <t>AS-53246</t>
  </si>
  <si>
    <t>AS-53245</t>
  </si>
  <si>
    <t>AS-53244</t>
  </si>
  <si>
    <t>AS-53243</t>
  </si>
  <si>
    <t>AS-53242</t>
  </si>
  <si>
    <t>AS-53241</t>
  </si>
  <si>
    <t>AS-53240</t>
  </si>
  <si>
    <t>AS-53239</t>
  </si>
  <si>
    <t>AS-53238</t>
  </si>
  <si>
    <t>AS-53236</t>
  </si>
  <si>
    <t>AS-53233</t>
  </si>
  <si>
    <t>AS-53230</t>
  </si>
  <si>
    <t>AS-53228</t>
  </si>
  <si>
    <t>AR-14638</t>
  </si>
  <si>
    <t>RF-40181</t>
  </si>
  <si>
    <t>RF-40180</t>
  </si>
  <si>
    <t>RF-40179</t>
  </si>
  <si>
    <t>RF-40178</t>
  </si>
  <si>
    <t>RF-40177</t>
  </si>
  <si>
    <t>RF-40176</t>
  </si>
  <si>
    <t>RF-40174</t>
  </si>
  <si>
    <t>AS-53302</t>
  </si>
  <si>
    <t>AS-5330</t>
  </si>
  <si>
    <t>AS-53299</t>
  </si>
  <si>
    <t>AS-53298</t>
  </si>
  <si>
    <t>AS-53297</t>
  </si>
  <si>
    <t>AS-53296</t>
  </si>
  <si>
    <t>AS-53295</t>
  </si>
  <si>
    <t>AS-53294</t>
  </si>
  <si>
    <t>AS-53293</t>
  </si>
  <si>
    <t>AS-53292</t>
  </si>
  <si>
    <t>AS-53291</t>
  </si>
  <si>
    <t>AS-53290</t>
  </si>
  <si>
    <t>AS-53289</t>
  </si>
  <si>
    <t>AS-53288</t>
  </si>
  <si>
    <t>AS-53286</t>
  </si>
  <si>
    <t>AS-53285</t>
  </si>
  <si>
    <t>AS-53284</t>
  </si>
  <si>
    <t>AS-53283</t>
  </si>
  <si>
    <t>AS-53282</t>
  </si>
  <si>
    <t>AS-53281</t>
  </si>
  <si>
    <t>AS-53280</t>
  </si>
  <si>
    <t>AS53279</t>
  </si>
  <si>
    <t>AS-53277</t>
  </si>
  <si>
    <t>AR-14643</t>
  </si>
  <si>
    <t>AR-14642</t>
  </si>
  <si>
    <t>AR-14641</t>
  </si>
  <si>
    <t>AR-14639</t>
  </si>
  <si>
    <t>RF-40157</t>
  </si>
  <si>
    <t>RF-40156</t>
  </si>
  <si>
    <t>RF-40154</t>
  </si>
  <si>
    <t>RF-40151</t>
  </si>
  <si>
    <t>RF-40148</t>
  </si>
  <si>
    <t>RF-40147</t>
  </si>
  <si>
    <t>RF-40145</t>
  </si>
  <si>
    <t>RF-40144</t>
  </si>
  <si>
    <t>AS-53224</t>
  </si>
  <si>
    <t>AS-53223</t>
  </si>
  <si>
    <t>AS-53222</t>
  </si>
  <si>
    <t>AS-53221</t>
  </si>
  <si>
    <t>AS-53220</t>
  </si>
  <si>
    <t>AR-14633</t>
  </si>
  <si>
    <t>RF-40182</t>
  </si>
  <si>
    <t>RF-40216</t>
  </si>
  <si>
    <t>RF-40213</t>
  </si>
  <si>
    <t>RF-40211</t>
  </si>
  <si>
    <t>RF-40207</t>
  </si>
  <si>
    <t>RF-40206</t>
  </si>
  <si>
    <t>RF-40205</t>
  </si>
  <si>
    <t>RF-40203</t>
  </si>
  <si>
    <t>RF-40202</t>
  </si>
  <si>
    <t>RF-40200</t>
  </si>
  <si>
    <t>RF-40199</t>
  </si>
  <si>
    <t>RF-40198</t>
  </si>
  <si>
    <t>RF-40197</t>
  </si>
  <si>
    <t>RF-40196</t>
  </si>
  <si>
    <t>RF-40195</t>
  </si>
  <si>
    <t>RF-40193</t>
  </si>
  <si>
    <t>RF-40192</t>
  </si>
  <si>
    <t>RF-40191</t>
  </si>
  <si>
    <t>AS-53350</t>
  </si>
  <si>
    <t>AS-53349</t>
  </si>
  <si>
    <t>AS-53348</t>
  </si>
  <si>
    <t>AS-53343</t>
  </si>
  <si>
    <t>AS-53342</t>
  </si>
  <si>
    <t>AS-53332</t>
  </si>
  <si>
    <t>AS-53331</t>
  </si>
  <si>
    <t>AS-53325</t>
  </si>
  <si>
    <t>AS-53324</t>
  </si>
  <si>
    <t>AS-53323</t>
  </si>
  <si>
    <t>AS-53317</t>
  </si>
  <si>
    <t>AS-53316</t>
  </si>
  <si>
    <t>AS-53315</t>
  </si>
  <si>
    <t>AS-53314</t>
  </si>
  <si>
    <t>AS-53313</t>
  </si>
  <si>
    <t>AS-53312</t>
  </si>
  <si>
    <t>AS-53311</t>
  </si>
  <si>
    <t>AS-53310</t>
  </si>
  <si>
    <t>AS-53308</t>
  </si>
  <si>
    <t>AS-53307</t>
  </si>
  <si>
    <t>AS-53306</t>
  </si>
  <si>
    <t>AS-53305</t>
  </si>
  <si>
    <t>AR-14651</t>
  </si>
  <si>
    <t>AR-14650</t>
  </si>
  <si>
    <t>AR-14649</t>
  </si>
  <si>
    <t>AR-14648</t>
  </si>
  <si>
    <t>RF-40209</t>
  </si>
  <si>
    <t>RF-40190</t>
  </si>
  <si>
    <t>RF-40189</t>
  </si>
  <si>
    <t>RF-40188</t>
  </si>
  <si>
    <t>RF-40187</t>
  </si>
  <si>
    <t>RF-40186</t>
  </si>
  <si>
    <t>RF-40185</t>
  </si>
  <si>
    <t>RF-40184</t>
  </si>
  <si>
    <t>RF-40183</t>
  </si>
  <si>
    <t>AS-53304</t>
  </si>
  <si>
    <t>AS-53303</t>
  </si>
  <si>
    <t>AR-14646</t>
  </si>
  <si>
    <t>RF-40218</t>
  </si>
  <si>
    <t>RF-40217</t>
  </si>
  <si>
    <t>AS-53358</t>
  </si>
  <si>
    <t>AS-53352</t>
  </si>
  <si>
    <t>AS-53351</t>
  </si>
  <si>
    <t>RF-40245</t>
  </si>
  <si>
    <t>RF-40244</t>
  </si>
  <si>
    <t>RF-40243</t>
  </si>
  <si>
    <t>RF-40241</t>
  </si>
  <si>
    <t>AS-53410</t>
  </si>
  <si>
    <t>AS-53408</t>
  </si>
  <si>
    <t>AS-53407</t>
  </si>
  <si>
    <t>AS-53406</t>
  </si>
  <si>
    <t>AS-53405</t>
  </si>
  <si>
    <t>AR-14661</t>
  </si>
  <si>
    <t>AR-14659</t>
  </si>
  <si>
    <t>AR-14658</t>
  </si>
  <si>
    <t>AR-14660</t>
  </si>
  <si>
    <t>RF-40231</t>
  </si>
  <si>
    <t>RF-40230</t>
  </si>
  <si>
    <t>RF-40229</t>
  </si>
  <si>
    <t>RF-40228</t>
  </si>
  <si>
    <t>RF-40225</t>
  </si>
  <si>
    <t>AS-53400</t>
  </si>
  <si>
    <t>AS-53398</t>
  </si>
  <si>
    <t>AS-53387</t>
  </si>
  <si>
    <t>AS-53364</t>
  </si>
  <si>
    <t>AS-53360</t>
  </si>
  <si>
    <t>AS-53359</t>
  </si>
  <si>
    <t>AR-14654</t>
  </si>
  <si>
    <t>RF-40227</t>
  </si>
  <si>
    <t>AS-53361</t>
  </si>
  <si>
    <t>AS-53401</t>
  </si>
  <si>
    <t>AS-53399</t>
  </si>
  <si>
    <t>AS-53396</t>
  </si>
  <si>
    <t>AS-53395</t>
  </si>
  <si>
    <t>AS-53391</t>
  </si>
  <si>
    <t>AS-53385</t>
  </si>
  <si>
    <t>AS-53374</t>
  </si>
  <si>
    <t>AS-53370</t>
  </si>
  <si>
    <t>AS-53369</t>
  </si>
  <si>
    <t>AR-14655</t>
  </si>
  <si>
    <t>RF-40239</t>
  </si>
  <si>
    <t>RF-40240</t>
  </si>
  <si>
    <t>RF-40238</t>
  </si>
  <si>
    <t>RF-40237</t>
  </si>
  <si>
    <t>RF-40236</t>
  </si>
  <si>
    <t>RF-40232</t>
  </si>
  <si>
    <t>RF-40226</t>
  </si>
  <si>
    <t>RF-40223</t>
  </si>
  <si>
    <t>RF-40222</t>
  </si>
  <si>
    <t>RF-40221</t>
  </si>
  <si>
    <t>AS-53402</t>
  </si>
  <si>
    <t>AS-53393</t>
  </si>
  <si>
    <t>AS-53388</t>
  </si>
  <si>
    <t>AS-53382</t>
  </si>
  <si>
    <t>AS-53363</t>
  </si>
  <si>
    <t>AS-53362</t>
  </si>
  <si>
    <t>RF-40261</t>
  </si>
  <si>
    <t>RF-40259</t>
  </si>
  <si>
    <t>RF-40257</t>
  </si>
  <si>
    <t>RF-40256</t>
  </si>
  <si>
    <t>RF-40255</t>
  </si>
  <si>
    <t>RF-40254</t>
  </si>
  <si>
    <t>RF-40253</t>
  </si>
  <si>
    <t>RF-40252</t>
  </si>
  <si>
    <t>RF-40251</t>
  </si>
  <si>
    <t>RF-40250</t>
  </si>
  <si>
    <t>RF-40249</t>
  </si>
  <si>
    <t>RF-40248</t>
  </si>
  <si>
    <t>RF-40247</t>
  </si>
  <si>
    <t>RF-40246</t>
  </si>
  <si>
    <t>AS-53473</t>
  </si>
  <si>
    <t>AS-53465</t>
  </si>
  <si>
    <t>AS-53463</t>
  </si>
  <si>
    <t>AS-53460</t>
  </si>
  <si>
    <t>AS-53459</t>
  </si>
  <si>
    <t>AS-53453</t>
  </si>
  <si>
    <t>AS-53452</t>
  </si>
  <si>
    <t>AS-53451</t>
  </si>
  <si>
    <t>AS-53449</t>
  </si>
  <si>
    <t>AS-53448</t>
  </si>
  <si>
    <t>AS-53443</t>
  </si>
  <si>
    <t>AS-53442</t>
  </si>
  <si>
    <t>AS-53441</t>
  </si>
  <si>
    <t>AS-53428</t>
  </si>
  <si>
    <t>AS-53436</t>
  </si>
  <si>
    <t>AS-53429</t>
  </si>
  <si>
    <t>AS-53427</t>
  </si>
  <si>
    <t>AS-53426</t>
  </si>
  <si>
    <t>AS-53425</t>
  </si>
  <si>
    <t>AS-53424</t>
  </si>
  <si>
    <t>AS-53423</t>
  </si>
  <si>
    <t>AS-53422</t>
  </si>
  <si>
    <t>AS-53421</t>
  </si>
  <si>
    <t>AS-53418</t>
  </si>
  <si>
    <t>AS-53415</t>
  </si>
  <si>
    <t>AS-53414</t>
  </si>
  <si>
    <t>AS-53413</t>
  </si>
  <si>
    <t>AS-53412</t>
  </si>
  <si>
    <t>AR-14670</t>
  </si>
  <si>
    <t>AR-14669</t>
  </si>
  <si>
    <t>AR-14668</t>
  </si>
  <si>
    <t>AR-14666</t>
  </si>
  <si>
    <t>AR-14664</t>
  </si>
  <si>
    <t>AR-14663</t>
  </si>
  <si>
    <t>RF-40303</t>
  </si>
  <si>
    <t>RF-40302</t>
  </si>
  <si>
    <t>RF-40301</t>
  </si>
  <si>
    <t>RF-40300</t>
  </si>
  <si>
    <t>RF-40299</t>
  </si>
  <si>
    <t>AS-53480</t>
  </si>
  <si>
    <t>AS-53479</t>
  </si>
  <si>
    <t>AS-53478</t>
  </si>
  <si>
    <t>AS-53477</t>
  </si>
  <si>
    <t>AS-53476</t>
  </si>
  <si>
    <t>AS-53475</t>
  </si>
  <si>
    <t>AS-53474</t>
  </si>
  <si>
    <t>AR-14675</t>
  </si>
  <si>
    <t>AR-14674</t>
  </si>
  <si>
    <t>AR-14673</t>
  </si>
  <si>
    <t>AR-14672</t>
  </si>
  <si>
    <t>AR-14671</t>
  </si>
  <si>
    <t>RF-40307</t>
  </si>
  <si>
    <t>RF-40304</t>
  </si>
  <si>
    <t>AS-53504</t>
  </si>
  <si>
    <t>AS-53503</t>
  </si>
  <si>
    <t>AS-53502</t>
  </si>
  <si>
    <t>AS-53498</t>
  </si>
  <si>
    <t>AS-53495</t>
  </si>
  <si>
    <t>AS-53493</t>
  </si>
  <si>
    <t>AS-53485</t>
  </si>
  <si>
    <t>AS-53483</t>
  </si>
  <si>
    <t>AS-53481</t>
  </si>
  <si>
    <t>AR-14677</t>
  </si>
  <si>
    <t>AR-14676</t>
  </si>
  <si>
    <t>RF-40310</t>
  </si>
  <si>
    <t>RF-40309</t>
  </si>
  <si>
    <t>RF-40305</t>
  </si>
  <si>
    <t>AS-53499</t>
  </si>
  <si>
    <t>AS-53497</t>
  </si>
  <si>
    <t>AS-53492</t>
  </si>
  <si>
    <t>AS-53486</t>
  </si>
  <si>
    <t>AS-53505</t>
  </si>
  <si>
    <t>AS-53501</t>
  </si>
  <si>
    <t>AS-53487</t>
  </si>
  <si>
    <t>AS-53482</t>
  </si>
  <si>
    <t>RF-40265</t>
  </si>
  <si>
    <t>RF-40311</t>
  </si>
  <si>
    <t>AS-53496</t>
  </si>
  <si>
    <t>AS-53494</t>
  </si>
  <si>
    <t>AS-53491</t>
  </si>
  <si>
    <t>AS-53490</t>
  </si>
  <si>
    <t>AS-53489</t>
  </si>
  <si>
    <t>AS-53488</t>
  </si>
  <si>
    <t>RF-40332</t>
  </si>
  <si>
    <t>RF-40331</t>
  </si>
  <si>
    <t>RF-40330</t>
  </si>
  <si>
    <t>RF-40327</t>
  </si>
  <si>
    <t>RF-40326</t>
  </si>
  <si>
    <t>RF-40325</t>
  </si>
  <si>
    <t>RF-40324</t>
  </si>
  <si>
    <t>RF-40323</t>
  </si>
  <si>
    <t>RF-40322</t>
  </si>
  <si>
    <t>RF-40321</t>
  </si>
  <si>
    <t>RF-40319</t>
  </si>
  <si>
    <t>RF-40318</t>
  </si>
  <si>
    <t>AS-53539</t>
  </si>
  <si>
    <t>AS-53538</t>
  </si>
  <si>
    <t>AS-53537</t>
  </si>
  <si>
    <t>AS-53536</t>
  </si>
  <si>
    <t>AS-53535</t>
  </si>
  <si>
    <t>AS-53532</t>
  </si>
  <si>
    <t>AS-53531</t>
  </si>
  <si>
    <t>AS-53530</t>
  </si>
  <si>
    <t>AS-53529</t>
  </si>
  <si>
    <t>AS-53528</t>
  </si>
  <si>
    <t>AS-53527</t>
  </si>
  <si>
    <t>AS-53526</t>
  </si>
  <si>
    <t>AS-53525</t>
  </si>
  <si>
    <t>AS-53522</t>
  </si>
  <si>
    <t>AS-53520</t>
  </si>
  <si>
    <t>AS-53518</t>
  </si>
  <si>
    <t>AS-53517</t>
  </si>
  <si>
    <t>AS-53516</t>
  </si>
  <si>
    <t>AR-14689</t>
  </si>
  <si>
    <t>AR-14687</t>
  </si>
  <si>
    <t>AR-14686</t>
  </si>
  <si>
    <t>AR-14683</t>
  </si>
  <si>
    <t>AR-14682</t>
  </si>
  <si>
    <t>AR-14681</t>
  </si>
  <si>
    <t>AR-14680</t>
  </si>
  <si>
    <t>RF-40351</t>
  </si>
  <si>
    <t>RF-40350</t>
  </si>
  <si>
    <t>RF-40349</t>
  </si>
  <si>
    <t>RF-40348</t>
  </si>
  <si>
    <t>RF-40347</t>
  </si>
  <si>
    <t>RF-40346</t>
  </si>
  <si>
    <t>RF-40345</t>
  </si>
  <si>
    <t>RF-40343</t>
  </si>
  <si>
    <t>RF-40342</t>
  </si>
  <si>
    <t>RF-40341</t>
  </si>
  <si>
    <t>RF-40340</t>
  </si>
  <si>
    <t>RF-40339</t>
  </si>
  <si>
    <t>RF-40336</t>
  </si>
  <si>
    <t>RF-40335</t>
  </si>
  <si>
    <t>RF-40334</t>
  </si>
  <si>
    <t>AS-53562</t>
  </si>
  <si>
    <t>AS-53561</t>
  </si>
  <si>
    <t>AS-53560</t>
  </si>
  <si>
    <t>AS-53559</t>
  </si>
  <si>
    <t>AS-53557</t>
  </si>
  <si>
    <t>AS-53556</t>
  </si>
  <si>
    <t>AS-53555</t>
  </si>
  <si>
    <t>AS-53554</t>
  </si>
  <si>
    <t>AS-53553</t>
  </si>
  <si>
    <t>AS-53552</t>
  </si>
  <si>
    <t>AS-53551</t>
  </si>
  <si>
    <t>AS-53550</t>
  </si>
  <si>
    <t>AS-53549</t>
  </si>
  <si>
    <t>AS-53548</t>
  </si>
  <si>
    <t>AS-53547</t>
  </si>
  <si>
    <t>AS-53546</t>
  </si>
  <si>
    <t>AS-53545</t>
  </si>
  <si>
    <t>AS-53543</t>
  </si>
  <si>
    <t>AR-14698</t>
  </si>
  <si>
    <t>AR-14697</t>
  </si>
  <si>
    <t>AR-14695</t>
  </si>
  <si>
    <t>AR-14693</t>
  </si>
  <si>
    <t>AR-14692</t>
  </si>
  <si>
    <t>AR-14690</t>
  </si>
  <si>
    <t>RF-40317</t>
  </si>
  <si>
    <t>RF-40316</t>
  </si>
  <si>
    <t>RF-40315</t>
  </si>
  <si>
    <t>RF-40314</t>
  </si>
  <si>
    <t>RF-40313</t>
  </si>
  <si>
    <t>RF-40312</t>
  </si>
  <si>
    <t>AS-53515</t>
  </si>
  <si>
    <t>AS-53510</t>
  </si>
  <si>
    <t>AS-53507</t>
  </si>
  <si>
    <t>AR-14679</t>
  </si>
  <si>
    <t>AR-14678</t>
  </si>
  <si>
    <t>RF-40353</t>
  </si>
  <si>
    <t>RF-40352</t>
  </si>
  <si>
    <t>RF-40368</t>
  </si>
  <si>
    <t>RF-40367</t>
  </si>
  <si>
    <t>RF-40366</t>
  </si>
  <si>
    <t>RF-40362</t>
  </si>
  <si>
    <t>RF-40365</t>
  </si>
  <si>
    <t>RF-40364</t>
  </si>
  <si>
    <t>RF-40363</t>
  </si>
  <si>
    <t>RF-40361</t>
  </si>
  <si>
    <t>RF-40360</t>
  </si>
  <si>
    <t>RF-40359</t>
  </si>
  <si>
    <t>AS-53593</t>
  </si>
  <si>
    <t>AS-53592</t>
  </si>
  <si>
    <t>AS-53591</t>
  </si>
  <si>
    <t>AS-53590</t>
  </si>
  <si>
    <t>AS-53589</t>
  </si>
  <si>
    <t>AS-53588</t>
  </si>
  <si>
    <t>AS-53585</t>
  </si>
  <si>
    <t>AS-53583</t>
  </si>
  <si>
    <t>AS-53582</t>
  </si>
  <si>
    <t>AS-52581</t>
  </si>
  <si>
    <t>AS-53579</t>
  </si>
  <si>
    <t>AS-53580</t>
  </si>
  <si>
    <t>AS-53578</t>
  </si>
  <si>
    <t>AS-53576</t>
  </si>
  <si>
    <t>AS-53575</t>
  </si>
  <si>
    <t>AS-53574</t>
  </si>
  <si>
    <t>AS-53573</t>
  </si>
  <si>
    <t>AS-53572</t>
  </si>
  <si>
    <t>AS-53571</t>
  </si>
  <si>
    <t>AS-14702</t>
  </si>
  <si>
    <t>AR-14701</t>
  </si>
  <si>
    <t>AR-14700</t>
  </si>
  <si>
    <t>AS-53577</t>
  </si>
  <si>
    <t>RF-40358</t>
  </si>
  <si>
    <t>RF-40357</t>
  </si>
  <si>
    <t>RF-40356</t>
  </si>
  <si>
    <t>RF-40355</t>
  </si>
  <si>
    <t>RF-40354</t>
  </si>
  <si>
    <t>AS-53570</t>
  </si>
  <si>
    <t>AS-53569</t>
  </si>
  <si>
    <t>AS-53568</t>
  </si>
  <si>
    <t>AS-53567</t>
  </si>
  <si>
    <t>AS-53566</t>
  </si>
  <si>
    <t>AS-53565</t>
  </si>
  <si>
    <t>AS-53564</t>
  </si>
  <si>
    <t>AR-14699</t>
  </si>
  <si>
    <t>RF-40378</t>
  </si>
  <si>
    <t>RF-40377</t>
  </si>
  <si>
    <t>RF-40376</t>
  </si>
  <si>
    <t>RF-40375</t>
  </si>
  <si>
    <t>RF-40374</t>
  </si>
  <si>
    <t>RF-40373</t>
  </si>
  <si>
    <t>RF-40372</t>
  </si>
  <si>
    <t>RF-40371</t>
  </si>
  <si>
    <t>RF-40370</t>
  </si>
  <si>
    <t>AS-53600</t>
  </si>
  <si>
    <t>AS-53599</t>
  </si>
  <si>
    <t>AS-53597</t>
  </si>
  <si>
    <t>AS-53596</t>
  </si>
  <si>
    <t>AS-53595</t>
  </si>
  <si>
    <t>AS-53594</t>
  </si>
  <si>
    <t>AR-14707</t>
  </si>
  <si>
    <t>AR-14704</t>
  </si>
  <si>
    <t>AR-14703</t>
  </si>
  <si>
    <t>RF-40391</t>
  </si>
  <si>
    <t>RF-40390</t>
  </si>
  <si>
    <t>RF-40389</t>
  </si>
  <si>
    <t>RF-40388</t>
  </si>
  <si>
    <t>RF-40387</t>
  </si>
  <si>
    <t>RF-40386</t>
  </si>
  <si>
    <t>RF-40385</t>
  </si>
  <si>
    <t>RF-40384</t>
  </si>
  <si>
    <t>RF-40383</t>
  </si>
  <si>
    <t>RF-40382</t>
  </si>
  <si>
    <t>RF-40381</t>
  </si>
  <si>
    <t>RF-40380</t>
  </si>
  <si>
    <t>RF-40379</t>
  </si>
  <si>
    <t>AS-53617</t>
  </si>
  <si>
    <t>AS-53616</t>
  </si>
  <si>
    <t>AS-53615</t>
  </si>
  <si>
    <t>AS-53614</t>
  </si>
  <si>
    <t>AS-53613</t>
  </si>
  <si>
    <t>AS-53609</t>
  </si>
  <si>
    <t>AS-53608</t>
  </si>
  <si>
    <t>AS-53607</t>
  </si>
  <si>
    <t>AS-53606</t>
  </si>
  <si>
    <t>AS-53605</t>
  </si>
  <si>
    <t>AS-53604</t>
  </si>
  <si>
    <t>AS-53603</t>
  </si>
  <si>
    <t>AS-53602</t>
  </si>
  <si>
    <t>AS-53601</t>
  </si>
  <si>
    <t>AR-14715</t>
  </si>
  <si>
    <t>AR-14713</t>
  </si>
  <si>
    <t>AR-14712</t>
  </si>
  <si>
    <t>RF-40412</t>
  </si>
  <si>
    <t>RF-40411</t>
  </si>
  <si>
    <t>RF-40410</t>
  </si>
  <si>
    <t>RF-40409</t>
  </si>
  <si>
    <t>RF-40408</t>
  </si>
  <si>
    <t>RF-40407</t>
  </si>
  <si>
    <t>RF-40406</t>
  </si>
  <si>
    <t>RF-40404</t>
  </si>
  <si>
    <t>RF-40403</t>
  </si>
  <si>
    <t>RF-40402</t>
  </si>
  <si>
    <t>AS-53645</t>
  </si>
  <si>
    <t>AS-53644</t>
  </si>
  <si>
    <t>AS-53642</t>
  </si>
  <si>
    <t>AS-53641</t>
  </si>
  <si>
    <t>AS-53640</t>
  </si>
  <si>
    <t>AS-53639</t>
  </si>
  <si>
    <t>AS-53638</t>
  </si>
  <si>
    <t>AS-53637</t>
  </si>
  <si>
    <t>AS-53636</t>
  </si>
  <si>
    <t>AS-53635</t>
  </si>
  <si>
    <t>AS-53634</t>
  </si>
  <si>
    <t>AS-53633</t>
  </si>
  <si>
    <t>AS-53632</t>
  </si>
  <si>
    <t>AS-53631</t>
  </si>
  <si>
    <t>AS-53630</t>
  </si>
  <si>
    <t>AS-53629</t>
  </si>
  <si>
    <t>AS-53628</t>
  </si>
  <si>
    <t>AS-53627</t>
  </si>
  <si>
    <t>AS-53626</t>
  </si>
  <si>
    <t>AS-53625</t>
  </si>
  <si>
    <t>AS-53624</t>
  </si>
  <si>
    <t>AS-53623</t>
  </si>
  <si>
    <t>AR-14721</t>
  </si>
  <si>
    <t>AR-14719</t>
  </si>
  <si>
    <t>AR-14718</t>
  </si>
  <si>
    <t>AS-14717</t>
  </si>
  <si>
    <t>AR-14716</t>
  </si>
  <si>
    <t>RF-40401</t>
  </si>
  <si>
    <t>RF-40400</t>
  </si>
  <si>
    <t>RF-40398</t>
  </si>
  <si>
    <t>RF-40397</t>
  </si>
  <si>
    <t>RF-40396</t>
  </si>
  <si>
    <t>RF-40395</t>
  </si>
  <si>
    <t>RF-40394</t>
  </si>
  <si>
    <t>RF-40393</t>
  </si>
  <si>
    <t>RF-40392</t>
  </si>
  <si>
    <t>AS-53622</t>
  </si>
  <si>
    <t>AS-53621</t>
  </si>
  <si>
    <t>AS-53620</t>
  </si>
  <si>
    <t>RF-40418</t>
  </si>
  <si>
    <t>RF-40416</t>
  </si>
  <si>
    <t>RF-40415</t>
  </si>
  <si>
    <t>RF-40414</t>
  </si>
  <si>
    <t>RF-40413</t>
  </si>
  <si>
    <t>AS-53656</t>
  </si>
  <si>
    <t>AS-53655</t>
  </si>
  <si>
    <t>AS-53654</t>
  </si>
  <si>
    <t>AS-53653</t>
  </si>
  <si>
    <t>AS-53652</t>
  </si>
  <si>
    <t>AS-53648</t>
  </si>
  <si>
    <t>AS-53646</t>
  </si>
  <si>
    <t>AR-14729</t>
  </si>
  <si>
    <t>AR-14727</t>
  </si>
  <si>
    <t>AR-14726</t>
  </si>
  <si>
    <t>AR-14725</t>
  </si>
  <si>
    <t>AR-14722</t>
  </si>
  <si>
    <t>RF-40430</t>
  </si>
  <si>
    <t>RF-40429</t>
  </si>
  <si>
    <t>RF-40428</t>
  </si>
  <si>
    <t>RF-40427</t>
  </si>
  <si>
    <t>RF-40426</t>
  </si>
  <si>
    <t>RF-40425</t>
  </si>
  <si>
    <t>RF-40424</t>
  </si>
  <si>
    <t>RF-40423</t>
  </si>
  <si>
    <t>RF-40422</t>
  </si>
  <si>
    <t>RF-40419</t>
  </si>
  <si>
    <t>AS-53683</t>
  </si>
  <si>
    <t>AS-53679</t>
  </si>
  <si>
    <t>AS-53677</t>
  </si>
  <si>
    <t>AS-53676</t>
  </si>
  <si>
    <t>AS-53675</t>
  </si>
  <si>
    <t>AS-53674</t>
  </si>
  <si>
    <t>AS-53673</t>
  </si>
  <si>
    <t>AS-53672</t>
  </si>
  <si>
    <t>AS-53671</t>
  </si>
  <si>
    <t>AS-53669</t>
  </si>
  <si>
    <t>AS-53668</t>
  </si>
  <si>
    <t>AS-53667</t>
  </si>
  <si>
    <t>AS-53666</t>
  </si>
  <si>
    <t>AS-53664</t>
  </si>
  <si>
    <t>AS-53662</t>
  </si>
  <si>
    <t>AS-53661</t>
  </si>
  <si>
    <t>AS-53660</t>
  </si>
  <si>
    <t>AS-53659</t>
  </si>
  <si>
    <t>AS-53658</t>
  </si>
  <si>
    <t>AS-53657</t>
  </si>
  <si>
    <t>AR-14731</t>
  </si>
  <si>
    <t>RF-40435</t>
  </si>
  <si>
    <t>RF-40434</t>
  </si>
  <si>
    <t>RF-40433</t>
  </si>
  <si>
    <t>RF-40432</t>
  </si>
  <si>
    <t>RF-40431</t>
  </si>
  <si>
    <t>AS-53691</t>
  </si>
  <si>
    <t>AS-53690</t>
  </si>
  <si>
    <t>AS-53689</t>
  </si>
  <si>
    <t>AS-53688</t>
  </si>
  <si>
    <t>AS-53687</t>
  </si>
  <si>
    <t>AS-53686</t>
  </si>
  <si>
    <t>AS-53685</t>
  </si>
  <si>
    <t>AR-14733</t>
  </si>
  <si>
    <t>RF-40447</t>
  </si>
  <si>
    <t>RF-40446</t>
  </si>
  <si>
    <t>RF-40442</t>
  </si>
  <si>
    <t>RF-40441</t>
  </si>
  <si>
    <t>RF-40440</t>
  </si>
  <si>
    <t>RF-40439</t>
  </si>
  <si>
    <t>RF-40438</t>
  </si>
  <si>
    <t>RF-40437</t>
  </si>
  <si>
    <t>RF-40436</t>
  </si>
  <si>
    <t>AS-53725</t>
  </si>
  <si>
    <t>AS-53724</t>
  </si>
  <si>
    <t>AS-53719</t>
  </si>
  <si>
    <t>AS-53718</t>
  </si>
  <si>
    <t>AS-53717</t>
  </si>
  <si>
    <t>AS-53716</t>
  </si>
  <si>
    <t>AS-53715</t>
  </si>
  <si>
    <t>AS-53713</t>
  </si>
  <si>
    <t>AS-53712</t>
  </si>
  <si>
    <t>AS-53711</t>
  </si>
  <si>
    <t>AS-53710</t>
  </si>
  <si>
    <t>AS-53709</t>
  </si>
  <si>
    <t>AS-53708</t>
  </si>
  <si>
    <t>AS-53707</t>
  </si>
  <si>
    <t>AS-53706</t>
  </si>
  <si>
    <t>AS-53705</t>
  </si>
  <si>
    <t>AS-53704</t>
  </si>
  <si>
    <t>AS-53702</t>
  </si>
  <si>
    <t>AS-53701</t>
  </si>
  <si>
    <t>AS-53700</t>
  </si>
  <si>
    <t>AS-53699</t>
  </si>
  <si>
    <t>AS-53698</t>
  </si>
  <si>
    <t>AS-53697</t>
  </si>
  <si>
    <t>AS-53694</t>
  </si>
  <si>
    <t>AS-53692</t>
  </si>
  <si>
    <t>AR-14741</t>
  </si>
  <si>
    <t>AR-14739</t>
  </si>
  <si>
    <t>AR-14737</t>
  </si>
  <si>
    <t>AR-14735</t>
  </si>
  <si>
    <t>AR-14734</t>
  </si>
  <si>
    <t>RF-40458</t>
  </si>
  <si>
    <t>RF-40457</t>
  </si>
  <si>
    <t>RF-40456</t>
  </si>
  <si>
    <t>RF-40455</t>
  </si>
  <si>
    <t>RF-40454</t>
  </si>
  <si>
    <t>RF-40453</t>
  </si>
  <si>
    <t>RF-40452</t>
  </si>
  <si>
    <t>RF-40451</t>
  </si>
  <si>
    <t>RF-40450</t>
  </si>
  <si>
    <t>RF-40449</t>
  </si>
  <si>
    <t>AS-53770</t>
  </si>
  <si>
    <t>AS-53769</t>
  </si>
  <si>
    <t>AS-53767</t>
  </si>
  <si>
    <t>AS-53766</t>
  </si>
  <si>
    <t>AS-53765</t>
  </si>
  <si>
    <t>AS-53764</t>
  </si>
  <si>
    <t>AS-53763</t>
  </si>
  <si>
    <t>AS-53762</t>
  </si>
  <si>
    <t>AS-53761</t>
  </si>
  <si>
    <t>AS-53760</t>
  </si>
  <si>
    <t>AS-53759</t>
  </si>
  <si>
    <t>AS-53758</t>
  </si>
  <si>
    <t>AS-53756</t>
  </si>
  <si>
    <t>AS-53755</t>
  </si>
  <si>
    <t>AS-53754</t>
  </si>
  <si>
    <t>AS-53753</t>
  </si>
  <si>
    <t>AS-53752</t>
  </si>
  <si>
    <t>AS-53751</t>
  </si>
  <si>
    <t>AS-53750</t>
  </si>
  <si>
    <t>AS-53749</t>
  </si>
  <si>
    <t>AS-53748</t>
  </si>
  <si>
    <t>AS-53747</t>
  </si>
  <si>
    <t>AS-53741</t>
  </si>
  <si>
    <t>AS-53739</t>
  </si>
  <si>
    <t>AS-53731</t>
  </si>
  <si>
    <t>AS-53729</t>
  </si>
  <si>
    <t>AS-53728</t>
  </si>
  <si>
    <t>AS-53726</t>
  </si>
  <si>
    <t>AR-14753</t>
  </si>
  <si>
    <t>AR-14752</t>
  </si>
  <si>
    <t>AR-14751</t>
  </si>
  <si>
    <t>AR-14748</t>
  </si>
  <si>
    <t>AR-14747</t>
  </si>
  <si>
    <t>AR-14746</t>
  </si>
  <si>
    <t>AR14745</t>
  </si>
  <si>
    <t>AR-14744</t>
  </si>
  <si>
    <t>AR-14742</t>
  </si>
  <si>
    <t>RF-40448</t>
  </si>
  <si>
    <t>RF-40466</t>
  </si>
  <si>
    <t>RF-40464</t>
  </si>
  <si>
    <t>RF-40462</t>
  </si>
  <si>
    <t>RF-40461</t>
  </si>
  <si>
    <t>RF-40460</t>
  </si>
  <si>
    <t>AS-53777</t>
  </si>
  <si>
    <t>AS-53776</t>
  </si>
  <si>
    <t>AS-53775</t>
  </si>
  <si>
    <t>AS-53773</t>
  </si>
  <si>
    <t>AS-53772</t>
  </si>
  <si>
    <t>AR-14760</t>
  </si>
  <si>
    <t>AR-14757</t>
  </si>
  <si>
    <t>RF-40489</t>
  </si>
  <si>
    <t>RF-40488</t>
  </si>
  <si>
    <t>RF-40487</t>
  </si>
  <si>
    <t>RF-40485</t>
  </si>
  <si>
    <t>RF-40484</t>
  </si>
  <si>
    <t>RF-40483</t>
  </si>
  <si>
    <t>RF-40480</t>
  </si>
  <si>
    <t>RF-40479</t>
  </si>
  <si>
    <t>RF-40478</t>
  </si>
  <si>
    <t>RF-40477</t>
  </si>
  <si>
    <t>RF-40476</t>
  </si>
  <si>
    <t>RF-40475</t>
  </si>
  <si>
    <t>RF-40474</t>
  </si>
  <si>
    <t>RF-40473</t>
  </si>
  <si>
    <t>RF-40472</t>
  </si>
  <si>
    <t>RF-40471</t>
  </si>
  <si>
    <t>RF-40470</t>
  </si>
  <si>
    <t>RF-40468</t>
  </si>
  <si>
    <t>AS-53840</t>
  </si>
  <si>
    <t>AS-53839</t>
  </si>
  <si>
    <t>AS-53838</t>
  </si>
  <si>
    <t>AS-53837</t>
  </si>
  <si>
    <t>AS-53829</t>
  </si>
  <si>
    <t>AS-53817</t>
  </si>
  <si>
    <t>AS-53816</t>
  </si>
  <si>
    <t>AS-53815</t>
  </si>
  <si>
    <t>AS-53811</t>
  </si>
  <si>
    <t>AS-53810</t>
  </si>
  <si>
    <t>AS-53791</t>
  </si>
  <si>
    <t>AR-14767</t>
  </si>
  <si>
    <t>AR-14761</t>
  </si>
  <si>
    <t>RF-40499</t>
  </si>
  <si>
    <t>RF-40498</t>
  </si>
  <si>
    <t>RF-40497</t>
  </si>
  <si>
    <t>RF-40494</t>
  </si>
  <si>
    <t>RF-40493</t>
  </si>
  <si>
    <t>RF-40492</t>
  </si>
  <si>
    <t>RF-40491</t>
  </si>
  <si>
    <t>RF-40490</t>
  </si>
  <si>
    <t>AS-53845</t>
  </si>
  <si>
    <t>AS-53844</t>
  </si>
  <si>
    <t>AS-53843</t>
  </si>
  <si>
    <t>AS-53842</t>
  </si>
  <si>
    <t>AS-53841</t>
  </si>
  <si>
    <t>AR-41771</t>
  </si>
  <si>
    <t>AR-14770</t>
  </si>
  <si>
    <t>AR-14768</t>
  </si>
  <si>
    <t>RF-40516</t>
  </si>
  <si>
    <t>RF-40515</t>
  </si>
  <si>
    <t>RF-40514</t>
  </si>
  <si>
    <t>RF-40513.</t>
  </si>
  <si>
    <t>RF-40512</t>
  </si>
  <si>
    <t>AS-53877</t>
  </si>
  <si>
    <t>AS-53876</t>
  </si>
  <si>
    <t>RF-40511</t>
  </si>
  <si>
    <t>RF-40510</t>
  </si>
  <si>
    <t>RF-40509</t>
  </si>
  <si>
    <t>RF-40508</t>
  </si>
  <si>
    <t>RF-40505</t>
  </si>
  <si>
    <t>RF-40504</t>
  </si>
  <si>
    <t>RF-40503</t>
  </si>
  <si>
    <t>RF-40502</t>
  </si>
  <si>
    <t>RF-40501</t>
  </si>
  <si>
    <t>RF-40500</t>
  </si>
  <si>
    <t>AS-53874</t>
  </si>
  <si>
    <t>AS-53873</t>
  </si>
  <si>
    <t>AS-53872</t>
  </si>
  <si>
    <t>AS-53871</t>
  </si>
  <si>
    <t>AS-53870</t>
  </si>
  <si>
    <t>AS-53869</t>
  </si>
  <si>
    <t>AS-53868</t>
  </si>
  <si>
    <t>AS-53867</t>
  </si>
  <si>
    <t>AS-53866</t>
  </si>
  <si>
    <t>AS-53865</t>
  </si>
  <si>
    <t>AS-53863</t>
  </si>
  <si>
    <t>AS-53862</t>
  </si>
  <si>
    <t>AS-53861</t>
  </si>
  <si>
    <t>AS-53860</t>
  </si>
  <si>
    <t>AS-53859</t>
  </si>
  <si>
    <t>AS-53858</t>
  </si>
  <si>
    <t>AS-53857</t>
  </si>
  <si>
    <t>AS-53855</t>
  </si>
  <si>
    <t>AS-53854</t>
  </si>
  <si>
    <t>AS-53853</t>
  </si>
  <si>
    <t>AS-53852</t>
  </si>
  <si>
    <t>AS-53851</t>
  </si>
  <si>
    <t>AS-53850</t>
  </si>
  <si>
    <t>AS-53849</t>
  </si>
  <si>
    <t>AS-53848</t>
  </si>
  <si>
    <t>AS-53847</t>
  </si>
  <si>
    <t>AS-53846</t>
  </si>
  <si>
    <t>AR-14776</t>
  </si>
  <si>
    <t>RF-40459</t>
  </si>
  <si>
    <t>RF-40532</t>
  </si>
  <si>
    <t>RF-40531</t>
  </si>
  <si>
    <t>RF-40530</t>
  </si>
  <si>
    <t>RF-40529</t>
  </si>
  <si>
    <t>RF-40528</t>
  </si>
  <si>
    <t>RF-40527</t>
  </si>
  <si>
    <t>RF-40526</t>
  </si>
  <si>
    <t>RF-40525</t>
  </si>
  <si>
    <t>RF-40524</t>
  </si>
  <si>
    <t>RF-40523</t>
  </si>
  <si>
    <t>RF-40521</t>
  </si>
  <si>
    <t>AS-53915</t>
  </si>
  <si>
    <t>AS-53911</t>
  </si>
  <si>
    <t>AS-53909</t>
  </si>
  <si>
    <t>AS-53905</t>
  </si>
  <si>
    <t>AS-53904</t>
  </si>
  <si>
    <t>AS-53901</t>
  </si>
  <si>
    <t>AS-53879</t>
  </si>
  <si>
    <t>AS-53897</t>
  </si>
  <si>
    <t>AS-53893</t>
  </si>
  <si>
    <t>AS-53892</t>
  </si>
  <si>
    <t>AS-53891</t>
  </si>
  <si>
    <t>AS-53890</t>
  </si>
  <si>
    <t>AS-53889</t>
  </si>
  <si>
    <t>AS-53888</t>
  </si>
  <si>
    <t>AS-53886</t>
  </si>
  <si>
    <t>AS-53885</t>
  </si>
  <si>
    <t>AS-53884</t>
  </si>
  <si>
    <t>AS-53882</t>
  </si>
  <si>
    <t>AS-53881</t>
  </si>
  <si>
    <t>AS-53880</t>
  </si>
  <si>
    <t>AS-53878</t>
  </si>
  <si>
    <t>AR-14793</t>
  </si>
  <si>
    <t>AR-14792</t>
  </si>
  <si>
    <t>AR-14789</t>
  </si>
  <si>
    <t>AR-14788</t>
  </si>
  <si>
    <t>AR-14787</t>
  </si>
  <si>
    <t>RF-40535</t>
  </si>
  <si>
    <t>RF-40534</t>
  </si>
  <si>
    <t>RF-40533</t>
  </si>
  <si>
    <t>AS-53925</t>
  </si>
  <si>
    <t>AS-53924</t>
  </si>
  <si>
    <t>AS-53923</t>
  </si>
  <si>
    <t>AS-53922</t>
  </si>
  <si>
    <t>AS-53921</t>
  </si>
  <si>
    <t>AS-53920</t>
  </si>
  <si>
    <t>AR-14796</t>
  </si>
  <si>
    <t>AR-14795</t>
  </si>
  <si>
    <t>RF-40558</t>
  </si>
  <si>
    <t>RF-40557</t>
  </si>
  <si>
    <t>RF-40556</t>
  </si>
  <si>
    <t>RF-40555</t>
  </si>
  <si>
    <t>RF-40554</t>
  </si>
  <si>
    <t>RF-40553</t>
  </si>
  <si>
    <t>RF-40552</t>
  </si>
  <si>
    <t>RF-40550</t>
  </si>
  <si>
    <t>RF-40549</t>
  </si>
  <si>
    <t>RF-40547</t>
  </si>
  <si>
    <t>RF-40546</t>
  </si>
  <si>
    <t>RF-40545</t>
  </si>
  <si>
    <t>RF-40544</t>
  </si>
  <si>
    <t>RF-40543</t>
  </si>
  <si>
    <t>RF-40542</t>
  </si>
  <si>
    <t>RF-40541</t>
  </si>
  <si>
    <t>RF-40540</t>
  </si>
  <si>
    <t>RF-40539</t>
  </si>
  <si>
    <t>RF-40538</t>
  </si>
  <si>
    <t>RF-40537</t>
  </si>
  <si>
    <t>RF-40536</t>
  </si>
  <si>
    <t>AS-53952</t>
  </si>
  <si>
    <t>AS-53951</t>
  </si>
  <si>
    <t>AS-53950</t>
  </si>
  <si>
    <t>AS-53947</t>
  </si>
  <si>
    <t>AS-53945</t>
  </si>
  <si>
    <t>AS-53943</t>
  </si>
  <si>
    <t>AS-53941</t>
  </si>
  <si>
    <t>AS-53940</t>
  </si>
  <si>
    <t>AS-53939</t>
  </si>
  <si>
    <t>AS-53937</t>
  </si>
  <si>
    <t>AS-53936</t>
  </si>
  <si>
    <t>AS-53935</t>
  </si>
  <si>
    <t>AS-53934</t>
  </si>
  <si>
    <t>AS-53933</t>
  </si>
  <si>
    <t>AS-53930</t>
  </si>
  <si>
    <t>AS-53929</t>
  </si>
  <si>
    <t>AS-53928</t>
  </si>
  <si>
    <t>AS-53927</t>
  </si>
  <si>
    <t>AS-53926</t>
  </si>
  <si>
    <t>AR-14802</t>
  </si>
  <si>
    <t>AR-14801</t>
  </si>
  <si>
    <t>AR-14800</t>
  </si>
  <si>
    <t>RF-40565</t>
  </si>
  <si>
    <t>RF-40564</t>
  </si>
  <si>
    <t>RF-40563</t>
  </si>
  <si>
    <t>RF-40562</t>
  </si>
  <si>
    <t>RF-40560</t>
  </si>
  <si>
    <t>RF-40559</t>
  </si>
  <si>
    <t>AS-53958</t>
  </si>
  <si>
    <t>AS-53955</t>
  </si>
  <si>
    <t>AS-53954</t>
  </si>
  <si>
    <t>AR-14803</t>
  </si>
  <si>
    <t>RF-40574</t>
  </si>
  <si>
    <t>RF-40572</t>
  </si>
  <si>
    <t>RF-40569</t>
  </si>
  <si>
    <t>RF-40568</t>
  </si>
  <si>
    <t>RF-40567</t>
  </si>
  <si>
    <t>RF-40566</t>
  </si>
  <si>
    <t>AS-53983</t>
  </si>
  <si>
    <t>AS-53982</t>
  </si>
  <si>
    <t>AS-53980</t>
  </si>
  <si>
    <t>AS-53979</t>
  </si>
  <si>
    <t>AS-53978</t>
  </si>
  <si>
    <t>AS-53977</t>
  </si>
  <si>
    <t>AS-53976</t>
  </si>
  <si>
    <t>AS-53975</t>
  </si>
  <si>
    <t>AS-53974</t>
  </si>
  <si>
    <t>AS-53973</t>
  </si>
  <si>
    <t>AS-53972</t>
  </si>
  <si>
    <t>AS-53971</t>
  </si>
  <si>
    <t>AS-53970</t>
  </si>
  <si>
    <t>AS-53969</t>
  </si>
  <si>
    <t>AS-53968</t>
  </si>
  <si>
    <t>AS-5396</t>
  </si>
  <si>
    <t>AS-53966</t>
  </si>
  <si>
    <t>AS-53965</t>
  </si>
  <si>
    <t>AS-53964</t>
  </si>
  <si>
    <t>AS-53963</t>
  </si>
  <si>
    <t>AS-53962</t>
  </si>
  <si>
    <t>AS-53961</t>
  </si>
  <si>
    <t>AS-53960</t>
  </si>
  <si>
    <t>AS-53959</t>
  </si>
  <si>
    <t>AR-14811</t>
  </si>
  <si>
    <t>AR-14810</t>
  </si>
  <si>
    <t>AR-14809</t>
  </si>
  <si>
    <t>AR-14807</t>
  </si>
  <si>
    <t>RF-40580</t>
  </si>
  <si>
    <t>RF-40579</t>
  </si>
  <si>
    <t>RF-40578</t>
  </si>
  <si>
    <t>RF-40577</t>
  </si>
  <si>
    <t>RF-40576</t>
  </si>
  <si>
    <t>RF-40575</t>
  </si>
  <si>
    <t>AS-54016</t>
  </si>
  <si>
    <t>AS-54015</t>
  </si>
  <si>
    <t>AS-54014</t>
  </si>
  <si>
    <t>AS-54013</t>
  </si>
  <si>
    <t>AS-54012</t>
  </si>
  <si>
    <t>AS-54011</t>
  </si>
  <si>
    <t>AS-54009</t>
  </si>
  <si>
    <t>AS-54008</t>
  </si>
  <si>
    <t>AS-54007</t>
  </si>
  <si>
    <t>AS-54006</t>
  </si>
  <si>
    <t>AS-54005</t>
  </si>
  <si>
    <t>AS-54002</t>
  </si>
  <si>
    <t>AS-54001</t>
  </si>
  <si>
    <t>AS-53997</t>
  </si>
  <si>
    <t>AS-53994</t>
  </si>
  <si>
    <t>AS-53993</t>
  </si>
  <si>
    <t>AS-53992</t>
  </si>
  <si>
    <t>AS-53991</t>
  </si>
  <si>
    <t>AS-53990</t>
  </si>
  <si>
    <t>AS-53989</t>
  </si>
  <si>
    <t>AS-53986</t>
  </si>
  <si>
    <t>AS-53984</t>
  </si>
  <si>
    <t>AR-14820</t>
  </si>
  <si>
    <t>AR-14819</t>
  </si>
  <si>
    <t>AR-14818</t>
  </si>
  <si>
    <t>AR-14817</t>
  </si>
  <si>
    <t>AR-14815</t>
  </si>
  <si>
    <t>AR-14814</t>
  </si>
  <si>
    <t>AR-14812</t>
  </si>
  <si>
    <t>RF-40582</t>
  </si>
  <si>
    <t>RF-40581</t>
  </si>
  <si>
    <t>RF-40587</t>
  </si>
  <si>
    <t>RF-40586</t>
  </si>
  <si>
    <t>RF-40583</t>
  </si>
  <si>
    <t>AS-54022</t>
  </si>
  <si>
    <t>AS-54017</t>
  </si>
  <si>
    <t>AR-14823</t>
  </si>
  <si>
    <t>AR-14821</t>
  </si>
  <si>
    <t>RF-40624</t>
  </si>
  <si>
    <t>RF-40623</t>
  </si>
  <si>
    <t>RF-40622</t>
  </si>
  <si>
    <t>RF-40621</t>
  </si>
  <si>
    <t>RF-40620</t>
  </si>
  <si>
    <t>RF-40619</t>
  </si>
  <si>
    <t>RF-40618</t>
  </si>
  <si>
    <t>RF-40617</t>
  </si>
  <si>
    <t>RF-40616</t>
  </si>
  <si>
    <t>RF-40615</t>
  </si>
  <si>
    <t>RF-40614</t>
  </si>
  <si>
    <t>RF-40613</t>
  </si>
  <si>
    <t>RF-40612</t>
  </si>
  <si>
    <t>RF-40611</t>
  </si>
  <si>
    <t>RF-40610</t>
  </si>
  <si>
    <t>RF-40609</t>
  </si>
  <si>
    <t>AS-54108</t>
  </si>
  <si>
    <t>AS-54107</t>
  </si>
  <si>
    <t>AS-54106</t>
  </si>
  <si>
    <t>AS-54105</t>
  </si>
  <si>
    <t>AS-54104</t>
  </si>
  <si>
    <t>AS-54103</t>
  </si>
  <si>
    <t>AS-54102</t>
  </si>
  <si>
    <t>AS-54101</t>
  </si>
  <si>
    <t>AS-54100</t>
  </si>
  <si>
    <t>AS-54099</t>
  </si>
  <si>
    <t>AS-54098</t>
  </si>
  <si>
    <t>AS-54097</t>
  </si>
  <si>
    <t>AS-54096</t>
  </si>
  <si>
    <t>AS-54095</t>
  </si>
  <si>
    <t>AS-54094</t>
  </si>
  <si>
    <t>AS-54093</t>
  </si>
  <si>
    <t>AS-54092</t>
  </si>
  <si>
    <t>AS-54091</t>
  </si>
  <si>
    <t>AS-54090</t>
  </si>
  <si>
    <t>AS-54087</t>
  </si>
  <si>
    <t>AS-54086</t>
  </si>
  <si>
    <t>AS-54085</t>
  </si>
  <si>
    <t>AS-54084</t>
  </si>
  <si>
    <t>AS-54083</t>
  </si>
  <si>
    <t>AR-14834</t>
  </si>
  <si>
    <t>AR-14833</t>
  </si>
  <si>
    <t>AR-14832</t>
  </si>
  <si>
    <t>RF-40602</t>
  </si>
  <si>
    <t>RF-40601</t>
  </si>
  <si>
    <t>RF-40600</t>
  </si>
  <si>
    <t>RF-40599</t>
  </si>
  <si>
    <t>RF-40598</t>
  </si>
  <si>
    <t>RF-40597</t>
  </si>
  <si>
    <t>RF-40596</t>
  </si>
  <si>
    <t>RF-40595</t>
  </si>
  <si>
    <t>RF-40593</t>
  </si>
  <si>
    <t>RF-40592</t>
  </si>
  <si>
    <t>RF-40590</t>
  </si>
  <si>
    <t>RF-40589</t>
  </si>
  <si>
    <t>RF40588</t>
  </si>
  <si>
    <t>AS-54059</t>
  </si>
  <si>
    <t>AS-54055</t>
  </si>
  <si>
    <t>AS-54054</t>
  </si>
  <si>
    <t>AS-54053</t>
  </si>
  <si>
    <t>AS-54052</t>
  </si>
  <si>
    <t>AS-54051</t>
  </si>
  <si>
    <t>AS-54038</t>
  </si>
  <si>
    <t>AS-54037</t>
  </si>
  <si>
    <t>AS-54036</t>
  </si>
  <si>
    <t>AS-54033</t>
  </si>
  <si>
    <t>AS-54032</t>
  </si>
  <si>
    <t>AS-54031</t>
  </si>
  <si>
    <t>AR-14826</t>
  </si>
  <si>
    <t>AR-14825</t>
  </si>
  <si>
    <t>AR-14824</t>
  </si>
  <si>
    <t>RF-40591</t>
  </si>
  <si>
    <t>RF-40594</t>
  </si>
  <si>
    <t>RF-40608</t>
  </si>
  <si>
    <t>RF-40607</t>
  </si>
  <si>
    <t>RF-40606</t>
  </si>
  <si>
    <t>RF-40605</t>
  </si>
  <si>
    <t>RF-40603</t>
  </si>
  <si>
    <t>AS-54081</t>
  </si>
  <si>
    <t>AS-54078</t>
  </si>
  <si>
    <t>AS-54073</t>
  </si>
  <si>
    <t>AS-54064</t>
  </si>
  <si>
    <t>RF-40633</t>
  </si>
  <si>
    <t>RF-40632</t>
  </si>
  <si>
    <t>RF-40631</t>
  </si>
  <si>
    <t>RF-40630</t>
  </si>
  <si>
    <t>RF-40629</t>
  </si>
  <si>
    <t>RF-40628</t>
  </si>
  <si>
    <t>RF-40627</t>
  </si>
  <si>
    <t>RF-40626</t>
  </si>
  <si>
    <t>RF-40625</t>
  </si>
  <si>
    <t>AS-54115</t>
  </si>
  <si>
    <t>AS-54114</t>
  </si>
  <si>
    <t>AS-54113</t>
  </si>
  <si>
    <t>AS-54112</t>
  </si>
  <si>
    <t>AS-54110</t>
  </si>
  <si>
    <t>AS-54109</t>
  </si>
  <si>
    <t>AR-14837</t>
  </si>
  <si>
    <t>AR-14836</t>
  </si>
  <si>
    <t>AR-14835</t>
  </si>
  <si>
    <t>RF-40656</t>
  </si>
  <si>
    <t>RF-40655</t>
  </si>
  <si>
    <t>RF-40654</t>
  </si>
  <si>
    <t>RF-40653</t>
  </si>
  <si>
    <t>RF-40652</t>
  </si>
  <si>
    <t>RF-40651</t>
  </si>
  <si>
    <t>RF-40650</t>
  </si>
  <si>
    <t>RF-40649</t>
  </si>
  <si>
    <t>RF-40648</t>
  </si>
  <si>
    <t>RF-40645</t>
  </si>
  <si>
    <t>RF-40644</t>
  </si>
  <si>
    <t>RF-40643</t>
  </si>
  <si>
    <t>RF-40642</t>
  </si>
  <si>
    <t>RF-40641</t>
  </si>
  <si>
    <t>RF-40640</t>
  </si>
  <si>
    <t>RF-40638</t>
  </si>
  <si>
    <t>RF-40637</t>
  </si>
  <si>
    <t>RF-40635</t>
  </si>
  <si>
    <t>RF-40634</t>
  </si>
  <si>
    <t>AS-54146</t>
  </si>
  <si>
    <t>AS-54145</t>
  </si>
  <si>
    <t>AS-54144</t>
  </si>
  <si>
    <t>AS-54143</t>
  </si>
  <si>
    <t>AS-54142</t>
  </si>
  <si>
    <t>AS-54141</t>
  </si>
  <si>
    <t>AS-54140</t>
  </si>
  <si>
    <t>AS-54139</t>
  </si>
  <si>
    <t>AS-54138</t>
  </si>
  <si>
    <t>AS-54137</t>
  </si>
  <si>
    <t>AS-54136</t>
  </si>
  <si>
    <t>AS-54135</t>
  </si>
  <si>
    <t>AS-54134</t>
  </si>
  <si>
    <t>AS-54133</t>
  </si>
  <si>
    <t>AS-54132</t>
  </si>
  <si>
    <t>AS-54131</t>
  </si>
  <si>
    <t>AS-54127</t>
  </si>
  <si>
    <t>AS-54126</t>
  </si>
  <si>
    <t>AS-54125</t>
  </si>
  <si>
    <t>AS-54124</t>
  </si>
  <si>
    <t>AS-54123</t>
  </si>
  <si>
    <t>AS-54122</t>
  </si>
  <si>
    <t>AS-54121</t>
  </si>
  <si>
    <t>AS-54120</t>
  </si>
  <si>
    <t>AS-54119</t>
  </si>
  <si>
    <t>AS-54118</t>
  </si>
  <si>
    <t>AS-54117</t>
  </si>
  <si>
    <t>AS-54116</t>
  </si>
  <si>
    <t>AR-14849</t>
  </si>
  <si>
    <t>AR-14848</t>
  </si>
  <si>
    <t>AR-14846</t>
  </si>
  <si>
    <t>AR-14843</t>
  </si>
  <si>
    <t>AR-14842</t>
  </si>
  <si>
    <t>AR-14839</t>
  </si>
  <si>
    <t>RF-40657</t>
  </si>
  <si>
    <t>RF-40658</t>
  </si>
  <si>
    <t>RF-40659</t>
  </si>
  <si>
    <t>RF-40660</t>
  </si>
  <si>
    <t>RF-40695</t>
  </si>
  <si>
    <t>RF-40694</t>
  </si>
  <si>
    <t>RF-40693</t>
  </si>
  <si>
    <t>RF-40691</t>
  </si>
  <si>
    <t>RF-40690</t>
  </si>
  <si>
    <t>RF-40689</t>
  </si>
  <si>
    <t>RF-40687</t>
  </si>
  <si>
    <t>RF-40686</t>
  </si>
  <si>
    <t>RF-40680</t>
  </si>
  <si>
    <t>RF-40679</t>
  </si>
  <si>
    <t>RF-40678</t>
  </si>
  <si>
    <t>RF-40677</t>
  </si>
  <si>
    <t>RF-40676</t>
  </si>
  <si>
    <t>RF-40675</t>
  </si>
  <si>
    <t>RF-40674</t>
  </si>
  <si>
    <t>RF-40673</t>
  </si>
  <si>
    <t>RF-40672</t>
  </si>
  <si>
    <t>RF-40671</t>
  </si>
  <si>
    <t>RF-40670</t>
  </si>
  <si>
    <t>AS-54183</t>
  </si>
  <si>
    <t>AS-54182</t>
  </si>
  <si>
    <t>AS-54181</t>
  </si>
  <si>
    <t>AS-54180</t>
  </si>
  <si>
    <t>AS-54179</t>
  </si>
  <si>
    <t>AS-54178</t>
  </si>
  <si>
    <t>AS-54177</t>
  </si>
  <si>
    <t>AS-54176</t>
  </si>
  <si>
    <t>AS-54175</t>
  </si>
  <si>
    <t>AS-54174</t>
  </si>
  <si>
    <t>AS-54173</t>
  </si>
  <si>
    <t>AS-54172</t>
  </si>
  <si>
    <t>AS-54171</t>
  </si>
  <si>
    <t>AS-54170</t>
  </si>
  <si>
    <t>AS-54169</t>
  </si>
  <si>
    <t>AS-54168</t>
  </si>
  <si>
    <t>AS-54167</t>
  </si>
  <si>
    <t>AS-54165</t>
  </si>
  <si>
    <t>AS-54164</t>
  </si>
  <si>
    <t>AS-54163</t>
  </si>
  <si>
    <t>AS-54162</t>
  </si>
  <si>
    <t>AS-54161</t>
  </si>
  <si>
    <t>AS-54160</t>
  </si>
  <si>
    <t>AS-54159</t>
  </si>
  <si>
    <t>AS-54158</t>
  </si>
  <si>
    <t>AS-54157</t>
  </si>
  <si>
    <t>AS-54156</t>
  </si>
  <si>
    <t>AS-54155</t>
  </si>
  <si>
    <t>AR-14854</t>
  </si>
  <si>
    <t>AR-40696</t>
  </si>
  <si>
    <t>RF-40725</t>
  </si>
  <si>
    <t>RF-40724</t>
  </si>
  <si>
    <t>RF-40723</t>
  </si>
  <si>
    <t>RF-40722</t>
  </si>
  <si>
    <t>RF-40719</t>
  </si>
  <si>
    <t>RF-40718</t>
  </si>
  <si>
    <t>RF-40717</t>
  </si>
  <si>
    <t>RF-40716</t>
  </si>
  <si>
    <t>RF-40715</t>
  </si>
  <si>
    <t>RF-40714</t>
  </si>
  <si>
    <t>RF-40713</t>
  </si>
  <si>
    <t>RF-40712</t>
  </si>
  <si>
    <t>RF-40711</t>
  </si>
  <si>
    <t>RF-40710</t>
  </si>
  <si>
    <t>RF-40709</t>
  </si>
  <si>
    <t>RF-40708</t>
  </si>
  <si>
    <t>RF-40707</t>
  </si>
  <si>
    <t>RF-40706</t>
  </si>
  <si>
    <t>RF-40705</t>
  </si>
  <si>
    <t>AS-54221</t>
  </si>
  <si>
    <t>AS-54220</t>
  </si>
  <si>
    <t>AS-54218</t>
  </si>
  <si>
    <t>AS-54216</t>
  </si>
  <si>
    <t>AS-54215</t>
  </si>
  <si>
    <t>AS-54214</t>
  </si>
  <si>
    <t>AS-54212</t>
  </si>
  <si>
    <t>AS-54211</t>
  </si>
  <si>
    <t>AS-54210</t>
  </si>
  <si>
    <t>AS-54209</t>
  </si>
  <si>
    <t>AS54208</t>
  </si>
  <si>
    <t>AS-54207</t>
  </si>
  <si>
    <t>AS-54206</t>
  </si>
  <si>
    <t>AS-54204</t>
  </si>
  <si>
    <t>AS-54203</t>
  </si>
  <si>
    <t>AS-54202</t>
  </si>
  <si>
    <t>AS-54201</t>
  </si>
  <si>
    <t>AS-54200</t>
  </si>
  <si>
    <t>AS-54199</t>
  </si>
  <si>
    <t>AS-54198</t>
  </si>
  <si>
    <t>AS-54197</t>
  </si>
  <si>
    <t>AS-54196</t>
  </si>
  <si>
    <t>AS-54195</t>
  </si>
  <si>
    <t>AS-54194</t>
  </si>
  <si>
    <t>AS-54193</t>
  </si>
  <si>
    <t>AS-54192</t>
  </si>
  <si>
    <t>AS-54191</t>
  </si>
  <si>
    <t>AS-54190</t>
  </si>
  <si>
    <t>AR-14865</t>
  </si>
  <si>
    <t>AR14864</t>
  </si>
  <si>
    <t>AR-14862</t>
  </si>
  <si>
    <t>RF-40669</t>
  </si>
  <si>
    <t>RF-40668</t>
  </si>
  <si>
    <t>RF-40667</t>
  </si>
  <si>
    <t>RF-40666</t>
  </si>
  <si>
    <t>RF-40662</t>
  </si>
  <si>
    <t>RF-40661</t>
  </si>
  <si>
    <t>AS-54154</t>
  </si>
  <si>
    <t>AS-54153</t>
  </si>
  <si>
    <t>AS-54150</t>
  </si>
  <si>
    <t>AS-54149</t>
  </si>
  <si>
    <t>AS-54148</t>
  </si>
  <si>
    <t>AR-14853</t>
  </si>
  <si>
    <t>AR-14852</t>
  </si>
  <si>
    <t>RF-40664</t>
  </si>
  <si>
    <t>RF-40704</t>
  </si>
  <si>
    <t>RF-40703</t>
  </si>
  <si>
    <t>RF-40702</t>
  </si>
  <si>
    <t>RF-40701</t>
  </si>
  <si>
    <t>RF-40700</t>
  </si>
  <si>
    <t>RF-40699</t>
  </si>
  <si>
    <t>RF-40698</t>
  </si>
  <si>
    <t>RF-40697</t>
  </si>
  <si>
    <t>AS-54189</t>
  </si>
  <si>
    <t>AS-54188</t>
  </si>
  <si>
    <t>AS-54187</t>
  </si>
  <si>
    <t>AS-54186</t>
  </si>
  <si>
    <t>AS-14860</t>
  </si>
  <si>
    <t>AR-14859</t>
  </si>
  <si>
    <t>AR-14858</t>
  </si>
  <si>
    <t>RF-40741</t>
  </si>
  <si>
    <t>RF-40740</t>
  </si>
  <si>
    <t>RF-40739</t>
  </si>
  <si>
    <t>RF-40738</t>
  </si>
  <si>
    <t>RF-40737</t>
  </si>
  <si>
    <t>RF-40736</t>
  </si>
  <si>
    <t>RF-40733</t>
  </si>
  <si>
    <t>RF-40732</t>
  </si>
  <si>
    <t>RF-40731</t>
  </si>
  <si>
    <t>RF-40730</t>
  </si>
  <si>
    <t>RF-40729</t>
  </si>
  <si>
    <t>RF-40728</t>
  </si>
  <si>
    <t>AS-54243</t>
  </si>
  <si>
    <t>AS-54242</t>
  </si>
  <si>
    <t>AS-54241</t>
  </si>
  <si>
    <t>AS-54240</t>
  </si>
  <si>
    <t>AS-54239</t>
  </si>
  <si>
    <t>AS-54238</t>
  </si>
  <si>
    <t>AS-54237</t>
  </si>
  <si>
    <t>AS-54236</t>
  </si>
  <si>
    <t>AS-54235</t>
  </si>
  <si>
    <t>AS-54233</t>
  </si>
  <si>
    <t>AS-54232</t>
  </si>
  <si>
    <t>AS-54231</t>
  </si>
  <si>
    <t>AS-54230</t>
  </si>
  <si>
    <t>AS-54229</t>
  </si>
  <si>
    <t>AS-54228</t>
  </si>
  <si>
    <t>AS-54227</t>
  </si>
  <si>
    <t>AS-54226</t>
  </si>
  <si>
    <t>AS-54225</t>
  </si>
  <si>
    <t>AS-54224</t>
  </si>
  <si>
    <t>AS-54223</t>
  </si>
  <si>
    <t>AR-14872</t>
  </si>
  <si>
    <t>AR-14871</t>
  </si>
  <si>
    <t>RF-40743</t>
  </si>
  <si>
    <t>RF-40742</t>
  </si>
  <si>
    <t>RF-40751</t>
  </si>
  <si>
    <t>RF-40750</t>
  </si>
  <si>
    <t>RF-40749</t>
  </si>
  <si>
    <t>RF-40747</t>
  </si>
  <si>
    <t>RF-40746</t>
  </si>
  <si>
    <t>RF-40745</t>
  </si>
  <si>
    <t>RF-40744</t>
  </si>
  <si>
    <t>AS-54252</t>
  </si>
  <si>
    <t>AS-54245</t>
  </si>
  <si>
    <t>AS-54244</t>
  </si>
  <si>
    <t>AR-14874</t>
  </si>
  <si>
    <t>AR-14873</t>
  </si>
  <si>
    <t>RF-40771</t>
  </si>
  <si>
    <t>RF-40770</t>
  </si>
  <si>
    <t>RF-40768</t>
  </si>
  <si>
    <t>RF-40767</t>
  </si>
  <si>
    <t>RF-40766</t>
  </si>
  <si>
    <t>RF-40765</t>
  </si>
  <si>
    <t>RF-40764</t>
  </si>
  <si>
    <t>RF-40763</t>
  </si>
  <si>
    <t>RF-40762</t>
  </si>
  <si>
    <t>RF-40761</t>
  </si>
  <si>
    <t>RF-40760</t>
  </si>
  <si>
    <t>RF-40757</t>
  </si>
  <si>
    <t>RF-40756</t>
  </si>
  <si>
    <t>RF-40755</t>
  </si>
  <si>
    <t>RF-40754</t>
  </si>
  <si>
    <t>RF-40753</t>
  </si>
  <si>
    <t>RF-40752</t>
  </si>
  <si>
    <t>AS-54289</t>
  </si>
  <si>
    <t>AS-54288</t>
  </si>
  <si>
    <t>AS-54287</t>
  </si>
  <si>
    <t>AS-54286</t>
  </si>
  <si>
    <t>AS-54285</t>
  </si>
  <si>
    <t>AS-54284</t>
  </si>
  <si>
    <t>AS-54283</t>
  </si>
  <si>
    <t>AS-54282</t>
  </si>
  <si>
    <t>AS-54281</t>
  </si>
  <si>
    <t>AS-54280</t>
  </si>
  <si>
    <t>AS-54279</t>
  </si>
  <si>
    <t>AS-54275</t>
  </si>
  <si>
    <t>AS-54265</t>
  </si>
  <si>
    <t>AS-54264</t>
  </si>
  <si>
    <t>AS-54263</t>
  </si>
  <si>
    <t>AS-54261</t>
  </si>
  <si>
    <t>AS-54260</t>
  </si>
  <si>
    <t>AS-54259</t>
  </si>
  <si>
    <t>AS-54256</t>
  </si>
  <si>
    <t>AS-54255</t>
  </si>
  <si>
    <t>AS-54254</t>
  </si>
  <si>
    <t>AR-14876</t>
  </si>
  <si>
    <t>AR-14875</t>
  </si>
  <si>
    <t>RF40780</t>
  </si>
  <si>
    <t>RF-40779</t>
  </si>
  <si>
    <t>RF-40778</t>
  </si>
  <si>
    <t>RF-40777</t>
  </si>
  <si>
    <t>RF-40776</t>
  </si>
  <si>
    <t>RF-40773</t>
  </si>
  <si>
    <t>RF-40772</t>
  </si>
  <si>
    <t>AS-54300</t>
  </si>
  <si>
    <t>AS-54299</t>
  </si>
  <si>
    <t>AS-54298</t>
  </si>
  <si>
    <t>AS-57297</t>
  </si>
  <si>
    <t>AS-54296</t>
  </si>
  <si>
    <t>AS-54295</t>
  </si>
  <si>
    <t>AS-14881</t>
  </si>
  <si>
    <t>AR-14880</t>
  </si>
  <si>
    <t>AR-14881</t>
  </si>
  <si>
    <t>RF-40814</t>
  </si>
  <si>
    <t>RF-40813</t>
  </si>
  <si>
    <t>RF-40812</t>
  </si>
  <si>
    <t>RF-40811</t>
  </si>
  <si>
    <t>RF-40810</t>
  </si>
  <si>
    <t>RF-40809</t>
  </si>
  <si>
    <t>RF-40808</t>
  </si>
  <si>
    <t>RF-40807</t>
  </si>
  <si>
    <t>RF-40806</t>
  </si>
  <si>
    <t>RF-40805</t>
  </si>
  <si>
    <t>RF-40804</t>
  </si>
  <si>
    <t>RF-40803</t>
  </si>
  <si>
    <t>RF-40802</t>
  </si>
  <si>
    <t>RF-40801</t>
  </si>
  <si>
    <t>RF-40800</t>
  </si>
  <si>
    <t>RF-40799</t>
  </si>
  <si>
    <t>RF-40798</t>
  </si>
  <si>
    <t>RF-40797</t>
  </si>
  <si>
    <t>RF-40793</t>
  </si>
  <si>
    <t>RF-40792</t>
  </si>
  <si>
    <t>RF-40791</t>
  </si>
  <si>
    <t>RF-40790</t>
  </si>
  <si>
    <t>RF-40789</t>
  </si>
  <si>
    <t>RF-40788</t>
  </si>
  <si>
    <t>RF-40787</t>
  </si>
  <si>
    <t>RF-40786</t>
  </si>
  <si>
    <t>RF-40785</t>
  </si>
  <si>
    <t>RF-4082</t>
  </si>
  <si>
    <t>RF-40781</t>
  </si>
  <si>
    <t>AS-54325</t>
  </si>
  <si>
    <t>AS-54324</t>
  </si>
  <si>
    <t>AS-54323</t>
  </si>
  <si>
    <t>AS-54322</t>
  </si>
  <si>
    <t>AS-54321</t>
  </si>
  <si>
    <t>AS-54320</t>
  </si>
  <si>
    <t>AS-54318</t>
  </si>
  <si>
    <t>AS-54317</t>
  </si>
  <si>
    <t>AS-54316</t>
  </si>
  <si>
    <t>AS-54315</t>
  </si>
  <si>
    <t>AS-54314</t>
  </si>
  <si>
    <t>AS-54313</t>
  </si>
  <si>
    <t>AS-54312</t>
  </si>
  <si>
    <t>AS-54311</t>
  </si>
  <si>
    <t>AS-54310</t>
  </si>
  <si>
    <t>AS-54309</t>
  </si>
  <si>
    <t>AS-54308</t>
  </si>
  <si>
    <t>AS-54306</t>
  </si>
  <si>
    <t>AS-54305</t>
  </si>
  <si>
    <t>AS-54304</t>
  </si>
  <si>
    <t>AS-54303</t>
  </si>
  <si>
    <t>AS-54302</t>
  </si>
  <si>
    <t>AS-54301</t>
  </si>
  <si>
    <t>AR-14885</t>
  </si>
  <si>
    <t>RF-40829</t>
  </si>
  <si>
    <t>RF-40828</t>
  </si>
  <si>
    <t>RF-40827</t>
  </si>
  <si>
    <t>RF-40826</t>
  </si>
  <si>
    <t>RF-40824</t>
  </si>
  <si>
    <t>RF-40823</t>
  </si>
  <si>
    <t>RF-40822</t>
  </si>
  <si>
    <t>RF-40821</t>
  </si>
  <si>
    <t>RF-40820</t>
  </si>
  <si>
    <t>RF-40819</t>
  </si>
  <si>
    <t>RF-40818</t>
  </si>
  <si>
    <t>RF-40817</t>
  </si>
  <si>
    <t>RF-40816</t>
  </si>
  <si>
    <t>RF-40815</t>
  </si>
  <si>
    <t>AS-54331</t>
  </si>
  <si>
    <t>AS-54330</t>
  </si>
  <si>
    <t>AS-54329</t>
  </si>
  <si>
    <t>AS-54328</t>
  </si>
  <si>
    <t>AS-54327</t>
  </si>
  <si>
    <t>AS-54326</t>
  </si>
  <si>
    <t>AR-14889</t>
  </si>
  <si>
    <t>AR-14888</t>
  </si>
  <si>
    <t>RF-40845</t>
  </si>
  <si>
    <t>RF-40844</t>
  </si>
  <si>
    <t>RF-40843</t>
  </si>
  <si>
    <t>RF-40841</t>
  </si>
  <si>
    <t>RF-40840</t>
  </si>
  <si>
    <t>RF-40839</t>
  </si>
  <si>
    <t>RF-40838</t>
  </si>
  <si>
    <t>RF-40836</t>
  </si>
  <si>
    <t>RF-40835</t>
  </si>
  <si>
    <t>RF-40834</t>
  </si>
  <si>
    <t>RF-40833</t>
  </si>
  <si>
    <t>RF-40832</t>
  </si>
  <si>
    <t>RF-40831</t>
  </si>
  <si>
    <t>RF-40830</t>
  </si>
  <si>
    <t>AS-54364</t>
  </si>
  <si>
    <t>AS-54363</t>
  </si>
  <si>
    <t>AS-54362</t>
  </si>
  <si>
    <t>AS-54361</t>
  </si>
  <si>
    <t>AS-54360</t>
  </si>
  <si>
    <t>AS-54359</t>
  </si>
  <si>
    <t>AS-54358</t>
  </si>
  <si>
    <t>AS-54354</t>
  </si>
  <si>
    <t>AS-54353</t>
  </si>
  <si>
    <t>AS-54352</t>
  </si>
  <si>
    <t>AS-54351</t>
  </si>
  <si>
    <t>AS-54350</t>
  </si>
  <si>
    <t>AS-54349</t>
  </si>
  <si>
    <t>AS-54348</t>
  </si>
  <si>
    <t>AS-54347</t>
  </si>
  <si>
    <t>AS-54346</t>
  </si>
  <si>
    <t>AS-54345</t>
  </si>
  <si>
    <t>AS-54344</t>
  </si>
  <si>
    <t>AS-54343</t>
  </si>
  <si>
    <t>AS-54342</t>
  </si>
  <si>
    <t>AS-54341</t>
  </si>
  <si>
    <t>AS-54340</t>
  </si>
  <si>
    <t>AS-54339</t>
  </si>
  <si>
    <t>AS-54338</t>
  </si>
  <si>
    <t>AR-14890</t>
  </si>
  <si>
    <t>AS-54355</t>
  </si>
  <si>
    <t>RF-40853</t>
  </si>
  <si>
    <t>RF-40852</t>
  </si>
  <si>
    <t>RF-40849</t>
  </si>
  <si>
    <t>RF-40848</t>
  </si>
  <si>
    <t>RF-40847</t>
  </si>
  <si>
    <t>AS-54376</t>
  </si>
  <si>
    <t>AS-54375</t>
  </si>
  <si>
    <t>AS-54374</t>
  </si>
  <si>
    <t>AS-54373</t>
  </si>
  <si>
    <t>AS-54372</t>
  </si>
  <si>
    <t>AS-54369</t>
  </si>
  <si>
    <t>AS-54367</t>
  </si>
  <si>
    <t>AS-54366</t>
  </si>
  <si>
    <t>AS-54365</t>
  </si>
  <si>
    <t>AR-14894</t>
  </si>
  <si>
    <t>AR-14891</t>
  </si>
  <si>
    <t>RF-40875</t>
  </si>
  <si>
    <t>RF-40873</t>
  </si>
  <si>
    <t>RF-40872</t>
  </si>
  <si>
    <t>RF-40871</t>
  </si>
  <si>
    <t>RF-40870</t>
  </si>
  <si>
    <t>RF-40869</t>
  </si>
  <si>
    <t>RF-40868</t>
  </si>
  <si>
    <t>RF-40866</t>
  </si>
  <si>
    <t>RF-40865</t>
  </si>
  <si>
    <t>RF-40864</t>
  </si>
  <si>
    <t>RF-40863</t>
  </si>
  <si>
    <t>RF-40862</t>
  </si>
  <si>
    <t>RF-40861</t>
  </si>
  <si>
    <t>RF-40860</t>
  </si>
  <si>
    <t>RF-40859</t>
  </si>
  <si>
    <t>RF-40858</t>
  </si>
  <si>
    <t>RF-40857</t>
  </si>
  <si>
    <t>RF-40856</t>
  </si>
  <si>
    <t>RF-40855</t>
  </si>
  <si>
    <t>RF-40854</t>
  </si>
  <si>
    <t>AS-54405</t>
  </si>
  <si>
    <t>AS-54402</t>
  </si>
  <si>
    <t>AS-54401</t>
  </si>
  <si>
    <t>AS-54399</t>
  </si>
  <si>
    <t>AS-54398</t>
  </si>
  <si>
    <t>AS-54396</t>
  </si>
  <si>
    <t>AS-54390</t>
  </si>
  <si>
    <t>AS-54388</t>
  </si>
  <si>
    <t>AS-54387</t>
  </si>
  <si>
    <t>AS-54386</t>
  </si>
  <si>
    <t>AS-54384</t>
  </si>
  <si>
    <t>AS-54383</t>
  </si>
  <si>
    <t>AS-54382</t>
  </si>
  <si>
    <t>AS-54381</t>
  </si>
  <si>
    <t>AS-54380</t>
  </si>
  <si>
    <t>AS-54378</t>
  </si>
  <si>
    <t>AS-54377</t>
  </si>
  <si>
    <t>AR-14901</t>
  </si>
  <si>
    <t>AR-14899</t>
  </si>
  <si>
    <t>AR-14896</t>
  </si>
  <si>
    <t>RF-40867</t>
  </si>
  <si>
    <t>RF-40882</t>
  </si>
  <si>
    <t>RF-40881</t>
  </si>
  <si>
    <t>RF-40880</t>
  </si>
  <si>
    <t>RF-40878</t>
  </si>
  <si>
    <t>RF-40877</t>
  </si>
  <si>
    <t>RF-40876</t>
  </si>
  <si>
    <t>AS-54419</t>
  </si>
  <si>
    <t>AS-54418</t>
  </si>
  <si>
    <t>AS-54416</t>
  </si>
  <si>
    <t>AS-54414</t>
  </si>
  <si>
    <t>AS-54413</t>
  </si>
  <si>
    <t>AS-54412</t>
  </si>
  <si>
    <t>AS-54410</t>
  </si>
  <si>
    <t>AS-54409</t>
  </si>
  <si>
    <t>AR-14909</t>
  </si>
  <si>
    <t>AR-14906</t>
  </si>
  <si>
    <t>AR-14905</t>
  </si>
  <si>
    <t>AR-14904</t>
  </si>
  <si>
    <t>AR-14903</t>
  </si>
  <si>
    <t>AR-14902</t>
  </si>
  <si>
    <t>RF-40915</t>
  </si>
  <si>
    <t>RF-40914</t>
  </si>
  <si>
    <t>RF-40913</t>
  </si>
  <si>
    <t>RF-40912</t>
  </si>
  <si>
    <t>RF-40911</t>
  </si>
  <si>
    <t>RF-40908</t>
  </si>
  <si>
    <t>RF-40907</t>
  </si>
  <si>
    <t>RF-40906</t>
  </si>
  <si>
    <t>RF-40905</t>
  </si>
  <si>
    <t>RF-40903</t>
  </si>
  <si>
    <t>RF-40902</t>
  </si>
  <si>
    <t>RF-40901</t>
  </si>
  <si>
    <t>RF-40900</t>
  </si>
  <si>
    <t>RF-40899</t>
  </si>
  <si>
    <t>RF-40897</t>
  </si>
  <si>
    <t>RF-40896</t>
  </si>
  <si>
    <t>RF-40895</t>
  </si>
  <si>
    <t>RF-40894</t>
  </si>
  <si>
    <t>RF-40893</t>
  </si>
  <si>
    <t>RF-40892</t>
  </si>
  <si>
    <t>RF-40891</t>
  </si>
  <si>
    <t>RF-40890</t>
  </si>
  <si>
    <t>RF-40889</t>
  </si>
  <si>
    <t>RF-40888</t>
  </si>
  <si>
    <t>RF-40887</t>
  </si>
  <si>
    <t>RF-40886</t>
  </si>
  <si>
    <t>RF-40885</t>
  </si>
  <si>
    <t>RF-40884</t>
  </si>
  <si>
    <t>RF-40883</t>
  </si>
  <si>
    <t>AS-54467</t>
  </si>
  <si>
    <t>AS-54465</t>
  </si>
  <si>
    <t>AS-54464</t>
  </si>
  <si>
    <t>AS-54463</t>
  </si>
  <si>
    <t>AS-54462</t>
  </si>
  <si>
    <t>AS-54460</t>
  </si>
  <si>
    <t>AS-54458</t>
  </si>
  <si>
    <t>AS-54455</t>
  </si>
  <si>
    <t>AS-54454</t>
  </si>
  <si>
    <t>AS-54450</t>
  </si>
  <si>
    <t>AS-54444</t>
  </si>
  <si>
    <t>AS-54442</t>
  </si>
  <si>
    <t>AS-54466</t>
  </si>
  <si>
    <t>ASA-54439</t>
  </si>
  <si>
    <t>AS-54438</t>
  </si>
  <si>
    <t>AS-54437</t>
  </si>
  <si>
    <t>AS-54436</t>
  </si>
  <si>
    <t>AS-54435</t>
  </si>
  <si>
    <t>AS-54434</t>
  </si>
  <si>
    <t>AS-54433</t>
  </si>
  <si>
    <t>AS-54432</t>
  </si>
  <si>
    <t>AS-54430</t>
  </si>
  <si>
    <t>AS-54429</t>
  </si>
  <si>
    <t>AS-54428</t>
  </si>
  <si>
    <t>AS-54427</t>
  </si>
  <si>
    <t>AS-54424</t>
  </si>
  <si>
    <t>AS-54423</t>
  </si>
  <si>
    <t>AS-54422</t>
  </si>
  <si>
    <t>AR-14918</t>
  </si>
  <si>
    <t>AR-14913</t>
  </si>
  <si>
    <t>AR-14910</t>
  </si>
  <si>
    <t>AS-54449</t>
  </si>
  <si>
    <t>RF-40918</t>
  </si>
  <si>
    <t>RF-40951</t>
  </si>
  <si>
    <t>RF-40950</t>
  </si>
  <si>
    <t>RF-40949</t>
  </si>
  <si>
    <t>RF-40948</t>
  </si>
  <si>
    <t>RF-40947</t>
  </si>
  <si>
    <t>RF-40946</t>
  </si>
  <si>
    <t>RF-40945</t>
  </si>
  <si>
    <t>RF-40944</t>
  </si>
  <si>
    <t>RF-40943</t>
  </si>
  <si>
    <t>RF-40942</t>
  </si>
  <si>
    <t>RF-40941</t>
  </si>
  <si>
    <t>RF-40940</t>
  </si>
  <si>
    <t>RF-40939</t>
  </si>
  <si>
    <t>RF-54496</t>
  </si>
  <si>
    <t>RF-54495</t>
  </si>
  <si>
    <t>AS-54494</t>
  </si>
  <si>
    <t>AS-54493</t>
  </si>
  <si>
    <t>AS-54492</t>
  </si>
  <si>
    <t>AS-54491</t>
  </si>
  <si>
    <t>AS-54490</t>
  </si>
  <si>
    <t>AS-54489</t>
  </si>
  <si>
    <t>AS-54888</t>
  </si>
  <si>
    <t>AS-54487</t>
  </si>
  <si>
    <t>AS-54486</t>
  </si>
  <si>
    <t>AS-54485</t>
  </si>
  <si>
    <t>AS-54483</t>
  </si>
  <si>
    <t>AS-54482</t>
  </si>
  <si>
    <t>AS-54480</t>
  </si>
  <si>
    <t>AS-54479</t>
  </si>
  <si>
    <t>AS-54478</t>
  </si>
  <si>
    <t>AS-54476</t>
  </si>
  <si>
    <t>AS-54475</t>
  </si>
  <si>
    <t>AS-54474</t>
  </si>
  <si>
    <t>AS-54473</t>
  </si>
  <si>
    <t>AS-54471</t>
  </si>
  <si>
    <t>AS-54470</t>
  </si>
  <si>
    <t>AS-54469</t>
  </si>
  <si>
    <t>AS-54468</t>
  </si>
  <si>
    <t>AR-14929</t>
  </si>
  <si>
    <t>AR-14926</t>
  </si>
  <si>
    <t>AR-14925</t>
  </si>
  <si>
    <t>RF-40952</t>
  </si>
  <si>
    <t>RF-40956</t>
  </si>
  <si>
    <t>RF-40955</t>
  </si>
  <si>
    <t>RF-40954</t>
  </si>
  <si>
    <t>RF-40953</t>
  </si>
  <si>
    <t>RF-54507</t>
  </si>
  <si>
    <t>AS-54504</t>
  </si>
  <si>
    <t>AS-54503</t>
  </si>
  <si>
    <t>AR-14937</t>
  </si>
  <si>
    <t>AR-14935</t>
  </si>
  <si>
    <t>RF-40975</t>
  </si>
  <si>
    <t>RF-40974</t>
  </si>
  <si>
    <t>RF-40973</t>
  </si>
  <si>
    <t>RF-40970</t>
  </si>
  <si>
    <t>RF-40969</t>
  </si>
  <si>
    <t>RF-40968</t>
  </si>
  <si>
    <t>RF-40967</t>
  </si>
  <si>
    <t>RF-40966</t>
  </si>
  <si>
    <t>RF-40965</t>
  </si>
  <si>
    <t>RF-40964</t>
  </si>
  <si>
    <t>RF-40961</t>
  </si>
  <si>
    <t>RF-40959</t>
  </si>
  <si>
    <t>RF-40958</t>
  </si>
  <si>
    <t>RF-40957</t>
  </si>
  <si>
    <t>AS-54539</t>
  </si>
  <si>
    <t>AS-54537</t>
  </si>
  <si>
    <t>AS-54535</t>
  </si>
  <si>
    <t>AS-54534</t>
  </si>
  <si>
    <t>AS-54531</t>
  </si>
  <si>
    <t>AS-54521</t>
  </si>
  <si>
    <t>AS-54520</t>
  </si>
  <si>
    <t>AS-54519</t>
  </si>
  <si>
    <t>AS-54518</t>
  </si>
  <si>
    <t>AS-54517</t>
  </si>
  <si>
    <t>AS-54516</t>
  </si>
  <si>
    <t>AS-54515</t>
  </si>
  <si>
    <t>AS-54514</t>
  </si>
  <si>
    <t>AS-54513</t>
  </si>
  <si>
    <t>AS-54512</t>
  </si>
  <si>
    <t>AS-54511</t>
  </si>
  <si>
    <t>AS-54510</t>
  </si>
  <si>
    <t>AS-54509</t>
  </si>
  <si>
    <t>AS-54508</t>
  </si>
  <si>
    <t>RF-40987</t>
  </si>
  <si>
    <t>RF-40986</t>
  </si>
  <si>
    <t>RF-40985</t>
  </si>
  <si>
    <t>RF-40984</t>
  </si>
  <si>
    <t>RF-40983</t>
  </si>
  <si>
    <t>AS-54579</t>
  </si>
  <si>
    <t>AS-59578</t>
  </si>
  <si>
    <t>AS-54577</t>
  </si>
  <si>
    <t>AS-54576</t>
  </si>
  <si>
    <t>AS-54575</t>
  </si>
  <si>
    <t>AS-54574</t>
  </si>
  <si>
    <t>AS-54573</t>
  </si>
  <si>
    <t>AS-54572</t>
  </si>
  <si>
    <t>AS-54571</t>
  </si>
  <si>
    <t>AS-54569</t>
  </si>
  <si>
    <t>AS-54568</t>
  </si>
  <si>
    <t>AS-54567</t>
  </si>
  <si>
    <t>AS-14953</t>
  </si>
  <si>
    <t>AS-14952</t>
  </si>
  <si>
    <t>RF-40982</t>
  </si>
  <si>
    <t>RF-40981</t>
  </si>
  <si>
    <t>RF-40979</t>
  </si>
  <si>
    <t>RF-40978</t>
  </si>
  <si>
    <t>RF-40977</t>
  </si>
  <si>
    <t>RF-40976</t>
  </si>
  <si>
    <t>AS-54566</t>
  </si>
  <si>
    <t>AS-54564</t>
  </si>
  <si>
    <t>AS-54563</t>
  </si>
  <si>
    <t>AS-54562</t>
  </si>
  <si>
    <t>AS-54561</t>
  </si>
  <si>
    <t>AS-54556</t>
  </si>
  <si>
    <t>AS-54553</t>
  </si>
  <si>
    <t>AS-54549</t>
  </si>
  <si>
    <t>AS-54545</t>
  </si>
  <si>
    <t>AR-14945</t>
  </si>
  <si>
    <t>AR-14942</t>
  </si>
  <si>
    <t>AR-14941</t>
  </si>
  <si>
    <t>RF-41001</t>
  </si>
  <si>
    <t>RF-41000</t>
  </si>
  <si>
    <t>RF-40999</t>
  </si>
  <si>
    <t>RF-40998</t>
  </si>
  <si>
    <t>RF-40997</t>
  </si>
  <si>
    <t>RF-40996</t>
  </si>
  <si>
    <t>RF-40994</t>
  </si>
  <si>
    <t>RF-40993</t>
  </si>
  <si>
    <t>RF-40992</t>
  </si>
  <si>
    <t>RF-40991</t>
  </si>
  <si>
    <t>RF-40990</t>
  </si>
  <si>
    <t>RF-40989</t>
  </si>
  <si>
    <t>RF-40988</t>
  </si>
  <si>
    <t>AS-54593</t>
  </si>
  <si>
    <t>AS-54592</t>
  </si>
  <si>
    <t>AS-54591</t>
  </si>
  <si>
    <t>AS-54590</t>
  </si>
  <si>
    <t>AS-54589</t>
  </si>
  <si>
    <t>AR-14965</t>
  </si>
  <si>
    <t>AR-14964</t>
  </si>
  <si>
    <t>AR-14963</t>
  </si>
  <si>
    <t>AR-14962</t>
  </si>
  <si>
    <t>AR-14956</t>
  </si>
  <si>
    <t>AR-14955</t>
  </si>
  <si>
    <t>RF-41023</t>
  </si>
  <si>
    <t>RF-41022</t>
  </si>
  <si>
    <t>RF-41021</t>
  </si>
  <si>
    <t>RF-41020</t>
  </si>
  <si>
    <t>RF-41019</t>
  </si>
  <si>
    <t>RF-41018</t>
  </si>
  <si>
    <t>RF-41016</t>
  </si>
  <si>
    <t>RF-41015</t>
  </si>
  <si>
    <t>RF-41014</t>
  </si>
  <si>
    <t>RF-41010</t>
  </si>
  <si>
    <t>RF-41009</t>
  </si>
  <si>
    <t>RF-41008</t>
  </si>
  <si>
    <t>RF-41007</t>
  </si>
  <si>
    <t>RF-41006</t>
  </si>
  <si>
    <t>RF-41004</t>
  </si>
  <si>
    <t>RF-41003</t>
  </si>
  <si>
    <t>RF-41002</t>
  </si>
  <si>
    <t>AS-54618</t>
  </si>
  <si>
    <t>AS-54617</t>
  </si>
  <si>
    <t>AS-54616</t>
  </si>
  <si>
    <t>AS-54615</t>
  </si>
  <si>
    <t>AS-54614</t>
  </si>
  <si>
    <t>AS-54613</t>
  </si>
  <si>
    <t>AS-54612</t>
  </si>
  <si>
    <t>AS-54611</t>
  </si>
  <si>
    <t>AS-54610</t>
  </si>
  <si>
    <t>AS-54609</t>
  </si>
  <si>
    <t>AS-54608</t>
  </si>
  <si>
    <t>AS-54607</t>
  </si>
  <si>
    <t>AS-54606</t>
  </si>
  <si>
    <t>AS-54605</t>
  </si>
  <si>
    <t>AS-54604</t>
  </si>
  <si>
    <t>AS-54603</t>
  </si>
  <si>
    <t>AS-54602</t>
  </si>
  <si>
    <t>AS-54601</t>
  </si>
  <si>
    <t>AS-54600</t>
  </si>
  <si>
    <t>AS-54599</t>
  </si>
  <si>
    <t>AS-54598</t>
  </si>
  <si>
    <t>AS-54597</t>
  </si>
  <si>
    <t>AS-54596</t>
  </si>
  <si>
    <t>AS-54595</t>
  </si>
  <si>
    <t>AR-14969</t>
  </si>
  <si>
    <t>AR-14966</t>
  </si>
  <si>
    <t>RF-41031</t>
  </si>
  <si>
    <t>RF-41030</t>
  </si>
  <si>
    <t>RF-41029</t>
  </si>
  <si>
    <t>RF-41028</t>
  </si>
  <si>
    <t>RF-41027</t>
  </si>
  <si>
    <t>RF-41026</t>
  </si>
  <si>
    <t>RF-41025</t>
  </si>
  <si>
    <t>RF-41024</t>
  </si>
  <si>
    <t>AS-54626</t>
  </si>
  <si>
    <t>AS-54625</t>
  </si>
  <si>
    <t>AS-54624</t>
  </si>
  <si>
    <t>AS-54623</t>
  </si>
  <si>
    <t>AS-54622</t>
  </si>
  <si>
    <t>AS-54620</t>
  </si>
  <si>
    <t>AS-54619</t>
  </si>
  <si>
    <t>AR-14974</t>
  </si>
  <si>
    <t>AR-14972</t>
  </si>
  <si>
    <t>AR-14971</t>
  </si>
  <si>
    <t>RF-41049</t>
  </si>
  <si>
    <t>RF-41073</t>
  </si>
  <si>
    <t>RF-41072</t>
  </si>
  <si>
    <t>RF-41071</t>
  </si>
  <si>
    <t>RF-41070</t>
  </si>
  <si>
    <t>RF-41069</t>
  </si>
  <si>
    <t>RF-41068</t>
  </si>
  <si>
    <t>RF-41066</t>
  </si>
  <si>
    <t>RF-41065</t>
  </si>
  <si>
    <t>RF-41064</t>
  </si>
  <si>
    <t>RF-41063</t>
  </si>
  <si>
    <t>RF-41061</t>
  </si>
  <si>
    <t>RF-41060</t>
  </si>
  <si>
    <t>RF-41058</t>
  </si>
  <si>
    <t>RF-41057</t>
  </si>
  <si>
    <t>RF-41056</t>
  </si>
  <si>
    <t>AS-54676</t>
  </si>
  <si>
    <t>AS-54675</t>
  </si>
  <si>
    <t>AS-54674</t>
  </si>
  <si>
    <t>AS-54673</t>
  </si>
  <si>
    <t>AS-54672</t>
  </si>
  <si>
    <t>AS-54671</t>
  </si>
  <si>
    <t>AS-54670</t>
  </si>
  <si>
    <t>AS-54669</t>
  </si>
  <si>
    <t>AS-54666</t>
  </si>
  <si>
    <t>AS-54665</t>
  </si>
  <si>
    <t>AS-54664</t>
  </si>
  <si>
    <t>AS-54663</t>
  </si>
  <si>
    <t>AS-54662</t>
  </si>
  <si>
    <t>AS-54661</t>
  </si>
  <si>
    <t>AS-54660</t>
  </si>
  <si>
    <t>AS-54659</t>
  </si>
  <si>
    <t>AS-54658</t>
  </si>
  <si>
    <t>AS-54657</t>
  </si>
  <si>
    <t>AS-54656</t>
  </si>
  <si>
    <t>AS-54655</t>
  </si>
  <si>
    <t>AS-54654</t>
  </si>
  <si>
    <t>AS-54653</t>
  </si>
  <si>
    <t>RF-41055</t>
  </si>
  <si>
    <t>RF-41054</t>
  </si>
  <si>
    <t>RF-41053</t>
  </si>
  <si>
    <t>RF-41052</t>
  </si>
  <si>
    <t>AS-54652</t>
  </si>
  <si>
    <t>AS-54651</t>
  </si>
  <si>
    <t>AS-54650</t>
  </si>
  <si>
    <t>AS-54649</t>
  </si>
  <si>
    <t>AS-54648</t>
  </si>
  <si>
    <t>AS-54647</t>
  </si>
  <si>
    <t>AR-14986</t>
  </si>
  <si>
    <t>AR-14985</t>
  </si>
  <si>
    <t>RF-41082</t>
  </si>
  <si>
    <t>RF-41081</t>
  </si>
  <si>
    <t>RF-41080</t>
  </si>
  <si>
    <t>RF-41079</t>
  </si>
  <si>
    <t>RF-41078</t>
  </si>
  <si>
    <t>RF-41077</t>
  </si>
  <si>
    <t>RF-41076</t>
  </si>
  <si>
    <t>RF-41075</t>
  </si>
  <si>
    <t>RF-41074</t>
  </si>
  <si>
    <t>AS-54706</t>
  </si>
  <si>
    <t>RF-54706</t>
  </si>
  <si>
    <t>AS-54705</t>
  </si>
  <si>
    <t>AS-54704</t>
  </si>
  <si>
    <t>AS-54703</t>
  </si>
  <si>
    <t>AS-54702</t>
  </si>
  <si>
    <t>AS-54701</t>
  </si>
  <si>
    <t>AS-54700</t>
  </si>
  <si>
    <t>AS-54698</t>
  </si>
  <si>
    <t>AS-54697</t>
  </si>
  <si>
    <t>AS-54696</t>
  </si>
  <si>
    <t>AS-54695</t>
  </si>
  <si>
    <t>AS-54694</t>
  </si>
  <si>
    <t>AS-54693</t>
  </si>
  <si>
    <t>AS-54692</t>
  </si>
  <si>
    <t>AS-54691</t>
  </si>
  <si>
    <t>AS-54690</t>
  </si>
  <si>
    <t>AS-54689</t>
  </si>
  <si>
    <t>AS-54688</t>
  </si>
  <si>
    <t>AS-54687</t>
  </si>
  <si>
    <t>AS-54686</t>
  </si>
  <si>
    <t>AS-54685</t>
  </si>
  <si>
    <t>AS-54684</t>
  </si>
  <si>
    <t>AS-54683</t>
  </si>
  <si>
    <t>AS-54682</t>
  </si>
  <si>
    <t>AS-54681</t>
  </si>
  <si>
    <t>AS-54680</t>
  </si>
  <si>
    <t>AS-54679</t>
  </si>
  <si>
    <t>AS-54678</t>
  </si>
  <si>
    <t>AR-15002</t>
  </si>
  <si>
    <t>AR-15001</t>
  </si>
  <si>
    <t>AR-15000</t>
  </si>
  <si>
    <t>AR-14999</t>
  </si>
  <si>
    <t>AS-14998</t>
  </si>
  <si>
    <t>AR-14997</t>
  </si>
  <si>
    <t>AR-1995</t>
  </si>
  <si>
    <t>AR-14993</t>
  </si>
  <si>
    <t>AR-14992</t>
  </si>
  <si>
    <t>AR-14991</t>
  </si>
  <si>
    <t>AR-14990</t>
  </si>
  <si>
    <t>RF-41083</t>
  </si>
  <si>
    <t>RF-41087</t>
  </si>
  <si>
    <t>RF-41086</t>
  </si>
  <si>
    <t>RF-41085</t>
  </si>
  <si>
    <t>RF-41084</t>
  </si>
  <si>
    <t>AS-54719</t>
  </si>
  <si>
    <t>AS-54717</t>
  </si>
  <si>
    <t>AS-54708</t>
  </si>
  <si>
    <t>AR-15003</t>
  </si>
  <si>
    <t>RF-41107</t>
  </si>
  <si>
    <t>RF-41106</t>
  </si>
  <si>
    <t>RF-41105</t>
  </si>
  <si>
    <t>RF-41104</t>
  </si>
  <si>
    <t>RF-41103</t>
  </si>
  <si>
    <t>RF-41102</t>
  </si>
  <si>
    <t>RF-41101</t>
  </si>
  <si>
    <t>RF-41099</t>
  </si>
  <si>
    <t>RF-41097</t>
  </si>
  <si>
    <t>RF-41096</t>
  </si>
  <si>
    <t>RF-41095</t>
  </si>
  <si>
    <t>RF-41094</t>
  </si>
  <si>
    <t>RF-41093</t>
  </si>
  <si>
    <t>RF-41092</t>
  </si>
  <si>
    <t>RF-41091</t>
  </si>
  <si>
    <t>RF-41090</t>
  </si>
  <si>
    <t>RF-41088</t>
  </si>
  <si>
    <t>AS-54747</t>
  </si>
  <si>
    <t>AS-54746</t>
  </si>
  <si>
    <t>AS-54742</t>
  </si>
  <si>
    <t>AS-54741</t>
  </si>
  <si>
    <t>AS-54740</t>
  </si>
  <si>
    <t>AS-54739</t>
  </si>
  <si>
    <t>AS-54738</t>
  </si>
  <si>
    <t>AS-54737</t>
  </si>
  <si>
    <t>AS-54736</t>
  </si>
  <si>
    <t>AS-54735</t>
  </si>
  <si>
    <t>AS-54734</t>
  </si>
  <si>
    <t>AS-54733</t>
  </si>
  <si>
    <t>AS-54732</t>
  </si>
  <si>
    <t>AS-54731</t>
  </si>
  <si>
    <t>AS-54730</t>
  </si>
  <si>
    <t>AS-54729</t>
  </si>
  <si>
    <t>As-54728</t>
  </si>
  <si>
    <t>AS-54727</t>
  </si>
  <si>
    <t>AS-54726</t>
  </si>
  <si>
    <t>AS-54725</t>
  </si>
  <si>
    <t>AS-54723</t>
  </si>
  <si>
    <t>AS-54722</t>
  </si>
  <si>
    <t>AS-54721</t>
  </si>
  <si>
    <t>AS-54720</t>
  </si>
  <si>
    <t>AR-15010</t>
  </si>
  <si>
    <t>AR-15007</t>
  </si>
  <si>
    <t>AR-15006</t>
  </si>
  <si>
    <t>AR-15005</t>
  </si>
  <si>
    <t>AR-15004</t>
  </si>
  <si>
    <t>RF-41116</t>
  </si>
  <si>
    <t>RF-41115</t>
  </si>
  <si>
    <t>RF-41114</t>
  </si>
  <si>
    <t>RF-41113</t>
  </si>
  <si>
    <t>RF-41112</t>
  </si>
  <si>
    <t>RF-41111</t>
  </si>
  <si>
    <t>RF-41108</t>
  </si>
  <si>
    <t>RF-41110</t>
  </si>
  <si>
    <t>AS-54754</t>
  </si>
  <si>
    <t>AS-54753</t>
  </si>
  <si>
    <t>AS-54752</t>
  </si>
  <si>
    <t>AS-54751</t>
  </si>
  <si>
    <t>AS-54750</t>
  </si>
  <si>
    <t>AS-54749</t>
  </si>
  <si>
    <t>AR-15012</t>
  </si>
  <si>
    <t>AR-15011</t>
  </si>
  <si>
    <t>RF-41132</t>
  </si>
  <si>
    <t>RF-41130</t>
  </si>
  <si>
    <t>RF-41129</t>
  </si>
  <si>
    <t>RF-41128</t>
  </si>
  <si>
    <t>RF-41127</t>
  </si>
  <si>
    <t>RF-41126</t>
  </si>
  <si>
    <t>RF-41125</t>
  </si>
  <si>
    <t>RF-41124</t>
  </si>
  <si>
    <t>RF-41122</t>
  </si>
  <si>
    <t>RF-41121</t>
  </si>
  <si>
    <t>RF-41120</t>
  </si>
  <si>
    <t>RF-41119</t>
  </si>
  <si>
    <t>RF-41118</t>
  </si>
  <si>
    <t>RF-41117</t>
  </si>
  <si>
    <t>AS-54780</t>
  </si>
  <si>
    <t>AS-54779</t>
  </si>
  <si>
    <t>AS-54777</t>
  </si>
  <si>
    <t>AS-54778</t>
  </si>
  <si>
    <t>AS-54775</t>
  </si>
  <si>
    <t>AS-54774</t>
  </si>
  <si>
    <t>AS-54772</t>
  </si>
  <si>
    <t>AS-54771</t>
  </si>
  <si>
    <t>AS-54770</t>
  </si>
  <si>
    <t>AS-54769</t>
  </si>
  <si>
    <t>AS-54768</t>
  </si>
  <si>
    <t>AS-54767</t>
  </si>
  <si>
    <t>AS-54766</t>
  </si>
  <si>
    <t>AS-54765</t>
  </si>
  <si>
    <t>AS-54764</t>
  </si>
  <si>
    <t>AS-54763</t>
  </si>
  <si>
    <t>AS-54762</t>
  </si>
  <si>
    <t>AS-54761</t>
  </si>
  <si>
    <t>AS-54760</t>
  </si>
  <si>
    <t>AS-54759</t>
  </si>
  <si>
    <t>AS-54756</t>
  </si>
  <si>
    <t>AS-54755</t>
  </si>
  <si>
    <t>AR-15021</t>
  </si>
  <si>
    <t>AR-15020</t>
  </si>
  <si>
    <t>AR-15018</t>
  </si>
  <si>
    <t>RF-41048</t>
  </si>
  <si>
    <t>RF-41047</t>
  </si>
  <si>
    <t>RF-41046</t>
  </si>
  <si>
    <t>RF-41045</t>
  </si>
  <si>
    <t>RF-41044</t>
  </si>
  <si>
    <t>RF-41043</t>
  </si>
  <si>
    <t>RF-41042</t>
  </si>
  <si>
    <t>RF-41041</t>
  </si>
  <si>
    <t>RF-41040</t>
  </si>
  <si>
    <t>RF-41039</t>
  </si>
  <si>
    <t>RF-41038</t>
  </si>
  <si>
    <t>RF-41036</t>
  </si>
  <si>
    <t>RF-41035</t>
  </si>
  <si>
    <t>RF-41034</t>
  </si>
  <si>
    <t>RF-41033</t>
  </si>
  <si>
    <t>RF-41032</t>
  </si>
  <si>
    <t>AS-54646</t>
  </si>
  <si>
    <t>AS-54645</t>
  </si>
  <si>
    <t>AS-54644</t>
  </si>
  <si>
    <t>AS-54643</t>
  </si>
  <si>
    <t>AS-54642</t>
  </si>
  <si>
    <t>AS-5464</t>
  </si>
  <si>
    <t>AS-54640</t>
  </si>
  <si>
    <t>AS-54639</t>
  </si>
  <si>
    <t>AS-54638</t>
  </si>
  <si>
    <t>AS-54637</t>
  </si>
  <si>
    <t>AS-54636</t>
  </si>
  <si>
    <t>AS-54635</t>
  </si>
  <si>
    <t>AS-54634</t>
  </si>
  <si>
    <t>AS-54633</t>
  </si>
  <si>
    <t>AS-54632</t>
  </si>
  <si>
    <t>AS-54631</t>
  </si>
  <si>
    <t>AS-54630</t>
  </si>
  <si>
    <t>AS-54628</t>
  </si>
  <si>
    <t>AS-54627</t>
  </si>
  <si>
    <t>AR-14976</t>
  </si>
  <si>
    <t>RF-41143</t>
  </si>
  <si>
    <t>RF-41141</t>
  </si>
  <si>
    <t>RF-41140</t>
  </si>
  <si>
    <t>RF-41138</t>
  </si>
  <si>
    <t>RF-41137</t>
  </si>
  <si>
    <t>RF-41136</t>
  </si>
  <si>
    <t>RF-41135</t>
  </si>
  <si>
    <t>RF-41133</t>
  </si>
  <si>
    <t>AS-54788</t>
  </si>
  <si>
    <t>AS-54786</t>
  </si>
  <si>
    <t>AS-5785</t>
  </si>
  <si>
    <t>AS-54784</t>
  </si>
  <si>
    <t>AS-54783</t>
  </si>
  <si>
    <t>AS-54782</t>
  </si>
  <si>
    <t>AS-5781</t>
  </si>
  <si>
    <t>AR-15024</t>
  </si>
  <si>
    <t>AR-15023</t>
  </si>
  <si>
    <t>RF-41155</t>
  </si>
  <si>
    <t>RF-41154</t>
  </si>
  <si>
    <t>RF-41153</t>
  </si>
  <si>
    <t>RF-41152</t>
  </si>
  <si>
    <t>RF-41151</t>
  </si>
  <si>
    <t>RF-41150</t>
  </si>
  <si>
    <t>RF-41149</t>
  </si>
  <si>
    <t>RF-41148</t>
  </si>
  <si>
    <t>RF-41147</t>
  </si>
  <si>
    <t>RF-41146</t>
  </si>
  <si>
    <t>RF-41145</t>
  </si>
  <si>
    <t>AS-54822</t>
  </si>
  <si>
    <t>AS-54821</t>
  </si>
  <si>
    <t>AS-54820</t>
  </si>
  <si>
    <t>AS-54819</t>
  </si>
  <si>
    <t>AS-54817</t>
  </si>
  <si>
    <t>AS-54816</t>
  </si>
  <si>
    <t>AS-54815</t>
  </si>
  <si>
    <t>AS-54814</t>
  </si>
  <si>
    <t>AS-54813</t>
  </si>
  <si>
    <t>AS-54805</t>
  </si>
  <si>
    <t>AS-54804</t>
  </si>
  <si>
    <t>AS-54803</t>
  </si>
  <si>
    <t>AS-54802</t>
  </si>
  <si>
    <t>AS-54801</t>
  </si>
  <si>
    <t>AS-54797</t>
  </si>
  <si>
    <t>AS-574796</t>
  </si>
  <si>
    <t>AS-54794</t>
  </si>
  <si>
    <t>AS-54793</t>
  </si>
  <si>
    <t>AS-54792</t>
  </si>
  <si>
    <t>AS-54791</t>
  </si>
  <si>
    <t>AS-54790</t>
  </si>
  <si>
    <t>AS-54789</t>
  </si>
  <si>
    <t>AR-15031</t>
  </si>
  <si>
    <t>AR-15028</t>
  </si>
  <si>
    <t>RF-41164</t>
  </si>
  <si>
    <t>RF-41163</t>
  </si>
  <si>
    <t>RF-41161</t>
  </si>
  <si>
    <t>RF-41160</t>
  </si>
  <si>
    <t>RF-41159</t>
  </si>
  <si>
    <t>RF-41158</t>
  </si>
  <si>
    <t>RF-41157</t>
  </si>
  <si>
    <t>RF-41156</t>
  </si>
  <si>
    <t>AS-59831</t>
  </si>
  <si>
    <t>AS-54829</t>
  </si>
  <si>
    <t>AS-54828</t>
  </si>
  <si>
    <t>AS-54825</t>
  </si>
  <si>
    <t>AS-54824</t>
  </si>
  <si>
    <t>AS-54823</t>
  </si>
  <si>
    <t>AR-15035</t>
  </si>
  <si>
    <t>AR-15034</t>
  </si>
  <si>
    <t>RF-41180</t>
  </si>
  <si>
    <t>RF-41178</t>
  </si>
  <si>
    <t>RF-41177</t>
  </si>
  <si>
    <t>RF-41176</t>
  </si>
  <si>
    <t>RF-41175</t>
  </si>
  <si>
    <t>RF-41174</t>
  </si>
  <si>
    <t>RF-41173</t>
  </si>
  <si>
    <t>RF-41172</t>
  </si>
  <si>
    <t>RF-41171</t>
  </si>
  <si>
    <t>RF-41170</t>
  </si>
  <si>
    <t>RF-41167</t>
  </si>
  <si>
    <t>RF-41168</t>
  </si>
  <si>
    <t>RF-41165</t>
  </si>
  <si>
    <t>AS-54852</t>
  </si>
  <si>
    <t>AS-54851</t>
  </si>
  <si>
    <t>AS-54850</t>
  </si>
  <si>
    <t>AS-54848</t>
  </si>
  <si>
    <t>AS-54847</t>
  </si>
  <si>
    <t>AS-54846</t>
  </si>
  <si>
    <t>AS-54845</t>
  </si>
  <si>
    <t>AS-54844</t>
  </si>
  <si>
    <t>AS-54843</t>
  </si>
  <si>
    <t>AS-54842</t>
  </si>
  <si>
    <t>AS-54841</t>
  </si>
  <si>
    <t>AS-54840</t>
  </si>
  <si>
    <t>AS-54839</t>
  </si>
  <si>
    <t>AS-54838</t>
  </si>
  <si>
    <t>AS-54837</t>
  </si>
  <si>
    <t>AS-54836</t>
  </si>
  <si>
    <t>AS-54835</t>
  </si>
  <si>
    <t>AS-54834</t>
  </si>
  <si>
    <t>AS-54833</t>
  </si>
  <si>
    <t>AS-54832</t>
  </si>
  <si>
    <t>AR-15044</t>
  </si>
  <si>
    <t>AAR-15042</t>
  </si>
  <si>
    <t>AR-15042</t>
  </si>
  <si>
    <t>AR-15041</t>
  </si>
  <si>
    <t>AR-15040</t>
  </si>
  <si>
    <t>RF-41213</t>
  </si>
  <si>
    <t>RF-41212</t>
  </si>
  <si>
    <t>RF-41211</t>
  </si>
  <si>
    <t>RF-41210</t>
  </si>
  <si>
    <t>RF-41209</t>
  </si>
  <si>
    <t>RF-41208</t>
  </si>
  <si>
    <t>RF-41207</t>
  </si>
  <si>
    <t>RF-41206</t>
  </si>
  <si>
    <t>RF-41205</t>
  </si>
  <si>
    <t>RF-41204</t>
  </si>
  <si>
    <t>RF-41203</t>
  </si>
  <si>
    <t>RF-41202</t>
  </si>
  <si>
    <t>RF-41201</t>
  </si>
  <si>
    <t>RF-41200</t>
  </si>
  <si>
    <t>AR-15062</t>
  </si>
  <si>
    <t>AR-15061</t>
  </si>
  <si>
    <t>AR-15057</t>
  </si>
  <si>
    <t>AR-15056</t>
  </si>
  <si>
    <t>AS-54914</t>
  </si>
  <si>
    <t>AS-54913</t>
  </si>
  <si>
    <t>AS-54912</t>
  </si>
  <si>
    <t>AS-54911</t>
  </si>
  <si>
    <t>AS-54910</t>
  </si>
  <si>
    <t>AS-54909</t>
  </si>
  <si>
    <t>AS-54908</t>
  </si>
  <si>
    <t>AS-54907</t>
  </si>
  <si>
    <t>AS-54906</t>
  </si>
  <si>
    <t>AS-54905</t>
  </si>
  <si>
    <t>AS-54904</t>
  </si>
  <si>
    <t>AS-54901</t>
  </si>
  <si>
    <t>AS-54900</t>
  </si>
  <si>
    <t>AS-54899</t>
  </si>
  <si>
    <t>AS-54898</t>
  </si>
  <si>
    <t>AS-54897</t>
  </si>
  <si>
    <t>AS-54896</t>
  </si>
  <si>
    <t>AS-54887</t>
  </si>
  <si>
    <t>AS-54886</t>
  </si>
  <si>
    <t>AS-54885</t>
  </si>
  <si>
    <t>AS-54884</t>
  </si>
  <si>
    <t>AS-54883</t>
  </si>
  <si>
    <t>AS-54882</t>
  </si>
  <si>
    <t>AS-54903</t>
  </si>
  <si>
    <t>RF-41199</t>
  </si>
  <si>
    <t>RF-41198</t>
  </si>
  <si>
    <t>RF-41197</t>
  </si>
  <si>
    <t>RF-41196</t>
  </si>
  <si>
    <t>RF-41195</t>
  </si>
  <si>
    <t>RF-41194</t>
  </si>
  <si>
    <t>RF-41193</t>
  </si>
  <si>
    <t>RF-41191</t>
  </si>
  <si>
    <t>RF-41190</t>
  </si>
  <si>
    <t>AR-15055</t>
  </si>
  <si>
    <t>AR-15054</t>
  </si>
  <si>
    <t>AS-54881</t>
  </si>
  <si>
    <t>AS-54879</t>
  </si>
  <si>
    <t>AS-54878</t>
  </si>
  <si>
    <t>AS-54877</t>
  </si>
  <si>
    <t>AS-54876</t>
  </si>
  <si>
    <t>AS-54874</t>
  </si>
  <si>
    <t>AS-54873</t>
  </si>
  <si>
    <t>AS-54872</t>
  </si>
  <si>
    <t>AS-54871</t>
  </si>
  <si>
    <t>AS-54870</t>
  </si>
  <si>
    <t>AS-54869</t>
  </si>
  <si>
    <t>AS-54867</t>
  </si>
  <si>
    <t>AS-54865</t>
  </si>
  <si>
    <t>AS.54861</t>
  </si>
  <si>
    <t>AS-54860</t>
  </si>
  <si>
    <t>AS--54859</t>
  </si>
  <si>
    <t>AS-54858</t>
  </si>
  <si>
    <t>AS-54857</t>
  </si>
  <si>
    <t>AS-54856</t>
  </si>
  <si>
    <t>AS-54855</t>
  </si>
  <si>
    <t>AS-54868</t>
  </si>
  <si>
    <t>AS-54864</t>
  </si>
  <si>
    <t>RF-41218</t>
  </si>
  <si>
    <t>RF-41219</t>
  </si>
  <si>
    <t>RF-41217</t>
  </si>
  <si>
    <t>AR-15063</t>
  </si>
  <si>
    <t>AR-15065</t>
  </si>
  <si>
    <t>AR-15064</t>
  </si>
  <si>
    <t>RF-14953</t>
  </si>
  <si>
    <t>RF-41189</t>
  </si>
  <si>
    <t>RF-41188</t>
  </si>
  <si>
    <t>RF-41187</t>
  </si>
  <si>
    <t>RF-41186</t>
  </si>
  <si>
    <t>RF-41185</t>
  </si>
  <si>
    <t>RF-41184</t>
  </si>
  <si>
    <t>RF-41183</t>
  </si>
  <si>
    <t>RF-41182</t>
  </si>
  <si>
    <t>AS-54854</t>
  </si>
  <si>
    <t>AR-15052</t>
  </si>
  <si>
    <t>AR-15050</t>
  </si>
  <si>
    <t>AR-15046</t>
  </si>
  <si>
    <t>AR-15045</t>
  </si>
  <si>
    <t>RF-41214</t>
  </si>
  <si>
    <t>RF-41216</t>
  </si>
  <si>
    <t>RF-41238</t>
  </si>
  <si>
    <t>RF-41237</t>
  </si>
  <si>
    <t>RF-41235</t>
  </si>
  <si>
    <t>RF-41234</t>
  </si>
  <si>
    <t>RF-41233</t>
  </si>
  <si>
    <t>RF-41231</t>
  </si>
  <si>
    <t>RF-41229</t>
  </si>
  <si>
    <t>RF-41228</t>
  </si>
  <si>
    <t>RF-41227</t>
  </si>
  <si>
    <t>RF-41226</t>
  </si>
  <si>
    <t>RF-41225</t>
  </si>
  <si>
    <t>RF-41224</t>
  </si>
  <si>
    <t>RF-41223</t>
  </si>
  <si>
    <t>RF-41222</t>
  </si>
  <si>
    <t>RF-41221</t>
  </si>
  <si>
    <t>RF-41220</t>
  </si>
  <si>
    <t>AS-54968</t>
  </si>
  <si>
    <t>AS-54967</t>
  </si>
  <si>
    <t>AS-54966</t>
  </si>
  <si>
    <t>AS-54965</t>
  </si>
  <si>
    <t>AS-54964</t>
  </si>
  <si>
    <t>AS-54963</t>
  </si>
  <si>
    <t>AS-54962</t>
  </si>
  <si>
    <t>AS-54961</t>
  </si>
  <si>
    <t>AS-54960</t>
  </si>
  <si>
    <t>AS-54959</t>
  </si>
  <si>
    <t>AS-54958</t>
  </si>
  <si>
    <t>AS-54944</t>
  </si>
  <si>
    <t>AS-54943</t>
  </si>
  <si>
    <t>AS-54942</t>
  </si>
  <si>
    <t>AS-54939</t>
  </si>
  <si>
    <t>AS-54938</t>
  </si>
  <si>
    <t>AS-54937</t>
  </si>
  <si>
    <t>AS-54930</t>
  </si>
  <si>
    <t>AS-54929</t>
  </si>
  <si>
    <t>AS-54928</t>
  </si>
  <si>
    <t>AS-54927</t>
  </si>
  <si>
    <t>AS-54926</t>
  </si>
  <si>
    <t>RF-41247</t>
  </si>
  <si>
    <t>RF-41245</t>
  </si>
  <si>
    <t>RF-41246</t>
  </si>
  <si>
    <t>RF-41242</t>
  </si>
  <si>
    <t>RF-41240</t>
  </si>
  <si>
    <t>RF-41239</t>
  </si>
  <si>
    <t>AS-54970</t>
  </si>
  <si>
    <t>AS-54969</t>
  </si>
  <si>
    <t>AR-15070</t>
  </si>
  <si>
    <t>AR-15067</t>
  </si>
  <si>
    <t>AR-15066</t>
  </si>
  <si>
    <t>RF-41256</t>
  </si>
  <si>
    <t>RF-41255</t>
  </si>
  <si>
    <t>RF-41254</t>
  </si>
  <si>
    <t>RF-41253</t>
  </si>
  <si>
    <t>RF-41252</t>
  </si>
  <si>
    <t>RF-41251</t>
  </si>
  <si>
    <t>RF-41250</t>
  </si>
  <si>
    <t>RF-41249</t>
  </si>
  <si>
    <t>AR-15074</t>
  </si>
  <si>
    <t>AR-15073</t>
  </si>
  <si>
    <t>AR-15072</t>
  </si>
  <si>
    <t>AR-15071</t>
  </si>
  <si>
    <t>AS-54994</t>
  </si>
  <si>
    <t>AS-54993</t>
  </si>
  <si>
    <t>AS-54992</t>
  </si>
  <si>
    <t>AS-54991</t>
  </si>
  <si>
    <t>AS-54990</t>
  </si>
  <si>
    <t>AS-54989+</t>
  </si>
  <si>
    <t>AS-54982</t>
  </si>
  <si>
    <t>AS-54981</t>
  </si>
  <si>
    <t>AS-54979</t>
  </si>
  <si>
    <t>AS-54978</t>
  </si>
  <si>
    <t>AS-54977</t>
  </si>
  <si>
    <t>AS-54976</t>
  </si>
  <si>
    <t>AS-54975</t>
  </si>
  <si>
    <t>AS-54974</t>
  </si>
  <si>
    <t>AS-54973</t>
  </si>
  <si>
    <t>AS-54972</t>
  </si>
  <si>
    <t>AS-54971</t>
  </si>
  <si>
    <t>RF-40923</t>
  </si>
  <si>
    <t>RF-41259</t>
  </si>
  <si>
    <t>RF-41258</t>
  </si>
  <si>
    <t>RF-41257</t>
  </si>
  <si>
    <t>AR-15084</t>
  </si>
  <si>
    <t>AR-15083</t>
  </si>
  <si>
    <t>AR-15082</t>
  </si>
  <si>
    <t>AR-15080</t>
  </si>
  <si>
    <t>AR-15078</t>
  </si>
  <si>
    <t>AS-54999</t>
  </si>
  <si>
    <t>AS-54998</t>
  </si>
  <si>
    <t>AS-54996</t>
  </si>
  <si>
    <t>AS-54995</t>
  </si>
  <si>
    <t>RF-41273</t>
  </si>
  <si>
    <t>RF-41272</t>
  </si>
  <si>
    <t>RF-41271</t>
  </si>
  <si>
    <t>RF-41270</t>
  </si>
  <si>
    <t>RF-41269</t>
  </si>
  <si>
    <t>RF-41268</t>
  </si>
  <si>
    <t>RF-41267</t>
  </si>
  <si>
    <t>RF-41266</t>
  </si>
  <si>
    <t>RF-41265</t>
  </si>
  <si>
    <t>RF-41264</t>
  </si>
  <si>
    <t>RF-41263</t>
  </si>
  <si>
    <t>RF-41262</t>
  </si>
  <si>
    <t>RF-41261</t>
  </si>
  <si>
    <t>RF-41260</t>
  </si>
  <si>
    <t>AS-55023</t>
  </si>
  <si>
    <t>AS-55022</t>
  </si>
  <si>
    <t>AS-55021</t>
  </si>
  <si>
    <t>AS-55020</t>
  </si>
  <si>
    <t>AS-55019</t>
  </si>
  <si>
    <t>0AS-55018</t>
  </si>
  <si>
    <t>AS-55017</t>
  </si>
  <si>
    <t>AS-55016</t>
  </si>
  <si>
    <t>AS-55015</t>
  </si>
  <si>
    <t>AS-55014</t>
  </si>
  <si>
    <t>AS-55013</t>
  </si>
  <si>
    <t>AS-55012</t>
  </si>
  <si>
    <t>AS-55011</t>
  </si>
  <si>
    <t>AS-55010</t>
  </si>
  <si>
    <t>AS-55009</t>
  </si>
  <si>
    <t>AS-55008</t>
  </si>
  <si>
    <t>AS-55007</t>
  </si>
  <si>
    <t>AS-55005</t>
  </si>
  <si>
    <t>AS-55004</t>
  </si>
  <si>
    <t>AS-55003</t>
  </si>
  <si>
    <t>AS-55002</t>
  </si>
  <si>
    <t>AS-55001</t>
  </si>
  <si>
    <t>AS-55000</t>
  </si>
  <si>
    <t>AR-15091</t>
  </si>
  <si>
    <t>AR-15090</t>
  </si>
  <si>
    <t>AR-15088</t>
  </si>
  <si>
    <t>AR-15087</t>
  </si>
  <si>
    <t>RF-41285</t>
  </si>
  <si>
    <t>RF-41284</t>
  </si>
  <si>
    <t>RF-41283</t>
  </si>
  <si>
    <t>RF-41282</t>
  </si>
  <si>
    <t>RF-41281</t>
  </si>
  <si>
    <t>RF-41280</t>
  </si>
  <si>
    <t>RF-41279</t>
  </si>
  <si>
    <t>RF-41278</t>
  </si>
  <si>
    <t>RF-41277</t>
  </si>
  <si>
    <t>RF-41275</t>
  </si>
  <si>
    <t>RF-41274</t>
  </si>
  <si>
    <t>AS-55038</t>
  </si>
  <si>
    <t>AS-55037</t>
  </si>
  <si>
    <t>AS-55036</t>
  </si>
  <si>
    <t>AS-55035</t>
  </si>
  <si>
    <t>AS-55032</t>
  </si>
  <si>
    <t>AS-55031</t>
  </si>
  <si>
    <t>AS-55030</t>
  </si>
  <si>
    <t>AS-55028</t>
  </si>
  <si>
    <t>AS-55027</t>
  </si>
  <si>
    <t>AS-55024</t>
  </si>
  <si>
    <t>RF-41300</t>
  </si>
  <si>
    <t>RF-41299</t>
  </si>
  <si>
    <t>RF-41298</t>
  </si>
  <si>
    <t>RF-41297</t>
  </si>
  <si>
    <t>RF-41296</t>
  </si>
  <si>
    <t>RF-41295</t>
  </si>
  <si>
    <t>RF-41293</t>
  </si>
  <si>
    <t>RF-41292</t>
  </si>
  <si>
    <t>RF-41291</t>
  </si>
  <si>
    <t>RF-41290</t>
  </si>
  <si>
    <t>RF-41288</t>
  </si>
  <si>
    <t>RF-41287</t>
  </si>
  <si>
    <t>RF-41286</t>
  </si>
  <si>
    <t>AS-55074</t>
  </si>
  <si>
    <t>AS-55069</t>
  </si>
  <si>
    <t>AS-55068</t>
  </si>
  <si>
    <t>AS-55066</t>
  </si>
  <si>
    <t>AS-55065</t>
  </si>
  <si>
    <t>AS-55063</t>
  </si>
  <si>
    <t>AS-55062</t>
  </si>
  <si>
    <t>AS-55061</t>
  </si>
  <si>
    <t>AS-55059</t>
  </si>
  <si>
    <t>AS-55057</t>
  </si>
  <si>
    <t>AS-55056</t>
  </si>
  <si>
    <t>AS-55055</t>
  </si>
  <si>
    <t>AS-55053</t>
  </si>
  <si>
    <t>AS-55052</t>
  </si>
  <si>
    <t>AS-55051</t>
  </si>
  <si>
    <t>AS-55049</t>
  </si>
  <si>
    <t>AS-55048</t>
  </si>
  <si>
    <t>AS-55047</t>
  </si>
  <si>
    <t>AS-55046</t>
  </si>
  <si>
    <t>AS-55045</t>
  </si>
  <si>
    <t>AS-55044</t>
  </si>
  <si>
    <t>AS-55043</t>
  </si>
  <si>
    <t>AS-55042</t>
  </si>
  <si>
    <t>AS-55041</t>
  </si>
  <si>
    <t>AS-55040</t>
  </si>
  <si>
    <t>AS-55039</t>
  </si>
  <si>
    <t>AR-15104</t>
  </si>
  <si>
    <t>AR-15103</t>
  </si>
  <si>
    <t>AR-15102</t>
  </si>
  <si>
    <t>AR-15101</t>
  </si>
  <si>
    <t>AR-15099</t>
  </si>
  <si>
    <t>AR-15094</t>
  </si>
  <si>
    <t>RF-41306</t>
  </si>
  <si>
    <t>RF-41305</t>
  </si>
  <si>
    <t>RF-41304</t>
  </si>
  <si>
    <t>RF-41303</t>
  </si>
  <si>
    <t>RF-41302</t>
  </si>
  <si>
    <t>RF-41301</t>
  </si>
  <si>
    <t>AR-15109</t>
  </si>
  <si>
    <t>AR-15108</t>
  </si>
  <si>
    <t>AR-15105</t>
  </si>
  <si>
    <t>AS-55092</t>
  </si>
  <si>
    <t>AS-55082</t>
  </si>
  <si>
    <t>AS-55080</t>
  </si>
  <si>
    <t>AS-55079</t>
  </si>
  <si>
    <t>AS-55078</t>
  </si>
  <si>
    <t>AS-55077</t>
  </si>
  <si>
    <t>AS-55076</t>
  </si>
  <si>
    <t>RF-41323</t>
  </si>
  <si>
    <t>RF-41322</t>
  </si>
  <si>
    <t>RF-41320</t>
  </si>
  <si>
    <t>RF-41319</t>
  </si>
  <si>
    <t>RF-41318</t>
  </si>
  <si>
    <t>RF-41317</t>
  </si>
  <si>
    <t>RF-41316</t>
  </si>
  <si>
    <t>RF-41315</t>
  </si>
  <si>
    <t>RF-41314</t>
  </si>
  <si>
    <t>RF-41313</t>
  </si>
  <si>
    <t>RF-41312</t>
  </si>
  <si>
    <t>RF-41311</t>
  </si>
  <si>
    <t>RF-41310</t>
  </si>
  <si>
    <t>RF-41309</t>
  </si>
  <si>
    <t>RF-41308</t>
  </si>
  <si>
    <t>RF-41307</t>
  </si>
  <si>
    <t>AS-55164</t>
  </si>
  <si>
    <t>AS-55163</t>
  </si>
  <si>
    <t>AS-55162</t>
  </si>
  <si>
    <t>AS-55160</t>
  </si>
  <si>
    <t>AS-55159</t>
  </si>
  <si>
    <t>AS-55158</t>
  </si>
  <si>
    <t>AS-55154</t>
  </si>
  <si>
    <t>AS-55145</t>
  </si>
  <si>
    <t>AS-55142</t>
  </si>
  <si>
    <t>AS-55130</t>
  </si>
  <si>
    <t>AS-55127</t>
  </si>
  <si>
    <t>AS-55126</t>
  </si>
  <si>
    <t>AS-55124</t>
  </si>
  <si>
    <t>AS-55110</t>
  </si>
  <si>
    <t>AS-55109</t>
  </si>
  <si>
    <t>AS-55106</t>
  </si>
  <si>
    <t>AS-55105</t>
  </si>
  <si>
    <t>AS-55104</t>
  </si>
  <si>
    <t>AS-55103</t>
  </si>
  <si>
    <t>AS-55102</t>
  </si>
  <si>
    <t>AS-55101</t>
  </si>
  <si>
    <t>AS-55099</t>
  </si>
  <si>
    <t>AS-55097</t>
  </si>
  <si>
    <t>AS-55096</t>
  </si>
  <si>
    <t>AR-15120</t>
  </si>
  <si>
    <t>AS-15119</t>
  </si>
  <si>
    <t>AR-15118</t>
  </si>
  <si>
    <t>AR-15117</t>
  </si>
  <si>
    <t>AR-15114</t>
  </si>
  <si>
    <t>AR-14113</t>
  </si>
  <si>
    <t>AR-15111</t>
  </si>
  <si>
    <t>RF-41340</t>
  </si>
  <si>
    <t>RF-41339</t>
  </si>
  <si>
    <t>RF-41338</t>
  </si>
  <si>
    <t>RF-41337</t>
  </si>
  <si>
    <t>RF-41336</t>
  </si>
  <si>
    <t>RF-41335</t>
  </si>
  <si>
    <t>RF-41334</t>
  </si>
  <si>
    <t>RF-41333</t>
  </si>
  <si>
    <t>RF-41332</t>
  </si>
  <si>
    <t>RF-41331</t>
  </si>
  <si>
    <t>RF-41330</t>
  </si>
  <si>
    <t>RF-41329</t>
  </si>
  <si>
    <t>RF-41328</t>
  </si>
  <si>
    <t>RF-41327</t>
  </si>
  <si>
    <t>RF-41326</t>
  </si>
  <si>
    <t>RF-41325</t>
  </si>
  <si>
    <t>AR-15129</t>
  </si>
  <si>
    <t>AR-15128</t>
  </si>
  <si>
    <t>AR-15127</t>
  </si>
  <si>
    <t>AR-15121</t>
  </si>
  <si>
    <t>AS-55207</t>
  </si>
  <si>
    <t>AS-55206</t>
  </si>
  <si>
    <t>AS-55205</t>
  </si>
  <si>
    <t>AS-55204</t>
  </si>
  <si>
    <t>AS-55203</t>
  </si>
  <si>
    <t>AS-55202</t>
  </si>
  <si>
    <t>AS-55200</t>
  </si>
  <si>
    <t>AS-55199</t>
  </si>
  <si>
    <t>AS-55198</t>
  </si>
  <si>
    <t>AS-55197</t>
  </si>
  <si>
    <t>AS-55194</t>
  </si>
  <si>
    <t>AS-55187</t>
  </si>
  <si>
    <t>AS-55177</t>
  </si>
  <si>
    <t>AS-55175</t>
  </si>
  <si>
    <t>AS-55174</t>
  </si>
  <si>
    <t>AS-55173</t>
  </si>
  <si>
    <t>AS-55172</t>
  </si>
  <si>
    <t>AS-55171</t>
  </si>
  <si>
    <t>AS-55170</t>
  </si>
  <si>
    <t>AS-55169</t>
  </si>
  <si>
    <t>RF-41373</t>
  </si>
  <si>
    <t>RF-41372</t>
  </si>
  <si>
    <t>RF-41371</t>
  </si>
  <si>
    <t>RF-41370</t>
  </si>
  <si>
    <t>RF-41369</t>
  </si>
  <si>
    <t>RF-41368</t>
  </si>
  <si>
    <t>RF-41367</t>
  </si>
  <si>
    <t>RF-41364</t>
  </si>
  <si>
    <t>RF-41363</t>
  </si>
  <si>
    <t>RF-41361</t>
  </si>
  <si>
    <t>RF-41360</t>
  </si>
  <si>
    <t>RF-41359</t>
  </si>
  <si>
    <t>RF-41358</t>
  </si>
  <si>
    <t>RF-41357</t>
  </si>
  <si>
    <t>RF-41356</t>
  </si>
  <si>
    <t>RF-41355</t>
  </si>
  <si>
    <t>AS-55250</t>
  </si>
  <si>
    <t>AS-55248</t>
  </si>
  <si>
    <t>AS-55247</t>
  </si>
  <si>
    <t>AS-55239</t>
  </si>
  <si>
    <t>AS-55238</t>
  </si>
  <si>
    <t>AS-55237</t>
  </si>
  <si>
    <t>AS-55236</t>
  </si>
  <si>
    <t>AS-55235</t>
  </si>
  <si>
    <t>AS-55234</t>
  </si>
  <si>
    <t>AS-55233</t>
  </si>
  <si>
    <t>AS-55232</t>
  </si>
  <si>
    <t>AS-55231</t>
  </si>
  <si>
    <t>AS-55230</t>
  </si>
  <si>
    <t>AS-55227</t>
  </si>
  <si>
    <t>AS-55226</t>
  </si>
  <si>
    <t>AS-55225</t>
  </si>
  <si>
    <t>AS-55223</t>
  </si>
  <si>
    <t>AS-55222</t>
  </si>
  <si>
    <t>AS-55221</t>
  </si>
  <si>
    <t>AS-55220</t>
  </si>
  <si>
    <t>AS-55219</t>
  </si>
  <si>
    <t>AR-15142</t>
  </si>
  <si>
    <t>AR-15140</t>
  </si>
  <si>
    <t>AR-15139</t>
  </si>
  <si>
    <t>AR-15137</t>
  </si>
  <si>
    <t>AR-15136</t>
  </si>
  <si>
    <t>AR-15135</t>
  </si>
  <si>
    <t>RF-41354</t>
  </si>
  <si>
    <t>RF-41353</t>
  </si>
  <si>
    <t>RF-41352</t>
  </si>
  <si>
    <t>RF-41351</t>
  </si>
  <si>
    <t>RF-41350</t>
  </si>
  <si>
    <t>RF-41349</t>
  </si>
  <si>
    <t>RF-41348</t>
  </si>
  <si>
    <t>RF-41347</t>
  </si>
  <si>
    <t>RF-41346</t>
  </si>
  <si>
    <t>RF-41345</t>
  </si>
  <si>
    <t>RF-41344</t>
  </si>
  <si>
    <t>RF-41343</t>
  </si>
  <si>
    <t>RF-41342</t>
  </si>
  <si>
    <t>RF-41341</t>
  </si>
  <si>
    <t>AS-55215</t>
  </si>
  <si>
    <t>AS-55214</t>
  </si>
  <si>
    <t>AS-55213</t>
  </si>
  <si>
    <t>AS-55212</t>
  </si>
  <si>
    <t>AS-55210</t>
  </si>
  <si>
    <t>AS-55209</t>
  </si>
  <si>
    <t>AS-55208</t>
  </si>
  <si>
    <t>AR-15131</t>
  </si>
  <si>
    <t>AR-15130</t>
  </si>
  <si>
    <t>RF-41384</t>
  </si>
  <si>
    <t>RF-41383</t>
  </si>
  <si>
    <t>RF-41382</t>
  </si>
  <si>
    <t>RF-41381</t>
  </si>
  <si>
    <t>RF-41380</t>
  </si>
  <si>
    <t>RF-41379</t>
  </si>
  <si>
    <t>RF-41378</t>
  </si>
  <si>
    <t>RF-41377</t>
  </si>
  <si>
    <t>RF-41375</t>
  </si>
  <si>
    <t>RF-41374</t>
  </si>
  <si>
    <t>AR-15146</t>
  </si>
  <si>
    <t>AR-15145</t>
  </si>
  <si>
    <t>AS-55262</t>
  </si>
  <si>
    <t>AS-55261</t>
  </si>
  <si>
    <t>AS-55260</t>
  </si>
  <si>
    <t>AS-55259</t>
  </si>
  <si>
    <t>AS-55258</t>
  </si>
  <si>
    <t>AS-55257</t>
  </si>
  <si>
    <t>AS-55256</t>
  </si>
  <si>
    <t>AS-55255</t>
  </si>
  <si>
    <t>AS-55254</t>
  </si>
  <si>
    <t>AS-55253</t>
  </si>
  <si>
    <t>RF-41404</t>
  </si>
  <si>
    <t>RF-41402</t>
  </si>
  <si>
    <t>AR-15158</t>
  </si>
  <si>
    <t>AS-55137</t>
  </si>
  <si>
    <t>AS-55313</t>
  </si>
  <si>
    <t>AS-55312</t>
  </si>
  <si>
    <t>AS-55311</t>
  </si>
  <si>
    <t>AS-55310</t>
  </si>
  <si>
    <t>AS-55303</t>
  </si>
  <si>
    <t>AS-55302</t>
  </si>
  <si>
    <t>AS-55300</t>
  </si>
  <si>
    <t>AS-55299</t>
  </si>
  <si>
    <t>RF-41401</t>
  </si>
  <si>
    <t>RF-41399</t>
  </si>
  <si>
    <t>RF-41396</t>
  </si>
  <si>
    <t>RF-41398</t>
  </si>
  <si>
    <t>RF-41397</t>
  </si>
  <si>
    <t>RF-41395</t>
  </si>
  <si>
    <t>RF-41394</t>
  </si>
  <si>
    <t>RF-41393</t>
  </si>
  <si>
    <t>RF-41392</t>
  </si>
  <si>
    <t>RF-41391</t>
  </si>
  <si>
    <t>RF-41390</t>
  </si>
  <si>
    <t>RF-41389</t>
  </si>
  <si>
    <t>RF-41388</t>
  </si>
  <si>
    <t>RF-41387</t>
  </si>
  <si>
    <t>RF-41386</t>
  </si>
  <si>
    <t>RF-41385</t>
  </si>
  <si>
    <t>AS-55298</t>
  </si>
  <si>
    <t>AS-55295</t>
  </si>
  <si>
    <t>AS-55294</t>
  </si>
  <si>
    <t>AS-55283</t>
  </si>
  <si>
    <t>AS-55282</t>
  </si>
  <si>
    <t>AS-55281</t>
  </si>
  <si>
    <t>AS-55280</t>
  </si>
  <si>
    <t>AS-55279</t>
  </si>
  <si>
    <t>AS-55277</t>
  </si>
  <si>
    <t>AS-55276</t>
  </si>
  <si>
    <t>AS-55275</t>
  </si>
  <si>
    <t>AS-55268</t>
  </si>
  <si>
    <t>AS-55267</t>
  </si>
  <si>
    <t>AS-55264</t>
  </si>
  <si>
    <t>AS-55263</t>
  </si>
  <si>
    <t>AR-15157</t>
  </si>
  <si>
    <t>AR-15156</t>
  </si>
  <si>
    <t>AR-15155</t>
  </si>
  <si>
    <t>AR-15154</t>
  </si>
  <si>
    <t>RF-41412</t>
  </si>
  <si>
    <t>RF-41408</t>
  </si>
  <si>
    <t>RF-41407</t>
  </si>
  <si>
    <t>RF-41406</t>
  </si>
  <si>
    <t>RF-41405</t>
  </si>
  <si>
    <t>AS-55363</t>
  </si>
  <si>
    <t>AS-55361</t>
  </si>
  <si>
    <t>AS-55360</t>
  </si>
  <si>
    <t>AS-55359</t>
  </si>
  <si>
    <t>AS-55358</t>
  </si>
  <si>
    <t>AS-55357</t>
  </si>
  <si>
    <t>AS-55356</t>
  </si>
  <si>
    <t>AS-55355</t>
  </si>
  <si>
    <t>AS-55354</t>
  </si>
  <si>
    <t>AS-55345</t>
  </si>
  <si>
    <t>AS-55343</t>
  </si>
  <si>
    <t>AS-55342</t>
  </si>
  <si>
    <t>AS-55341</t>
  </si>
  <si>
    <t>AS-55340</t>
  </si>
  <si>
    <t>AS-55339</t>
  </si>
  <si>
    <t>AS-55334</t>
  </si>
  <si>
    <t>AS-55333</t>
  </si>
  <si>
    <t>AS-55332</t>
  </si>
  <si>
    <t>AS-55331</t>
  </si>
  <si>
    <t>AS-55330</t>
  </si>
  <si>
    <t>AS-55329</t>
  </si>
  <si>
    <t>AS-55328</t>
  </si>
  <si>
    <t>AS-55327</t>
  </si>
  <si>
    <t>AS-55326</t>
  </si>
  <si>
    <t>AS-55325</t>
  </si>
  <si>
    <t>AS-55324</t>
  </si>
  <si>
    <t>AS-55323</t>
  </si>
  <si>
    <t>AS-55322</t>
  </si>
  <si>
    <t>AS-55321</t>
  </si>
  <si>
    <t>AS-55320</t>
  </si>
  <si>
    <t>AR-15169</t>
  </si>
  <si>
    <t>AR-15168</t>
  </si>
  <si>
    <t>AR-15167</t>
  </si>
  <si>
    <t>AR-15166</t>
  </si>
  <si>
    <t>AR-15165</t>
  </si>
  <si>
    <t>AR-15164</t>
  </si>
  <si>
    <t>RF-41411</t>
  </si>
  <si>
    <t xml:space="preserve">RF-41409 </t>
  </si>
  <si>
    <t>RF-41415</t>
  </si>
  <si>
    <t>RF-41414</t>
  </si>
  <si>
    <t>RF-41413</t>
  </si>
  <si>
    <t>AR-15174</t>
  </si>
  <si>
    <t>AS-55365</t>
  </si>
  <si>
    <t>AS-55364</t>
  </si>
  <si>
    <t>AS-55224</t>
  </si>
  <si>
    <t>AR-15159</t>
  </si>
  <si>
    <t>RF-41457</t>
  </si>
  <si>
    <t>RF-41456</t>
  </si>
  <si>
    <t>RF-41455</t>
  </si>
  <si>
    <t>RF-41454</t>
  </si>
  <si>
    <t>RF-41453</t>
  </si>
  <si>
    <t>RF-41452</t>
  </si>
  <si>
    <t>RF-41451</t>
  </si>
  <si>
    <t>RF-41450</t>
  </si>
  <si>
    <t>RF-41449</t>
  </si>
  <si>
    <t>RF-41448</t>
  </si>
  <si>
    <t>RF-41447</t>
  </si>
  <si>
    <t>RF-41446</t>
  </si>
  <si>
    <t>RF-41445</t>
  </si>
  <si>
    <t>RF-41444</t>
  </si>
  <si>
    <t>AS-55459</t>
  </si>
  <si>
    <t>RF-55450</t>
  </si>
  <si>
    <t>AS-55448</t>
  </si>
  <si>
    <t>AS-55444</t>
  </si>
  <si>
    <t>AS-55442</t>
  </si>
  <si>
    <t>AS-55441</t>
  </si>
  <si>
    <t>AS-55440</t>
  </si>
  <si>
    <t>AS-55439</t>
  </si>
  <si>
    <t>AS-55438</t>
  </si>
  <si>
    <t>AS-55398</t>
  </si>
  <si>
    <t>AS-55437</t>
  </si>
  <si>
    <t>AS-55436</t>
  </si>
  <si>
    <t>AS-55435</t>
  </si>
  <si>
    <t>AS-55431</t>
  </si>
  <si>
    <t>AS-55434</t>
  </si>
  <si>
    <t>AS-55433</t>
  </si>
  <si>
    <t>AS-55432</t>
  </si>
  <si>
    <t>AS-55430</t>
  </si>
  <si>
    <t>RF-41430</t>
  </si>
  <si>
    <t>RF-41437</t>
  </si>
  <si>
    <t>RF-41436</t>
  </si>
  <si>
    <t>RF-41435</t>
  </si>
  <si>
    <t>RF-41434</t>
  </si>
  <si>
    <t>RF-41433</t>
  </si>
  <si>
    <t>RF-41432</t>
  </si>
  <si>
    <t>RF-41431</t>
  </si>
  <si>
    <t>RF-41429</t>
  </si>
  <si>
    <t>RF-41428</t>
  </si>
  <si>
    <t>RF-41427</t>
  </si>
  <si>
    <t>RF-41426</t>
  </si>
  <si>
    <t>RF-41425</t>
  </si>
  <si>
    <t>RF-41424</t>
  </si>
  <si>
    <t>RF-41423</t>
  </si>
  <si>
    <t>RF-41422</t>
  </si>
  <si>
    <t>RF-41421</t>
  </si>
  <si>
    <t>RF-41420</t>
  </si>
  <si>
    <t>RF-41418</t>
  </si>
  <si>
    <t>AS-55420</t>
  </si>
  <si>
    <t>AS-55419</t>
  </si>
  <si>
    <t>AS-55418</t>
  </si>
  <si>
    <t>AS-55417</t>
  </si>
  <si>
    <t>AS-55416</t>
  </si>
  <si>
    <t>AS-55415</t>
  </si>
  <si>
    <t>AS-55414</t>
  </si>
  <si>
    <t>AS-53404</t>
  </si>
  <si>
    <t>AS-55402</t>
  </si>
  <si>
    <t>AS-55400</t>
  </si>
  <si>
    <t>AS-55391</t>
  </si>
  <si>
    <t>AS-55390</t>
  </si>
  <si>
    <t>AS-55389</t>
  </si>
  <si>
    <t>AS-55388</t>
  </si>
  <si>
    <t>AS-55387</t>
  </si>
  <si>
    <t>AS-55386</t>
  </si>
  <si>
    <t>AS-55385</t>
  </si>
  <si>
    <t>AS-55384</t>
  </si>
  <si>
    <t>AS-55383</t>
  </si>
  <si>
    <t>AS-55382</t>
  </si>
  <si>
    <t>AS-55381</t>
  </si>
  <si>
    <t>AS-55380</t>
  </si>
  <si>
    <t>AS-55379</t>
  </si>
  <si>
    <t>AS-55378</t>
  </si>
  <si>
    <t>AR-15180</t>
  </si>
  <si>
    <t>AR15179</t>
  </si>
  <si>
    <t>AR-15178</t>
  </si>
  <si>
    <t>AS-55410</t>
  </si>
  <si>
    <t>AR-15177</t>
  </si>
  <si>
    <t>RF-41470</t>
  </si>
  <si>
    <t>RF-41469</t>
  </si>
  <si>
    <t>RF-41468</t>
  </si>
  <si>
    <t>RF-41467</t>
  </si>
  <si>
    <t>RF-41466</t>
  </si>
  <si>
    <t>RF-41465</t>
  </si>
  <si>
    <t>RF-41464</t>
  </si>
  <si>
    <t>RF-41463</t>
  </si>
  <si>
    <t>RF-41462</t>
  </si>
  <si>
    <t>RF-41461</t>
  </si>
  <si>
    <t>RF-41459</t>
  </si>
  <si>
    <t>RF-41458</t>
  </si>
  <si>
    <t>AS-55500</t>
  </si>
  <si>
    <t>AS-55496</t>
  </si>
  <si>
    <t>AS-55495</t>
  </si>
  <si>
    <t>AS-55494</t>
  </si>
  <si>
    <t>AS-55493</t>
  </si>
  <si>
    <t>AS-55492</t>
  </si>
  <si>
    <t>AS-55491</t>
  </si>
  <si>
    <t>AS-55490</t>
  </si>
  <si>
    <t>AS-55489</t>
  </si>
  <si>
    <t>AS-55486</t>
  </si>
  <si>
    <t>AS-55488</t>
  </si>
  <si>
    <t>AS-55485</t>
  </si>
  <si>
    <t>AS-55484</t>
  </si>
  <si>
    <t>AS-55474</t>
  </si>
  <si>
    <t>AS-55473</t>
  </si>
  <si>
    <t>AS-55472</t>
  </si>
  <si>
    <t>AS-55471</t>
  </si>
  <si>
    <t>AS-55469</t>
  </si>
  <si>
    <t>AS-55468</t>
  </si>
  <si>
    <t>AS-55467</t>
  </si>
  <si>
    <t>AS-55465</t>
  </si>
  <si>
    <t>AR-15188</t>
  </si>
  <si>
    <t>AR-15186</t>
  </si>
  <si>
    <t>AR-15185</t>
  </si>
  <si>
    <t>RF-41443</t>
  </si>
  <si>
    <t>RF-41442</t>
  </si>
  <si>
    <t>RF-41441</t>
  </si>
  <si>
    <t>RF-41440</t>
  </si>
  <si>
    <t>RF-41439</t>
  </si>
  <si>
    <t>AS-55427</t>
  </si>
  <si>
    <t>AS-55425</t>
  </si>
  <si>
    <t>AS-55421</t>
  </si>
  <si>
    <t>RF-41489</t>
  </si>
  <si>
    <t>RF-41484</t>
  </si>
  <si>
    <t>RF-41483</t>
  </si>
  <si>
    <t>RF-41482</t>
  </si>
  <si>
    <t>RF-41478</t>
  </si>
  <si>
    <t>RF-41477</t>
  </si>
  <si>
    <t>RF-41476</t>
  </si>
  <si>
    <t>RF-41475</t>
  </si>
  <si>
    <t>RF-41474</t>
  </si>
  <si>
    <t>RF-41473</t>
  </si>
  <si>
    <t>RF-41472</t>
  </si>
  <si>
    <t>RF-41471</t>
  </si>
  <si>
    <t>AR-15197</t>
  </si>
  <si>
    <t>AR-15196</t>
  </si>
  <si>
    <t>AS-15195</t>
  </si>
  <si>
    <t>AR-15193</t>
  </si>
  <si>
    <t>AS-5552</t>
  </si>
  <si>
    <t>AS-55547</t>
  </si>
  <si>
    <t>AS-55546</t>
  </si>
  <si>
    <t>AS-55545</t>
  </si>
  <si>
    <t>AS-55544</t>
  </si>
  <si>
    <t>AS-55543</t>
  </si>
  <si>
    <t>AS-55540</t>
  </si>
  <si>
    <t>AS-55536</t>
  </si>
  <si>
    <t>AS-55535</t>
  </si>
  <si>
    <t>AS-55533</t>
  </si>
  <si>
    <t>AS-55528</t>
  </si>
  <si>
    <t>AS-55526</t>
  </si>
  <si>
    <t>AS-55520</t>
  </si>
  <si>
    <t>AS-55519</t>
  </si>
  <si>
    <t>AR-15194</t>
  </si>
  <si>
    <t>RF-41545</t>
  </si>
  <si>
    <t>RF-41544</t>
  </si>
  <si>
    <t>RF-41543</t>
  </si>
  <si>
    <t>RF-41541</t>
  </si>
  <si>
    <t>RF-41540</t>
  </si>
  <si>
    <t>RF-41539</t>
  </si>
  <si>
    <t>AR-15204</t>
  </si>
  <si>
    <t>AR-15201</t>
  </si>
  <si>
    <t>AR-15200</t>
  </si>
  <si>
    <t>AS-55571</t>
  </si>
  <si>
    <t>AS-55570</t>
  </si>
  <si>
    <t>AS-55569</t>
  </si>
  <si>
    <t>AS-55568</t>
  </si>
  <si>
    <t>RF-41569</t>
  </si>
  <si>
    <t>RF-41568</t>
  </si>
  <si>
    <t>RF-41567</t>
  </si>
  <si>
    <t>RF-41566</t>
  </si>
  <si>
    <t>RF-41565</t>
  </si>
  <si>
    <t>AS-55600</t>
  </si>
  <si>
    <t>AS-55599</t>
  </si>
  <si>
    <t>AS-55598</t>
  </si>
  <si>
    <t>AS-55597</t>
  </si>
  <si>
    <t>RF-41581</t>
  </si>
  <si>
    <t>RF-41580</t>
  </si>
  <si>
    <t>RF-41582</t>
  </si>
  <si>
    <t>RF-41579</t>
  </si>
  <si>
    <t>AR-15217</t>
  </si>
  <si>
    <t>AS-55626</t>
  </si>
  <si>
    <t>AS-55624</t>
  </si>
  <si>
    <t>AS-55623</t>
  </si>
  <si>
    <t>AS-55622</t>
  </si>
  <si>
    <t>AS-55619</t>
  </si>
  <si>
    <t>AS-55618</t>
  </si>
  <si>
    <t>AS-55616</t>
  </si>
  <si>
    <t>RF-41564</t>
  </si>
  <si>
    <t>RF-41563</t>
  </si>
  <si>
    <t>RF-41562</t>
  </si>
  <si>
    <t>RF-41557</t>
  </si>
  <si>
    <t>RF-41556</t>
  </si>
  <si>
    <t>RF-41555</t>
  </si>
  <si>
    <t>RF-41554</t>
  </si>
  <si>
    <t>RF-41553</t>
  </si>
  <si>
    <t>RF-41552</t>
  </si>
  <si>
    <t>RF-41551</t>
  </si>
  <si>
    <t>RF-41550</t>
  </si>
  <si>
    <t>RF-41549</t>
  </si>
  <si>
    <t>RF-41548</t>
  </si>
  <si>
    <t>RF-41547</t>
  </si>
  <si>
    <t>RF-41546</t>
  </si>
  <si>
    <t>AS-55595</t>
  </si>
  <si>
    <t>AS-55594</t>
  </si>
  <si>
    <t>AS-55593</t>
  </si>
  <si>
    <t>AS-55592</t>
  </si>
  <si>
    <t>AS-55591</t>
  </si>
  <si>
    <t>AS-55590</t>
  </si>
  <si>
    <t>AS-55589</t>
  </si>
  <si>
    <t>AS-55588</t>
  </si>
  <si>
    <t>AS-55587</t>
  </si>
  <si>
    <t>AS-55586</t>
  </si>
  <si>
    <t>AS-55585</t>
  </si>
  <si>
    <t>AS-55584</t>
  </si>
  <si>
    <t>AS-55583</t>
  </si>
  <si>
    <t>AS-55582</t>
  </si>
  <si>
    <t>AS-55581</t>
  </si>
  <si>
    <t>AS-55580</t>
  </si>
  <si>
    <t>AS-55579</t>
  </si>
  <si>
    <t>AS-55578</t>
  </si>
  <si>
    <t>AS-55577</t>
  </si>
  <si>
    <t>AS-55576</t>
  </si>
  <si>
    <t>AS-55575</t>
  </si>
  <si>
    <t>AR-15208</t>
  </si>
  <si>
    <t>AR-15207</t>
  </si>
  <si>
    <t>AR-15209</t>
  </si>
  <si>
    <t>RF-41578</t>
  </si>
  <si>
    <t>RF-41577</t>
  </si>
  <si>
    <t>RF-41576</t>
  </si>
  <si>
    <t>RF-41575</t>
  </si>
  <si>
    <t>RF-41574</t>
  </si>
  <si>
    <t>RF-41573</t>
  </si>
  <si>
    <t>RF-41572</t>
  </si>
  <si>
    <t>RF-41571</t>
  </si>
  <si>
    <t>RF-41570</t>
  </si>
  <si>
    <t>AS-55615</t>
  </si>
  <si>
    <t>AS-55614</t>
  </si>
  <si>
    <t>AS-55613</t>
  </si>
  <si>
    <t>AS-55612</t>
  </si>
  <si>
    <t>AS-55611</t>
  </si>
  <si>
    <t>AS-55610</t>
  </si>
  <si>
    <t>AS-55609</t>
  </si>
  <si>
    <t>AS-55608</t>
  </si>
  <si>
    <t>AS-55606</t>
  </si>
  <si>
    <t>AS-55605</t>
  </si>
  <si>
    <t>AS-55604</t>
  </si>
  <si>
    <t>AS-55603</t>
  </si>
  <si>
    <t>AS-55602</t>
  </si>
  <si>
    <t>RF-41599</t>
  </si>
  <si>
    <t>RF-41596</t>
  </si>
  <si>
    <t>RF-41595</t>
  </si>
  <si>
    <t>RF-41594</t>
  </si>
  <si>
    <t>RF-41593</t>
  </si>
  <si>
    <t>RF-41592</t>
  </si>
  <si>
    <t>RF-41591</t>
  </si>
  <si>
    <t>RF-41590</t>
  </si>
  <si>
    <t>RF-41589</t>
  </si>
  <si>
    <t>RF-41588</t>
  </si>
  <si>
    <t>RF-41587</t>
  </si>
  <si>
    <t>RF-41586</t>
  </si>
  <si>
    <t>RF-41585</t>
  </si>
  <si>
    <t>RF-41584</t>
  </si>
  <si>
    <t>RF-41583</t>
  </si>
  <si>
    <t>AS-55651</t>
  </si>
  <si>
    <t>AS-55652</t>
  </si>
  <si>
    <t>AS-55650</t>
  </si>
  <si>
    <t>AS-55648</t>
  </si>
  <si>
    <t>AS-55647</t>
  </si>
  <si>
    <t>AS-55645</t>
  </si>
  <si>
    <t>AS-55644</t>
  </si>
  <si>
    <t>AS-55643</t>
  </si>
  <si>
    <t>AS-55642</t>
  </si>
  <si>
    <t>AS-55641</t>
  </si>
  <si>
    <t>AS-55640</t>
  </si>
  <si>
    <t>AS-55639</t>
  </si>
  <si>
    <t>AS-55638</t>
  </si>
  <si>
    <t>AS-55637</t>
  </si>
  <si>
    <t>AS-55636</t>
  </si>
  <si>
    <t>AS-55635</t>
  </si>
  <si>
    <t>AS-55634</t>
  </si>
  <si>
    <t>AS-55633</t>
  </si>
  <si>
    <t>AS-55632</t>
  </si>
  <si>
    <t>AS-55631</t>
  </si>
  <si>
    <t>AS-55630</t>
  </si>
  <si>
    <t>AR-15221</t>
  </si>
  <si>
    <t>AR-15220</t>
  </si>
  <si>
    <t>AR-15218</t>
  </si>
  <si>
    <t>RF-41633</t>
  </si>
  <si>
    <t>RF-41632</t>
  </si>
  <si>
    <t>RF-41631</t>
  </si>
  <si>
    <t>RF-41630</t>
  </si>
  <si>
    <t>RF-41629</t>
  </si>
  <si>
    <t>RF-41628</t>
  </si>
  <si>
    <t>RF-41627</t>
  </si>
  <si>
    <t>RF-41626</t>
  </si>
  <si>
    <t>RF-41624</t>
  </si>
  <si>
    <t>RF-41623</t>
  </si>
  <si>
    <t>RF-41622</t>
  </si>
  <si>
    <t>RF-41621</t>
  </si>
  <si>
    <t>RF-41608</t>
  </si>
  <si>
    <t>RF-41607</t>
  </si>
  <si>
    <t>AS-55694</t>
  </si>
  <si>
    <t>AS-55693</t>
  </si>
  <si>
    <t>AS-55692</t>
  </si>
  <si>
    <t>AS-55691</t>
  </si>
  <si>
    <t>AS-55690</t>
  </si>
  <si>
    <t>AS-55689</t>
  </si>
  <si>
    <t>AS-55688</t>
  </si>
  <si>
    <t>AS-55687</t>
  </si>
  <si>
    <t>AS-55686</t>
  </si>
  <si>
    <t>AS-55685</t>
  </si>
  <si>
    <t>AS-55684</t>
  </si>
  <si>
    <t>AS-55683</t>
  </si>
  <si>
    <t>AS-55682</t>
  </si>
  <si>
    <t>AS-55681</t>
  </si>
  <si>
    <t>AS-55680</t>
  </si>
  <si>
    <t>AS-55679</t>
  </si>
  <si>
    <t>AS-55678</t>
  </si>
  <si>
    <t>AS-55677</t>
  </si>
  <si>
    <t>AS-55676</t>
  </si>
  <si>
    <t>AS-55675</t>
  </si>
  <si>
    <t>AS-55674</t>
  </si>
  <si>
    <t>AS-55673</t>
  </si>
  <si>
    <t>AS-55672</t>
  </si>
  <si>
    <t>AS-55671</t>
  </si>
  <si>
    <t>AS-55670</t>
  </si>
  <si>
    <t>AS-55669</t>
  </si>
  <si>
    <t>AR-15231</t>
  </si>
  <si>
    <t>AR-15228</t>
  </si>
  <si>
    <t>RF-41606</t>
  </si>
  <si>
    <t>RF-41605</t>
  </si>
  <si>
    <t>RF-41604</t>
  </si>
  <si>
    <t>RF-41603</t>
  </si>
  <si>
    <t>RF-41600</t>
  </si>
  <si>
    <t>AR-15227</t>
  </si>
  <si>
    <t>AR-15226</t>
  </si>
  <si>
    <t>AS-55668</t>
  </si>
  <si>
    <t>AS-55667</t>
  </si>
  <si>
    <t>AS-55666</t>
  </si>
  <si>
    <t>AS-55660</t>
  </si>
  <si>
    <t>AS-55659</t>
  </si>
  <si>
    <t>AS-55654</t>
  </si>
  <si>
    <t>AS-55653</t>
  </si>
  <si>
    <t>RF-41648</t>
  </si>
  <si>
    <t>RF-41647</t>
  </si>
  <si>
    <t>RF-41646</t>
  </si>
  <si>
    <t>RF-41645</t>
  </si>
  <si>
    <t>RF-41644</t>
  </si>
  <si>
    <t>RF-41643</t>
  </si>
  <si>
    <t>RF-41642</t>
  </si>
  <si>
    <t>RF-41641</t>
  </si>
  <si>
    <t>RF-41640</t>
  </si>
  <si>
    <t>RF-41639</t>
  </si>
  <si>
    <t>RF-41638</t>
  </si>
  <si>
    <t>RF-41637</t>
  </si>
  <si>
    <t>RF-41636</t>
  </si>
  <si>
    <t>RF-41635</t>
  </si>
  <si>
    <t>RF-41634</t>
  </si>
  <si>
    <t>AS-55717</t>
  </si>
  <si>
    <t>AS-55716</t>
  </si>
  <si>
    <t>AS-55715</t>
  </si>
  <si>
    <t>AS-55714</t>
  </si>
  <si>
    <t>AS-55713</t>
  </si>
  <si>
    <t>AS-55712</t>
  </si>
  <si>
    <t>AS-55711</t>
  </si>
  <si>
    <t>AS-55710</t>
  </si>
  <si>
    <t>AS-55709</t>
  </si>
  <si>
    <t>AS-55708</t>
  </si>
  <si>
    <t>AS-55707</t>
  </si>
  <si>
    <t>AS-55706</t>
  </si>
  <si>
    <t>AS-55705</t>
  </si>
  <si>
    <t>AS-55704</t>
  </si>
  <si>
    <t>AS-55703</t>
  </si>
  <si>
    <t>AS-55702</t>
  </si>
  <si>
    <t>AS-55701</t>
  </si>
  <si>
    <t>AS-55700</t>
  </si>
  <si>
    <t>AS-55699</t>
  </si>
  <si>
    <t>AS-55698</t>
  </si>
  <si>
    <t>AS-55697</t>
  </si>
  <si>
    <t>AS-55696</t>
  </si>
  <si>
    <t>AS-55695</t>
  </si>
  <si>
    <t>AR-15238</t>
  </si>
  <si>
    <t>AR-15237</t>
  </si>
  <si>
    <t>AR-15236</t>
  </si>
  <si>
    <t>AR-15234</t>
  </si>
  <si>
    <t>RF-41649</t>
  </si>
  <si>
    <t>RF-41660</t>
  </si>
  <si>
    <t>RF-41659</t>
  </si>
  <si>
    <t>RF-41658</t>
  </si>
  <si>
    <t>RF-41657</t>
  </si>
  <si>
    <t>RF-41656</t>
  </si>
  <si>
    <t>RF-41655</t>
  </si>
  <si>
    <t>RF-41654</t>
  </si>
  <si>
    <t>RF-41653</t>
  </si>
  <si>
    <t>RF-41652</t>
  </si>
  <si>
    <t>RF-41651</t>
  </si>
  <si>
    <t>RF-41650</t>
  </si>
  <si>
    <t>AS-55727</t>
  </si>
  <si>
    <t>AS-55726</t>
  </si>
  <si>
    <t>AS-55725</t>
  </si>
  <si>
    <t>AS-55724</t>
  </si>
  <si>
    <t>AS-55723</t>
  </si>
  <si>
    <t>AS-55722</t>
  </si>
  <si>
    <t>AR-15242</t>
  </si>
  <si>
    <t>AR-15241</t>
  </si>
  <si>
    <t>AR-15240</t>
  </si>
  <si>
    <t>AR-15239</t>
  </si>
  <si>
    <t>RF-41667</t>
  </si>
  <si>
    <t>RF-41666</t>
  </si>
  <si>
    <t>RF-41665</t>
  </si>
  <si>
    <t>RF-41664</t>
  </si>
  <si>
    <t>RF-41662</t>
  </si>
  <si>
    <t>RF-41661</t>
  </si>
  <si>
    <t>AR-15247</t>
  </si>
  <si>
    <t>AR-15246</t>
  </si>
  <si>
    <t>AR-15245</t>
  </si>
  <si>
    <t>AS-55744</t>
  </si>
  <si>
    <t>AS-55743</t>
  </si>
  <si>
    <t>AS-55742</t>
  </si>
  <si>
    <t>AS-55741</t>
  </si>
  <si>
    <t>AS-55740</t>
  </si>
  <si>
    <t>AS-55739</t>
  </si>
  <si>
    <t>AS-55738</t>
  </si>
  <si>
    <t>AS-55733</t>
  </si>
  <si>
    <t>AS-55736</t>
  </si>
  <si>
    <t>AS-55735</t>
  </si>
  <si>
    <t>AS-55734</t>
  </si>
  <si>
    <t>AS-55732</t>
  </si>
  <si>
    <t>AS-55731</t>
  </si>
  <si>
    <t>AS-55730</t>
  </si>
  <si>
    <t>AS-55729</t>
  </si>
  <si>
    <t>AS-55728</t>
  </si>
  <si>
    <t>RF-41674</t>
  </si>
  <si>
    <t>RF-41673</t>
  </si>
  <si>
    <t>RF-41672</t>
  </si>
  <si>
    <t>RF-41671</t>
  </si>
  <si>
    <t>RF-41670</t>
  </si>
  <si>
    <t>RF-41669</t>
  </si>
  <si>
    <t>RF-41668</t>
  </si>
  <si>
    <t>AS-55753</t>
  </si>
  <si>
    <t>AS-55752</t>
  </si>
  <si>
    <t>AS-55751</t>
  </si>
  <si>
    <t>AS-55750</t>
  </si>
  <si>
    <t>AS-55749</t>
  </si>
  <si>
    <t>AS-55748</t>
  </si>
  <si>
    <t>AS-55747</t>
  </si>
  <si>
    <t>AS-55746</t>
  </si>
  <si>
    <t>AS-55745</t>
  </si>
  <si>
    <t>AR-15253</t>
  </si>
  <si>
    <t>AR-15252</t>
  </si>
  <si>
    <t>RF-41706</t>
  </si>
  <si>
    <t>RF-41705</t>
  </si>
  <si>
    <t xml:space="preserve"> RF-41704</t>
  </si>
  <si>
    <t>RF-41703</t>
  </si>
  <si>
    <t>RF-41701</t>
  </si>
  <si>
    <t>AS-55787</t>
  </si>
  <si>
    <t>AS-55786</t>
  </si>
  <si>
    <t>AS-55785</t>
  </si>
  <si>
    <t>AS-55784</t>
  </si>
  <si>
    <t>AS-55783</t>
  </si>
  <si>
    <t>AS-55774</t>
  </si>
  <si>
    <t>AR-15268</t>
  </si>
  <si>
    <t>AR-15266</t>
  </si>
  <si>
    <t>AR-15265</t>
  </si>
  <si>
    <t>RF-41702</t>
  </si>
  <si>
    <t>RF-41699</t>
  </si>
  <si>
    <t>RF-41700</t>
  </si>
  <si>
    <t>RF-41698</t>
  </si>
  <si>
    <t>RF-41696</t>
  </si>
  <si>
    <t>RF-41695</t>
  </si>
  <si>
    <t>RF-41684</t>
  </si>
  <si>
    <t>RF-41683</t>
  </si>
  <si>
    <t>RF-41682</t>
  </si>
  <si>
    <t>RF-41681</t>
  </si>
  <si>
    <t>RF-41680</t>
  </si>
  <si>
    <t>RF-41679</t>
  </si>
  <si>
    <t>RF-41678</t>
  </si>
  <si>
    <t>RF-41677</t>
  </si>
  <si>
    <t>RF-41676</t>
  </si>
  <si>
    <t>RF-41675</t>
  </si>
  <si>
    <t>AR-15262</t>
  </si>
  <si>
    <t>AR-15261</t>
  </si>
  <si>
    <t>AR-15260</t>
  </si>
  <si>
    <t>AR-15254</t>
  </si>
  <si>
    <t>AR-55773</t>
  </si>
  <si>
    <t>AS-55772</t>
  </si>
  <si>
    <t>AS-55770</t>
  </si>
  <si>
    <t>AS-55769</t>
  </si>
  <si>
    <t>AS-55768</t>
  </si>
  <si>
    <t>AS-55767</t>
  </si>
  <si>
    <t>AS-55766</t>
  </si>
  <si>
    <t>AS-55765</t>
  </si>
  <si>
    <t>AS-55763</t>
  </si>
  <si>
    <t>AS-55762</t>
  </si>
  <si>
    <t>AS-55761</t>
  </si>
  <si>
    <t>AS-55760</t>
  </si>
  <si>
    <t>AS-55759</t>
  </si>
  <si>
    <t>AS-55758</t>
  </si>
  <si>
    <t>AS-55757</t>
  </si>
  <si>
    <t>AS-55756</t>
  </si>
  <si>
    <t>AS-55754</t>
  </si>
  <si>
    <t>RF-41723</t>
  </si>
  <si>
    <t>RF-41722</t>
  </si>
  <si>
    <t>RF-41721</t>
  </si>
  <si>
    <t>RF-41720</t>
  </si>
  <si>
    <t>RF-41719</t>
  </si>
  <si>
    <t>RF-41718</t>
  </si>
  <si>
    <t>RF-41717</t>
  </si>
  <si>
    <t>RF-41716</t>
  </si>
  <si>
    <t>RF-41715</t>
  </si>
  <si>
    <t>RF-41714</t>
  </si>
  <si>
    <t>RF-41713</t>
  </si>
  <si>
    <t>RF-41712</t>
  </si>
  <si>
    <t>RF-41711</t>
  </si>
  <si>
    <t>RF-41710</t>
  </si>
  <si>
    <t>RF-41709</t>
  </si>
  <si>
    <t>RF-41708</t>
  </si>
  <si>
    <t>RF-41707</t>
  </si>
  <si>
    <t>AR-15278</t>
  </si>
  <si>
    <t>AR-15277</t>
  </si>
  <si>
    <t>AR-15276</t>
  </si>
  <si>
    <t>AR-15274</t>
  </si>
  <si>
    <t>AR-15273</t>
  </si>
  <si>
    <t>AR-15272</t>
  </si>
  <si>
    <t>AR-15271</t>
  </si>
  <si>
    <t>AR-15270</t>
  </si>
  <si>
    <t>AS-55818</t>
  </si>
  <si>
    <t>AS-55817</t>
  </si>
  <si>
    <t>AS-55816</t>
  </si>
  <si>
    <t>AS-55815</t>
  </si>
  <si>
    <t>AS-55814</t>
  </si>
  <si>
    <t>AS-55813</t>
  </si>
  <si>
    <t>AS-55812</t>
  </si>
  <si>
    <t>AS-55811</t>
  </si>
  <si>
    <t>AS-55810</t>
  </si>
  <si>
    <t>AS-55809</t>
  </si>
  <si>
    <t>AS-55807</t>
  </si>
  <si>
    <t>AS-55806</t>
  </si>
  <si>
    <t>AS-55798</t>
  </si>
  <si>
    <t>AS-55795</t>
  </si>
  <si>
    <t>AS-55794</t>
  </si>
  <si>
    <t>AS-55793</t>
  </si>
  <si>
    <t>AS-55792</t>
  </si>
  <si>
    <t>RF-41732</t>
  </si>
  <si>
    <t>RF-41731</t>
  </si>
  <si>
    <t>RF-41730</t>
  </si>
  <si>
    <t>RF-41729</t>
  </si>
  <si>
    <t>RF-41728</t>
  </si>
  <si>
    <t>RF-41727</t>
  </si>
  <si>
    <t>RF-41726</t>
  </si>
  <si>
    <t>RF-41724</t>
  </si>
  <si>
    <t>AR-15291</t>
  </si>
  <si>
    <t>AR-15290</t>
  </si>
  <si>
    <t>AR-15285</t>
  </si>
  <si>
    <t>AR-15282</t>
  </si>
  <si>
    <t>AR-15279</t>
  </si>
  <si>
    <t>AS-55826</t>
  </si>
  <si>
    <t>AS-55825</t>
  </si>
  <si>
    <t>AS-55824</t>
  </si>
  <si>
    <t>AS-55823</t>
  </si>
  <si>
    <t>AS-55822</t>
  </si>
  <si>
    <t>AS-55821</t>
  </si>
  <si>
    <t>AS-55820</t>
  </si>
  <si>
    <t>AS-55819</t>
  </si>
  <si>
    <t>RF-41725</t>
  </si>
  <si>
    <t>RF-41743</t>
  </si>
  <si>
    <t>RF-41742</t>
  </si>
  <si>
    <t>RF-41741</t>
  </si>
  <si>
    <t>RF-41740</t>
  </si>
  <si>
    <t>RF-41739</t>
  </si>
  <si>
    <t>RF-41738</t>
  </si>
  <si>
    <t>RF-41737</t>
  </si>
  <si>
    <t>RF-41736</t>
  </si>
  <si>
    <t>RF-41735</t>
  </si>
  <si>
    <t>RF-41734</t>
  </si>
  <si>
    <t>RF-41733</t>
  </si>
  <si>
    <t>AR-15296</t>
  </si>
  <si>
    <t>AR-15292</t>
  </si>
  <si>
    <t>AS-55863</t>
  </si>
  <si>
    <t>AS-55862</t>
  </si>
  <si>
    <t>AS-55861</t>
  </si>
  <si>
    <t>AS-55860</t>
  </si>
  <si>
    <t>AS-55859</t>
  </si>
  <si>
    <t>AS-55858</t>
  </si>
  <si>
    <t>AS-55857</t>
  </si>
  <si>
    <t>AS-55856</t>
  </si>
  <si>
    <t>AS-55855</t>
  </si>
  <si>
    <t>AS-55853</t>
  </si>
  <si>
    <t>AS-55850</t>
  </si>
  <si>
    <t>AS-55848</t>
  </si>
  <si>
    <t>AS-55847</t>
  </si>
  <si>
    <t>AS-55844</t>
  </si>
  <si>
    <t>AS-55838</t>
  </si>
  <si>
    <t>AS-55834</t>
  </si>
  <si>
    <t>AS-55833</t>
  </si>
  <si>
    <t>AS-55832</t>
  </si>
  <si>
    <t>AS-55831</t>
  </si>
  <si>
    <t>AS-55830</t>
  </si>
  <si>
    <t>AS-55829</t>
  </si>
  <si>
    <t>AS-55828</t>
  </si>
  <si>
    <t>AS-55827</t>
  </si>
  <si>
    <t>RF-41753</t>
  </si>
  <si>
    <t>RF-41751</t>
  </si>
  <si>
    <t>RF-41750</t>
  </si>
  <si>
    <t>RF-41749</t>
  </si>
  <si>
    <t>RF-41748</t>
  </si>
  <si>
    <t>RF-41747</t>
  </si>
  <si>
    <t>RF-41746</t>
  </si>
  <si>
    <t>RF-41745</t>
  </si>
  <si>
    <t>RF-41744</t>
  </si>
  <si>
    <t>AS-55881</t>
  </si>
  <si>
    <t>AS-55880</t>
  </si>
  <si>
    <t>AS-55879</t>
  </si>
  <si>
    <t>AS-55778</t>
  </si>
  <si>
    <t>AS-55875</t>
  </si>
  <si>
    <t>AS-55873</t>
  </si>
  <si>
    <t>AS-55872</t>
  </si>
  <si>
    <t>AS-55871</t>
  </si>
  <si>
    <t>AS-55870</t>
  </si>
  <si>
    <t>AS-55869</t>
  </si>
  <si>
    <t>AS-55868</t>
  </si>
  <si>
    <t>AS-55867</t>
  </si>
  <si>
    <t>AS-55866</t>
  </si>
  <si>
    <t>AS-55865</t>
  </si>
  <si>
    <t>AR-15304</t>
  </si>
  <si>
    <t>AS-15303</t>
  </si>
  <si>
    <t>AR-15300</t>
  </si>
  <si>
    <t>AR-15299</t>
  </si>
  <si>
    <t>AR-15297</t>
  </si>
  <si>
    <t>RF-41767</t>
  </si>
  <si>
    <t>RF-41766</t>
  </si>
  <si>
    <t>RF-41765</t>
  </si>
  <si>
    <t>RF-41764</t>
  </si>
  <si>
    <t>RF-41763</t>
  </si>
  <si>
    <t>RF-41762</t>
  </si>
  <si>
    <t>RF-41761+</t>
  </si>
  <si>
    <t>RF-41760</t>
  </si>
  <si>
    <t>RF-41759</t>
  </si>
  <si>
    <t>RF-41758</t>
  </si>
  <si>
    <t>RF-41757</t>
  </si>
  <si>
    <t>RF-41756</t>
  </si>
  <si>
    <t>RF-41755</t>
  </si>
  <si>
    <t>RF-41754</t>
  </si>
  <si>
    <t>AS-55897</t>
  </si>
  <si>
    <t>AS-55895</t>
  </si>
  <si>
    <t>AS-55894</t>
  </si>
  <si>
    <t>AS-55892</t>
  </si>
  <si>
    <t>AS-55891</t>
  </si>
  <si>
    <t>AS-55890</t>
  </si>
  <si>
    <t>AS-55889</t>
  </si>
  <si>
    <t>AS-55888</t>
  </si>
  <si>
    <t>AS-55887</t>
  </si>
  <si>
    <t>AS-55885</t>
  </si>
  <si>
    <t>AS-55884</t>
  </si>
  <si>
    <t>AS-55883</t>
  </si>
  <si>
    <t>AS-55882</t>
  </si>
  <si>
    <t>RF-41779</t>
  </si>
  <si>
    <t>RF-41778</t>
  </si>
  <si>
    <t>RF-41777</t>
  </si>
  <si>
    <t>RF-41776</t>
  </si>
  <si>
    <t>RF-41775</t>
  </si>
  <si>
    <t>RF-41774</t>
  </si>
  <si>
    <t>RF-41773</t>
  </si>
  <si>
    <t>RF-41772</t>
  </si>
  <si>
    <t>RF-41771</t>
  </si>
  <si>
    <t>RF-41770</t>
  </si>
  <si>
    <t>RF-41769</t>
  </si>
  <si>
    <t>RF-41768</t>
  </si>
  <si>
    <t>AR-15315</t>
  </si>
  <si>
    <t>AR-15314</t>
  </si>
  <si>
    <t>AR-15313</t>
  </si>
  <si>
    <t>AR-15312</t>
  </si>
  <si>
    <t>AR-15311</t>
  </si>
  <si>
    <t>AS-55925</t>
  </si>
  <si>
    <t>AS-55923</t>
  </si>
  <si>
    <t>AS-55922</t>
  </si>
  <si>
    <t>AS-55921</t>
  </si>
  <si>
    <t>AS-55920</t>
  </si>
  <si>
    <t>AS-55919</t>
  </si>
  <si>
    <t>AS-55918</t>
  </si>
  <si>
    <t>AS-55917</t>
  </si>
  <si>
    <t>AS-55915</t>
  </si>
  <si>
    <t>AS-55910</t>
  </si>
  <si>
    <t>AS-55908</t>
  </si>
  <si>
    <t>AS-55907</t>
  </si>
  <si>
    <t>AS-55906</t>
  </si>
  <si>
    <t>AS-55905</t>
  </si>
  <si>
    <t>AS-55904</t>
  </si>
  <si>
    <t>AS-55902</t>
  </si>
  <si>
    <t>AS-55901</t>
  </si>
  <si>
    <t>AS-55900</t>
  </si>
  <si>
    <t>AS-55899</t>
  </si>
  <si>
    <t>AS-55898</t>
  </si>
  <si>
    <t>AR-15310</t>
  </si>
  <si>
    <t>RF-41783</t>
  </si>
  <si>
    <t>RF-41782</t>
  </si>
  <si>
    <t>RF-41781</t>
  </si>
  <si>
    <t>AR-15320</t>
  </si>
  <si>
    <t>AR-15319</t>
  </si>
  <si>
    <t>AS-55962</t>
  </si>
  <si>
    <t>AS-55961</t>
  </si>
  <si>
    <t>AS-55957</t>
  </si>
  <si>
    <t>AS-55956</t>
  </si>
  <si>
    <t>AS-55955</t>
  </si>
  <si>
    <t>AS-55954</t>
  </si>
  <si>
    <t>AS-55953</t>
  </si>
  <si>
    <t>AS-55952</t>
  </si>
  <si>
    <t>RF-41794</t>
  </si>
  <si>
    <t>RF-41793</t>
  </si>
  <si>
    <t>RF-41792</t>
  </si>
  <si>
    <t>RF-41790</t>
  </si>
  <si>
    <t>RF-41789</t>
  </si>
  <si>
    <t>RF-41788</t>
  </si>
  <si>
    <t>RF-41787</t>
  </si>
  <si>
    <t>RF-41786</t>
  </si>
  <si>
    <t>RF-41785</t>
  </si>
  <si>
    <t>RF-41784</t>
  </si>
  <si>
    <t>AS-55983</t>
  </si>
  <si>
    <t>AS-55982</t>
  </si>
  <si>
    <t>AS-55981</t>
  </si>
  <si>
    <t>AS-55980</t>
  </si>
  <si>
    <t>AS-55779</t>
  </si>
  <si>
    <t>AS-55978</t>
  </si>
  <si>
    <t>AS-55977</t>
  </si>
  <si>
    <t>AS-55976</t>
  </si>
  <si>
    <t>AS-55974</t>
  </si>
  <si>
    <t>AS-55972</t>
  </si>
  <si>
    <t>AS-55971</t>
  </si>
  <si>
    <t>AS-55970</t>
  </si>
  <si>
    <t>AS-55969</t>
  </si>
  <si>
    <t>AS-55968</t>
  </si>
  <si>
    <t>AS-55967</t>
  </si>
  <si>
    <t>AS-55966</t>
  </si>
  <si>
    <t>AS-55965</t>
  </si>
  <si>
    <t>AS-55964</t>
  </si>
  <si>
    <t>AS-55963</t>
  </si>
  <si>
    <t>AR-15323</t>
  </si>
  <si>
    <t>RF-41791</t>
  </si>
  <si>
    <t>RF-41804</t>
  </si>
  <si>
    <t>RF-41803</t>
  </si>
  <si>
    <t>RF-41802</t>
  </si>
  <si>
    <t>RF-41801</t>
  </si>
  <si>
    <t>RF-41800</t>
  </si>
  <si>
    <t>RF-41799</t>
  </si>
  <si>
    <t>RF-41798</t>
  </si>
  <si>
    <t>RF-41797</t>
  </si>
  <si>
    <t>AR-15325</t>
  </si>
  <si>
    <t>AR-15324</t>
  </si>
  <si>
    <t>AS-55993</t>
  </si>
  <si>
    <t>AS-55991</t>
  </si>
  <si>
    <t>AS-55990</t>
  </si>
  <si>
    <t>AS-55989</t>
  </si>
  <si>
    <t>AS-55988</t>
  </si>
  <si>
    <t>AS-55985</t>
  </si>
  <si>
    <t>RF-41796</t>
  </si>
  <si>
    <t>RF-41819</t>
  </si>
  <si>
    <t>RF-41818</t>
  </si>
  <si>
    <t>RF-41817</t>
  </si>
  <si>
    <t>RF-41816</t>
  </si>
  <si>
    <t>RF-41815</t>
  </si>
  <si>
    <t>RF-41814</t>
  </si>
  <si>
    <t>RF-41813</t>
  </si>
  <si>
    <t>RF-41812</t>
  </si>
  <si>
    <t>RF-41811</t>
  </si>
  <si>
    <t>RF-41810</t>
  </si>
  <si>
    <t>RF-41809</t>
  </si>
  <si>
    <t>RF-41808</t>
  </si>
  <si>
    <t>RF-41807</t>
  </si>
  <si>
    <t>RF-41806</t>
  </si>
  <si>
    <t>RF-41805</t>
  </si>
  <si>
    <t>AS-56012</t>
  </si>
  <si>
    <t>AS-56011</t>
  </si>
  <si>
    <t>AS-56010</t>
  </si>
  <si>
    <t>AS-56009</t>
  </si>
  <si>
    <t>AS-56008</t>
  </si>
  <si>
    <t>AS-56007</t>
  </si>
  <si>
    <t>AS-56006</t>
  </si>
  <si>
    <t>AS-56005</t>
  </si>
  <si>
    <t>AS-56003</t>
  </si>
  <si>
    <t>AS-56002</t>
  </si>
  <si>
    <t>AS-56001</t>
  </si>
  <si>
    <t>AS-56000</t>
  </si>
  <si>
    <t>AS-55999</t>
  </si>
  <si>
    <t>AS-55998</t>
  </si>
  <si>
    <t>AS-55997</t>
  </si>
  <si>
    <t>AS-55996</t>
  </si>
  <si>
    <t>AS-55995</t>
  </si>
  <si>
    <t>AS-55994</t>
  </si>
  <si>
    <t>AR-15335</t>
  </si>
  <si>
    <t>AR-15333</t>
  </si>
  <si>
    <t>AR-15332</t>
  </si>
  <si>
    <t>AR-15331</t>
  </si>
  <si>
    <t>AS-15330</t>
  </si>
  <si>
    <t>AR-15329</t>
  </si>
  <si>
    <t>AR-15328</t>
  </si>
  <si>
    <t>RF-41829</t>
  </si>
  <si>
    <t>RF-41828</t>
  </si>
  <si>
    <t>RF-41827</t>
  </si>
  <si>
    <t>RF-41826</t>
  </si>
  <si>
    <t>RF-41825</t>
  </si>
  <si>
    <t>RF-41824</t>
  </si>
  <si>
    <t>RF-41823</t>
  </si>
  <si>
    <t>RF-41822</t>
  </si>
  <si>
    <t>RF-41821</t>
  </si>
  <si>
    <t>AR-15340</t>
  </si>
  <si>
    <t>AR-15338</t>
  </si>
  <si>
    <t>AR-15336</t>
  </si>
  <si>
    <t>AS-56019</t>
  </si>
  <si>
    <t>AS-56017</t>
  </si>
  <si>
    <t>AS-56016</t>
  </si>
  <si>
    <t>AS-56015</t>
  </si>
  <si>
    <t>AS-56014</t>
  </si>
  <si>
    <t>RF-41841</t>
  </si>
  <si>
    <t>RF-41840</t>
  </si>
  <si>
    <t>RF-41839</t>
  </si>
  <si>
    <t>RF-41838</t>
  </si>
  <si>
    <t>RF-41837</t>
  </si>
  <si>
    <t>RF-41836</t>
  </si>
  <si>
    <t>RF-41835</t>
  </si>
  <si>
    <t>RF-41834</t>
  </si>
  <si>
    <t>RF-41833</t>
  </si>
  <si>
    <t>RF-41832</t>
  </si>
  <si>
    <t>RF-41831</t>
  </si>
  <si>
    <t>RF-41830</t>
  </si>
  <si>
    <t>AS-56040</t>
  </si>
  <si>
    <t>AS-56039</t>
  </si>
  <si>
    <t>AS-56038</t>
  </si>
  <si>
    <t>AS-56037</t>
  </si>
  <si>
    <t>AS-56035</t>
  </si>
  <si>
    <t>AS-56034</t>
  </si>
  <si>
    <t>AS-56033</t>
  </si>
  <si>
    <t>AS-56032</t>
  </si>
  <si>
    <t>AS-56030</t>
  </si>
  <si>
    <t>AS-56029</t>
  </si>
  <si>
    <t>AS-56028</t>
  </si>
  <si>
    <t>AS-56027</t>
  </si>
  <si>
    <t>AS-56026</t>
  </si>
  <si>
    <t>AS-56025</t>
  </si>
  <si>
    <t>AS-56024</t>
  </si>
  <si>
    <t>AS-56023</t>
  </si>
  <si>
    <t>AS-56022</t>
  </si>
  <si>
    <t>AS-56021</t>
  </si>
  <si>
    <t>AS-56020</t>
  </si>
  <si>
    <t>RF-41844</t>
  </si>
  <si>
    <t>RF-41843</t>
  </si>
  <si>
    <t>RF-41842</t>
  </si>
  <si>
    <t>AR-15349</t>
  </si>
  <si>
    <t>AR-15348</t>
  </si>
  <si>
    <t>AR-15345</t>
  </si>
  <si>
    <t>AR-15343</t>
  </si>
  <si>
    <t>AS-56061</t>
  </si>
  <si>
    <t>AS-56055</t>
  </si>
  <si>
    <t>AS-56053</t>
  </si>
  <si>
    <t>AS-56052</t>
  </si>
  <si>
    <t>AS-560448</t>
  </si>
  <si>
    <t>AS-56041</t>
  </si>
  <si>
    <t>RF-41855</t>
  </si>
  <si>
    <t>RF-41854</t>
  </si>
  <si>
    <t>RF-41853</t>
  </si>
  <si>
    <t>RF-41852</t>
  </si>
  <si>
    <t>RF-41851</t>
  </si>
  <si>
    <t>RF-41850</t>
  </si>
  <si>
    <t>RF-41849</t>
  </si>
  <si>
    <t>RF-41848</t>
  </si>
  <si>
    <t>RF-41847</t>
  </si>
  <si>
    <t>RF-41846</t>
  </si>
  <si>
    <t>RF-41845</t>
  </si>
  <si>
    <t>AS-56084</t>
  </si>
  <si>
    <t>AS-56083</t>
  </si>
  <si>
    <t>AS-56081</t>
  </si>
  <si>
    <t>AS-56080</t>
  </si>
  <si>
    <t>AS-56078</t>
  </si>
  <si>
    <t>AS-56077</t>
  </si>
  <si>
    <t>AS-56076</t>
  </si>
  <si>
    <t>AS-56075</t>
  </si>
  <si>
    <t>AS-56074</t>
  </si>
  <si>
    <t>AS-56073</t>
  </si>
  <si>
    <t>AS-56072</t>
  </si>
  <si>
    <t>AS-56071</t>
  </si>
  <si>
    <t>AS-56070</t>
  </si>
  <si>
    <t>AS-56069</t>
  </si>
  <si>
    <t>AS-56068</t>
  </si>
  <si>
    <t>AS-56067</t>
  </si>
  <si>
    <t>AS-56066</t>
  </si>
  <si>
    <t>AS-56065</t>
  </si>
  <si>
    <t>AS-56064</t>
  </si>
  <si>
    <t>AS-56063</t>
  </si>
  <si>
    <t>AS-56062</t>
  </si>
  <si>
    <t>AR-15354</t>
  </si>
  <si>
    <t>AR-15353</t>
  </si>
  <si>
    <t>RF-41856</t>
  </si>
  <si>
    <t>AS-56090</t>
  </si>
  <si>
    <t>AS-56088</t>
  </si>
  <si>
    <t>AS-56086</t>
  </si>
  <si>
    <t>AS-56085</t>
  </si>
  <si>
    <t>RF-41871</t>
  </si>
  <si>
    <t>RF-41870</t>
  </si>
  <si>
    <t>RF-41869</t>
  </si>
  <si>
    <t>RF-41868</t>
  </si>
  <si>
    <t>RF-41867</t>
  </si>
  <si>
    <t>RF-41866</t>
  </si>
  <si>
    <t>RF-41865</t>
  </si>
  <si>
    <t>RF-41864</t>
  </si>
  <si>
    <t>RF-41863</t>
  </si>
  <si>
    <t>RF-41862</t>
  </si>
  <si>
    <t>RF-41861</t>
  </si>
  <si>
    <t>RF-41860</t>
  </si>
  <si>
    <t>RF-41859</t>
  </si>
  <si>
    <t>RF-41858</t>
  </si>
  <si>
    <t>RF-41857</t>
  </si>
  <si>
    <t>AS-56122</t>
  </si>
  <si>
    <t>AS-56121</t>
  </si>
  <si>
    <t>AS-56119</t>
  </si>
  <si>
    <t>AS-56117</t>
  </si>
  <si>
    <t>AS56116</t>
  </si>
  <si>
    <t>AS-56115</t>
  </si>
  <si>
    <t>AS-56114</t>
  </si>
  <si>
    <t>AS-586113</t>
  </si>
  <si>
    <t>AS-56112</t>
  </si>
  <si>
    <t>AS-56111</t>
  </si>
  <si>
    <t>AS-56110</t>
  </si>
  <si>
    <t>AS-56109</t>
  </si>
  <si>
    <t>AS-56108</t>
  </si>
  <si>
    <t>AS-56107</t>
  </si>
  <si>
    <t>AS-56106</t>
  </si>
  <si>
    <t>AS-56104</t>
  </si>
  <si>
    <t>AS-56102</t>
  </si>
  <si>
    <t>AS-56101</t>
  </si>
  <si>
    <t>AS-56100</t>
  </si>
  <si>
    <t>RF-41879</t>
  </si>
  <si>
    <t>RF-41878</t>
  </si>
  <si>
    <t>RF-41877</t>
  </si>
  <si>
    <t>RF-41876</t>
  </si>
  <si>
    <t>RF-41875</t>
  </si>
  <si>
    <t>RF-41874</t>
  </si>
  <si>
    <t>RF-41873</t>
  </si>
  <si>
    <t>RF-41872</t>
  </si>
  <si>
    <t>AS-56153</t>
  </si>
  <si>
    <t>AS-56152</t>
  </si>
  <si>
    <t>AS-56150</t>
  </si>
  <si>
    <t>AS-56149</t>
  </si>
  <si>
    <t>AS-56148</t>
  </si>
  <si>
    <t>AS-56147</t>
  </si>
  <si>
    <t>AS-56146</t>
  </si>
  <si>
    <t>AS-56145</t>
  </si>
  <si>
    <t>AS-56144</t>
  </si>
  <si>
    <t>AS-56143</t>
  </si>
  <si>
    <t>AS-56142</t>
  </si>
  <si>
    <t>AS-56141</t>
  </si>
  <si>
    <t>AS-56140</t>
  </si>
  <si>
    <t>AS-56139</t>
  </si>
  <si>
    <t>AS-56138</t>
  </si>
  <si>
    <t>AS-56137</t>
  </si>
  <si>
    <t>AS-56136</t>
  </si>
  <si>
    <t>AS-56135</t>
  </si>
  <si>
    <t>AS-56134</t>
  </si>
  <si>
    <t>AS-56133</t>
  </si>
  <si>
    <t>AS-56132</t>
  </si>
  <si>
    <t>AS-56131</t>
  </si>
  <si>
    <t>AS-56129</t>
  </si>
  <si>
    <t>AS-56128</t>
  </si>
  <si>
    <t>AS-56127</t>
  </si>
  <si>
    <t>AS-56126+</t>
  </si>
  <si>
    <t>AR-15374</t>
  </si>
  <si>
    <t>AR-15371</t>
  </si>
  <si>
    <t>AR-15370</t>
  </si>
  <si>
    <t>AR-15369</t>
  </si>
  <si>
    <t>AR-15368</t>
  </si>
  <si>
    <t>AR-15366</t>
  </si>
  <si>
    <t>RF-41883</t>
  </si>
  <si>
    <t>RF-41882</t>
  </si>
  <si>
    <t>RF-41881</t>
  </si>
  <si>
    <t>RF-41890</t>
  </si>
  <si>
    <t>RF-41889</t>
  </si>
  <si>
    <t>RF-41888</t>
  </si>
  <si>
    <t>RF-41887</t>
  </si>
  <si>
    <t>RF-41886</t>
  </si>
  <si>
    <t>RF-41885</t>
  </si>
  <si>
    <t>RF-41884</t>
  </si>
  <si>
    <t>AS-56156</t>
  </si>
  <si>
    <t>AS-56155</t>
  </si>
  <si>
    <t>AS-56154</t>
  </si>
  <si>
    <t>AR-15375</t>
  </si>
  <si>
    <t>RF-41910</t>
  </si>
  <si>
    <t>RF-41909</t>
  </si>
  <si>
    <t>RF-41908</t>
  </si>
  <si>
    <t>RF-41907</t>
  </si>
  <si>
    <t>RF-41906</t>
  </si>
  <si>
    <t>RF-41905</t>
  </si>
  <si>
    <t>RF-41904</t>
  </si>
  <si>
    <t>RF-41903</t>
  </si>
  <si>
    <t>RF-41902</t>
  </si>
  <si>
    <t>RF-41901</t>
  </si>
  <si>
    <t>RF-41900</t>
  </si>
  <si>
    <t>RF-41899</t>
  </si>
  <si>
    <t>RF-41898</t>
  </si>
  <si>
    <t>RF-41897</t>
  </si>
  <si>
    <t>RF-41896</t>
  </si>
  <si>
    <t>RF-41895</t>
  </si>
  <si>
    <t>RF-41894</t>
  </si>
  <si>
    <t>RF-41893</t>
  </si>
  <si>
    <t>RF-41892</t>
  </si>
  <si>
    <t>RF-41891</t>
  </si>
  <si>
    <t>AR-15377</t>
  </si>
  <si>
    <t>AS-56177</t>
  </si>
  <si>
    <t>AS-56176</t>
  </si>
  <si>
    <t>AS-56175</t>
  </si>
  <si>
    <t>AS-56174</t>
  </si>
  <si>
    <t>AS-56173</t>
  </si>
  <si>
    <t>AS-56172</t>
  </si>
  <si>
    <t>AS-56170</t>
  </si>
  <si>
    <t>AS-56169</t>
  </si>
  <si>
    <t>AS-56166</t>
  </si>
  <si>
    <t>AS-56164</t>
  </si>
  <si>
    <t>AS-56163</t>
  </si>
  <si>
    <t>AS-56162</t>
  </si>
  <si>
    <t>AS-56161</t>
  </si>
  <si>
    <t>AS-56160</t>
  </si>
  <si>
    <t>AS-56159</t>
  </si>
  <si>
    <t>AS-56158</t>
  </si>
  <si>
    <t>AS-55167</t>
  </si>
  <si>
    <t>RF-41919</t>
  </si>
  <si>
    <t>RF-41918</t>
  </si>
  <si>
    <t>RF-41917</t>
  </si>
  <si>
    <t>RF-41916</t>
  </si>
  <si>
    <t>RF-41915</t>
  </si>
  <si>
    <t>RF-41914</t>
  </si>
  <si>
    <t>RF-41913</t>
  </si>
  <si>
    <t>RF-41912</t>
  </si>
  <si>
    <t>AS-56188</t>
  </si>
  <si>
    <t>AS-56187</t>
  </si>
  <si>
    <t>AS-56186</t>
  </si>
  <si>
    <t>AS-56185</t>
  </si>
  <si>
    <t>AS-56184</t>
  </si>
  <si>
    <t>AS-56183</t>
  </si>
  <si>
    <t>AS-56182</t>
  </si>
  <si>
    <t>AS-56181</t>
  </si>
  <si>
    <t>AS-56180</t>
  </si>
  <si>
    <t>AS-56179</t>
  </si>
  <si>
    <t>AS-56178</t>
  </si>
  <si>
    <t>AR-15380</t>
  </si>
  <si>
    <t>AR-15379</t>
  </si>
  <si>
    <t>AR-15378</t>
  </si>
  <si>
    <t>RF-41911</t>
  </si>
  <si>
    <t>RF-41927</t>
  </si>
  <si>
    <t>RF-41926</t>
  </si>
  <si>
    <t>RF-41925</t>
  </si>
  <si>
    <t>RF-41924</t>
  </si>
  <si>
    <t>RF-41923</t>
  </si>
  <si>
    <t>RF-41922</t>
  </si>
  <si>
    <t>RF-41921</t>
  </si>
  <si>
    <t>RF-41920</t>
  </si>
  <si>
    <t>AR-15383</t>
  </si>
  <si>
    <t>AS-56216</t>
  </si>
  <si>
    <t>AS-56215</t>
  </si>
  <si>
    <t>AS-56214</t>
  </si>
  <si>
    <t>AS-56213</t>
  </si>
  <si>
    <t>AS-56212</t>
  </si>
  <si>
    <t>AS-56211</t>
  </si>
  <si>
    <t>AS-56210</t>
  </si>
  <si>
    <t>AS-56209</t>
  </si>
  <si>
    <t>AS-56208</t>
  </si>
  <si>
    <t>AS-56207</t>
  </si>
  <si>
    <t>AS-56206</t>
  </si>
  <si>
    <t>AS-56205</t>
  </si>
  <si>
    <t>AS-56204</t>
  </si>
  <si>
    <t>AS-56203</t>
  </si>
  <si>
    <t>AS-56202</t>
  </si>
  <si>
    <t>AS-56194</t>
  </si>
  <si>
    <t>AS-56193</t>
  </si>
  <si>
    <t>AS-56192</t>
  </si>
  <si>
    <t>AS-56191</t>
  </si>
  <si>
    <t>AS-56190</t>
  </si>
  <si>
    <t>AS-56189</t>
  </si>
  <si>
    <t>RF-41933</t>
  </si>
  <si>
    <t>RF-41932</t>
  </si>
  <si>
    <t>RF-41931</t>
  </si>
  <si>
    <t>RF-41930</t>
  </si>
  <si>
    <t>RF-41929</t>
  </si>
  <si>
    <t>RF-41928</t>
  </si>
  <si>
    <t>AS-56252</t>
  </si>
  <si>
    <t>AS-56251</t>
  </si>
  <si>
    <t>AS-56250</t>
  </si>
  <si>
    <t>AS-56249</t>
  </si>
  <si>
    <t>AS-56247</t>
  </si>
  <si>
    <t>AS-56235</t>
  </si>
  <si>
    <t>AS-56234</t>
  </si>
  <si>
    <t>AR-15384</t>
  </si>
  <si>
    <t>RF-41945</t>
  </si>
  <si>
    <t>RF-41944</t>
  </si>
  <si>
    <t>RF-41943</t>
  </si>
  <si>
    <t>RF-41942</t>
  </si>
  <si>
    <t>AS-56277</t>
  </si>
  <si>
    <t>AS-56276</t>
  </si>
  <si>
    <t>AS-56275</t>
  </si>
  <si>
    <t>AS-56274</t>
  </si>
  <si>
    <t>AS-56273</t>
  </si>
  <si>
    <t>AR-15396</t>
  </si>
  <si>
    <t>AR-15394</t>
  </si>
  <si>
    <t>RF-41941</t>
  </si>
  <si>
    <t>RF-41940</t>
  </si>
  <si>
    <t>RF-41939</t>
  </si>
  <si>
    <t>RF-41938</t>
  </si>
  <si>
    <t>RF-419437</t>
  </si>
  <si>
    <t>RF-41936</t>
  </si>
  <si>
    <t>RF-41935</t>
  </si>
  <si>
    <t>RF-41934</t>
  </si>
  <si>
    <t>AR-15393</t>
  </si>
  <si>
    <t>AR-15392</t>
  </si>
  <si>
    <t>AR-15390</t>
  </si>
  <si>
    <t>AR-15389</t>
  </si>
  <si>
    <t>AR-15388</t>
  </si>
  <si>
    <t>AR-15387</t>
  </si>
  <si>
    <t>AR-15386</t>
  </si>
  <si>
    <t>AS-56271</t>
  </si>
  <si>
    <t>AS-56269</t>
  </si>
  <si>
    <t>AS-56268</t>
  </si>
  <si>
    <t>AS-56267</t>
  </si>
  <si>
    <t>AS-56266</t>
  </si>
  <si>
    <t>AS-56265</t>
  </si>
  <si>
    <t>AS-56264</t>
  </si>
  <si>
    <t>AS-56263</t>
  </si>
  <si>
    <t>AS-56262</t>
  </si>
  <si>
    <t>AS-56261</t>
  </si>
  <si>
    <t>AS-56259</t>
  </si>
  <si>
    <t>AS-56258</t>
  </si>
  <si>
    <t>AS-56257</t>
  </si>
  <si>
    <t>AS-56256</t>
  </si>
  <si>
    <t>AS-56255</t>
  </si>
  <si>
    <t>AS-56254</t>
  </si>
  <si>
    <t>AS-56253</t>
  </si>
  <si>
    <t>RF-41954</t>
  </si>
  <si>
    <t>RF-41953</t>
  </si>
  <si>
    <t>RF-41952</t>
  </si>
  <si>
    <t>RF-41951</t>
  </si>
  <si>
    <t>RF-41950</t>
  </si>
  <si>
    <t>RF-41949</t>
  </si>
  <si>
    <t>RF-41947</t>
  </si>
  <si>
    <t>AR-15401</t>
  </si>
  <si>
    <t>AR-15397</t>
  </si>
  <si>
    <t>AS-56296</t>
  </si>
  <si>
    <t>AS-56295</t>
  </si>
  <si>
    <t>AS-56294</t>
  </si>
  <si>
    <t>AS-56293</t>
  </si>
  <si>
    <t>AS-56292</t>
  </si>
  <si>
    <t>AS-56291</t>
  </si>
  <si>
    <t>AS-56290</t>
  </si>
  <si>
    <t>AS-56289</t>
  </si>
  <si>
    <t>AS-56288</t>
  </si>
  <si>
    <t>AS-56287</t>
  </si>
  <si>
    <t>AS-56285</t>
  </si>
  <si>
    <t>AS-56284</t>
  </si>
  <si>
    <t>AS-56283</t>
  </si>
  <si>
    <t>AS-56282</t>
  </si>
  <si>
    <t>AS-56281</t>
  </si>
  <si>
    <t>AS-56280</t>
  </si>
  <si>
    <t>AS-56279</t>
  </si>
  <si>
    <t>AS-56278</t>
  </si>
  <si>
    <t>RF-41982</t>
  </si>
  <si>
    <t>RF-41981</t>
  </si>
  <si>
    <t>RF-41980</t>
  </si>
  <si>
    <t>RF-41979</t>
  </si>
  <si>
    <t>RF-41978</t>
  </si>
  <si>
    <t>RF-41977</t>
  </si>
  <si>
    <t>RF-41976</t>
  </si>
  <si>
    <t>RF-41975</t>
  </si>
  <si>
    <t>RF-41974</t>
  </si>
  <si>
    <t>RF-41973</t>
  </si>
  <si>
    <t>RF-41972</t>
  </si>
  <si>
    <t>RF-41971</t>
  </si>
  <si>
    <t>AR-15414</t>
  </si>
  <si>
    <t>AS-56333</t>
  </si>
  <si>
    <t>AS-56332</t>
  </si>
  <si>
    <t>AS-56331</t>
  </si>
  <si>
    <t>AS-56330</t>
  </si>
  <si>
    <t>AS-56329</t>
  </si>
  <si>
    <t>AS-56328</t>
  </si>
  <si>
    <t>AS-56327</t>
  </si>
  <si>
    <t>AS-56326</t>
  </si>
  <si>
    <t>AS-56325</t>
  </si>
  <si>
    <t>AS-56324</t>
  </si>
  <si>
    <t>AS-56323</t>
  </si>
  <si>
    <t>AS-56322</t>
  </si>
  <si>
    <t>AS-56320</t>
  </si>
  <si>
    <t>AS-56319</t>
  </si>
  <si>
    <t>AS-56318</t>
  </si>
  <si>
    <t>AS-56317</t>
  </si>
  <si>
    <t>AS-56316</t>
  </si>
  <si>
    <t>AS-56315</t>
  </si>
  <si>
    <t>AS-56314</t>
  </si>
  <si>
    <t>AS-56313</t>
  </si>
  <si>
    <t>AS-56312</t>
  </si>
  <si>
    <t>AS-56311</t>
  </si>
  <si>
    <t>AS-56321</t>
  </si>
  <si>
    <t>RF-41995</t>
  </si>
  <si>
    <t>RF-41994</t>
  </si>
  <si>
    <t>RF-41993</t>
  </si>
  <si>
    <t>RF-41992</t>
  </si>
  <si>
    <t>RF-41991</t>
  </si>
  <si>
    <t>RF-41990</t>
  </si>
  <si>
    <t>RF-41989</t>
  </si>
  <si>
    <t>RF-41988</t>
  </si>
  <si>
    <t>RF-41987</t>
  </si>
  <si>
    <t>RF-41986</t>
  </si>
  <si>
    <t>RF-41984</t>
  </si>
  <si>
    <t>RF-41983</t>
  </si>
  <si>
    <t>AR-15419</t>
  </si>
  <si>
    <t>AR-15418</t>
  </si>
  <si>
    <t>AS-56360</t>
  </si>
  <si>
    <t>AS-56359</t>
  </si>
  <si>
    <t>AS-56358</t>
  </si>
  <si>
    <t>AS-56357</t>
  </si>
  <si>
    <t>AS-56356</t>
  </si>
  <si>
    <t>AS-56355</t>
  </si>
  <si>
    <t>AS-56354</t>
  </si>
  <si>
    <t>AS-56353</t>
  </si>
  <si>
    <t>AS-56352</t>
  </si>
  <si>
    <t>AS-56351</t>
  </si>
  <si>
    <t>AS-56350</t>
  </si>
  <si>
    <t>AS-56349</t>
  </si>
  <si>
    <t>AS-56348</t>
  </si>
  <si>
    <t>AS-56347</t>
  </si>
  <si>
    <t>AS-56346</t>
  </si>
  <si>
    <t>AS-56345</t>
  </si>
  <si>
    <t>AS-56344</t>
  </si>
  <si>
    <t>AS-56341</t>
  </si>
  <si>
    <t>AS-56340</t>
  </si>
  <si>
    <t>AS-56339</t>
  </si>
  <si>
    <t>AS-56338</t>
  </si>
  <si>
    <t>AS-56337</t>
  </si>
  <si>
    <t>AS-56336</t>
  </si>
  <si>
    <t>AS-56335</t>
  </si>
  <si>
    <t>RF-42008</t>
  </si>
  <si>
    <t>RF-42007</t>
  </si>
  <si>
    <t>RF-42006</t>
  </si>
  <si>
    <t>RF-42005</t>
  </si>
  <si>
    <t>RF-42004</t>
  </si>
  <si>
    <t>RF-42003</t>
  </si>
  <si>
    <t>RF-42002</t>
  </si>
  <si>
    <t>RF-42001</t>
  </si>
  <si>
    <t>RF-42000</t>
  </si>
  <si>
    <t>RF-41999</t>
  </si>
  <si>
    <t>RF-41998</t>
  </si>
  <si>
    <t>RF-41997</t>
  </si>
  <si>
    <t>RF-41996</t>
  </si>
  <si>
    <t>AR-15428</t>
  </si>
  <si>
    <t>AR-15427</t>
  </si>
  <si>
    <t>AS-15426</t>
  </si>
  <si>
    <t>AR-15425</t>
  </si>
  <si>
    <t>AR-15424</t>
  </si>
  <si>
    <t>AR-15423</t>
  </si>
  <si>
    <t>AS-56376</t>
  </si>
  <si>
    <t>AS-56375</t>
  </si>
  <si>
    <t>AS-56366</t>
  </si>
  <si>
    <t>AS-56365</t>
  </si>
  <si>
    <t>AS-56364</t>
  </si>
  <si>
    <t>AS-56363</t>
  </si>
  <si>
    <t>AS-56362</t>
  </si>
  <si>
    <t>AS-56361</t>
  </si>
  <si>
    <t>RF-41970</t>
  </si>
  <si>
    <t>RF-41969</t>
  </si>
  <si>
    <t>RF-41968</t>
  </si>
  <si>
    <t>RF-41967</t>
  </si>
  <si>
    <t>RF-41966</t>
  </si>
  <si>
    <t>RF-41965</t>
  </si>
  <si>
    <t>RF-41964</t>
  </si>
  <si>
    <t>RF-41963</t>
  </si>
  <si>
    <t>RF-41962</t>
  </si>
  <si>
    <t>RF-41961</t>
  </si>
  <si>
    <t>RF-41960</t>
  </si>
  <si>
    <t>RF-41959</t>
  </si>
  <si>
    <t>RF-41958</t>
  </si>
  <si>
    <t>RF-41957</t>
  </si>
  <si>
    <t>RF-41956</t>
  </si>
  <si>
    <t>RF-41955</t>
  </si>
  <si>
    <t>AS-56310</t>
  </si>
  <si>
    <t>AS-56309</t>
  </si>
  <si>
    <t>AS-56308</t>
  </si>
  <si>
    <t>AS-56307</t>
  </si>
  <si>
    <t>AS-56306</t>
  </si>
  <si>
    <t>AS-56305</t>
  </si>
  <si>
    <t>AS-56304</t>
  </si>
  <si>
    <t>AS-56303</t>
  </si>
  <si>
    <t>AS-56302</t>
  </si>
  <si>
    <t>AS-56301</t>
  </si>
  <si>
    <t>AS-56300</t>
  </si>
  <si>
    <t>AS-56297</t>
  </si>
  <si>
    <t>AR-15409</t>
  </si>
  <si>
    <t>AR-15408</t>
  </si>
  <si>
    <t>AR-15407</t>
  </si>
  <si>
    <t>AR-15405</t>
  </si>
  <si>
    <t>AR-15404</t>
  </si>
  <si>
    <t>AR-15403</t>
  </si>
  <si>
    <t>RF-42024</t>
  </si>
  <si>
    <t>RF-42027</t>
  </si>
  <si>
    <t>RF-42026</t>
  </si>
  <si>
    <t>RF-42025</t>
  </si>
  <si>
    <t>RF-42023</t>
  </si>
  <si>
    <t>RF-42022</t>
  </si>
  <si>
    <t>RF-42021</t>
  </si>
  <si>
    <t>RF-42020</t>
  </si>
  <si>
    <t>RF-42019</t>
  </si>
  <si>
    <t>RF-42018</t>
  </si>
  <si>
    <t>RF-42017</t>
  </si>
  <si>
    <t>RF-42016</t>
  </si>
  <si>
    <t>RF-42015</t>
  </si>
  <si>
    <t>AR-15441</t>
  </si>
  <si>
    <t>AR-15438</t>
  </si>
  <si>
    <t>AS-56410</t>
  </si>
  <si>
    <t>AS-56409</t>
  </si>
  <si>
    <t>AS-56408</t>
  </si>
  <si>
    <t>AS-56406</t>
  </si>
  <si>
    <t>AS-56405</t>
  </si>
  <si>
    <t>AS-56404</t>
  </si>
  <si>
    <t>AS-56403</t>
  </si>
  <si>
    <t>AS-56402</t>
  </si>
  <si>
    <t>RF-42014</t>
  </si>
  <si>
    <t>RF-42013</t>
  </si>
  <si>
    <t>RF-42012</t>
  </si>
  <si>
    <t>RF-42011</t>
  </si>
  <si>
    <t>RF-42010</t>
  </si>
  <si>
    <t>RF-42009</t>
  </si>
  <si>
    <t>AS-56401</t>
  </si>
  <si>
    <t>AS-56400</t>
  </si>
  <si>
    <t>AS-56399</t>
  </si>
  <si>
    <t>AS-56398</t>
  </si>
  <si>
    <t>AS-56397</t>
  </si>
  <si>
    <t>AS-56389</t>
  </si>
  <si>
    <t>AS-56388</t>
  </si>
  <si>
    <t>AS-56387</t>
  </si>
  <si>
    <t>AS-56386</t>
  </si>
  <si>
    <t>AS-56385</t>
  </si>
  <si>
    <t>AS-56384</t>
  </si>
  <si>
    <t>AS-56383</t>
  </si>
  <si>
    <t>AS-56382</t>
  </si>
  <si>
    <t>AS-56381</t>
  </si>
  <si>
    <t>AS-56380</t>
  </si>
  <si>
    <t>AS-56379</t>
  </si>
  <si>
    <t>AS-56378</t>
  </si>
  <si>
    <t>AS-56377</t>
  </si>
  <si>
    <t>AR-15432</t>
  </si>
  <si>
    <t>RF-42040</t>
  </si>
  <si>
    <t>RF-42037</t>
  </si>
  <si>
    <t>RF-42036</t>
  </si>
  <si>
    <t>RF-42035</t>
  </si>
  <si>
    <t>RF-42034</t>
  </si>
  <si>
    <t>RF-42033</t>
  </si>
  <si>
    <t>RF-42032</t>
  </si>
  <si>
    <t>RF-42031</t>
  </si>
  <si>
    <t>RF-42029</t>
  </si>
  <si>
    <t>AS-56442</t>
  </si>
  <si>
    <t>AS-56441</t>
  </si>
  <si>
    <t>AS-56440</t>
  </si>
  <si>
    <t>AS-56439</t>
  </si>
  <si>
    <t>AS-56438</t>
  </si>
  <si>
    <t>AS-56437</t>
  </si>
  <si>
    <t>AS-56436</t>
  </si>
  <si>
    <t>AS-56435</t>
  </si>
  <si>
    <t>AS-56434</t>
  </si>
  <si>
    <t>AS-56432</t>
  </si>
  <si>
    <t>AS-56431</t>
  </si>
  <si>
    <t>AS-56430</t>
  </si>
  <si>
    <t>AS-56429</t>
  </si>
  <si>
    <t>AS-56428</t>
  </si>
  <si>
    <t>AS-56427</t>
  </si>
  <si>
    <t>AS-56426</t>
  </si>
  <si>
    <t>AS-56425</t>
  </si>
  <si>
    <t>AS-56424</t>
  </si>
  <si>
    <t>AS-56423</t>
  </si>
  <si>
    <t>AS-56422</t>
  </si>
  <si>
    <t>AS-56421</t>
  </si>
  <si>
    <t>AS-56420</t>
  </si>
  <si>
    <t>AS-56419</t>
  </si>
  <si>
    <t>AS-56418</t>
  </si>
  <si>
    <t>AS-56417</t>
  </si>
  <si>
    <t>AS-56416</t>
  </si>
  <si>
    <t>AS-56415</t>
  </si>
  <si>
    <t>AS-56414</t>
  </si>
  <si>
    <t>AS-56413</t>
  </si>
  <si>
    <t>AR-15446</t>
  </si>
  <si>
    <t>RF-42053</t>
  </si>
  <si>
    <t>RF-42052</t>
  </si>
  <si>
    <t>RF-42051</t>
  </si>
  <si>
    <t>RF-42050</t>
  </si>
  <si>
    <t>RF-42047</t>
  </si>
  <si>
    <t>RF-42046</t>
  </si>
  <si>
    <t>RF-42045</t>
  </si>
  <si>
    <t>RF-42044</t>
  </si>
  <si>
    <t>RF-42043</t>
  </si>
  <si>
    <t>RF-42042</t>
  </si>
  <si>
    <t>RF-42041</t>
  </si>
  <si>
    <t>AR-15453</t>
  </si>
  <si>
    <t>AR-15452</t>
  </si>
  <si>
    <t>AR-15451</t>
  </si>
  <si>
    <t>AR-15450</t>
  </si>
  <si>
    <t>AR-15449</t>
  </si>
  <si>
    <t>AS-56454</t>
  </si>
  <si>
    <t>AS-56453</t>
  </si>
  <si>
    <t>AS-56452</t>
  </si>
  <si>
    <t>AS-56451</t>
  </si>
  <si>
    <t>AS-56449</t>
  </si>
  <si>
    <t>AS-56447</t>
  </si>
  <si>
    <t>AS-56443</t>
  </si>
  <si>
    <t>RF-42088</t>
  </si>
  <si>
    <t>RF-42078</t>
  </si>
  <si>
    <t>RF-42077</t>
  </si>
  <si>
    <t>RF-42076</t>
  </si>
  <si>
    <t>RF-42075</t>
  </si>
  <si>
    <t>RF-42074</t>
  </si>
  <si>
    <t>RF-42073</t>
  </si>
  <si>
    <t>RF-42072</t>
  </si>
  <si>
    <t>RF-42071</t>
  </si>
  <si>
    <t>AR-15460</t>
  </si>
  <si>
    <t>AR-15459</t>
  </si>
  <si>
    <t>AR-15458</t>
  </si>
  <si>
    <t>AS-56529</t>
  </si>
  <si>
    <t>AS-56527</t>
  </si>
  <si>
    <t>AS-56524</t>
  </si>
  <si>
    <t>AS-56523</t>
  </si>
  <si>
    <t>AS-56521</t>
  </si>
  <si>
    <t>AS-56520</t>
  </si>
  <si>
    <t>AS-56517</t>
  </si>
  <si>
    <t>RF-42070</t>
  </si>
  <si>
    <t>RF-42069</t>
  </si>
  <si>
    <t>RF-42068</t>
  </si>
  <si>
    <t>RF-42067</t>
  </si>
  <si>
    <t>RF-42066</t>
  </si>
  <si>
    <t>RF-42065</t>
  </si>
  <si>
    <t>RF-42064</t>
  </si>
  <si>
    <t>RF-42063</t>
  </si>
  <si>
    <t>RF-42062</t>
  </si>
  <si>
    <t>RF-42061</t>
  </si>
  <si>
    <t>RF-42059</t>
  </si>
  <si>
    <t>RF-42058</t>
  </si>
  <si>
    <t>RF-42056</t>
  </si>
  <si>
    <t>AS-56489</t>
  </si>
  <si>
    <t>AS-56486</t>
  </si>
  <si>
    <t>AS-56483</t>
  </si>
  <si>
    <t>AS-56482</t>
  </si>
  <si>
    <t>AS-56481</t>
  </si>
  <si>
    <t>AS-56480</t>
  </si>
  <si>
    <t>AS-56479</t>
  </si>
  <si>
    <t>AS-56478</t>
  </si>
  <si>
    <t>AS-56477</t>
  </si>
  <si>
    <t>AS-56476</t>
  </si>
  <si>
    <t>AS-56475</t>
  </si>
  <si>
    <t>AS-56474</t>
  </si>
  <si>
    <t>AS-56473</t>
  </si>
  <si>
    <t>AS-56472</t>
  </si>
  <si>
    <t>AS-56471</t>
  </si>
  <si>
    <t>AS-56470</t>
  </si>
  <si>
    <t>AS-56469</t>
  </si>
  <si>
    <t>AS-56468</t>
  </si>
  <si>
    <t>AS-56465</t>
  </si>
  <si>
    <t>AS-56464</t>
  </si>
  <si>
    <t>AS-56463</t>
  </si>
  <si>
    <t>AS-56462</t>
  </si>
  <si>
    <t>AS-56461</t>
  </si>
  <si>
    <t>AS-56460</t>
  </si>
  <si>
    <t>AS-56459</t>
  </si>
  <si>
    <t>AS-56456</t>
  </si>
  <si>
    <t>AR-15456</t>
  </si>
  <si>
    <t>AR-15455</t>
  </si>
  <si>
    <t>RF-42087</t>
  </si>
  <si>
    <t>RF-42086</t>
  </si>
  <si>
    <t>RF-42085</t>
  </si>
  <si>
    <t>RF-42084</t>
  </si>
  <si>
    <t>RF-42083</t>
  </si>
  <si>
    <t>RF-42082</t>
  </si>
  <si>
    <t>RF-42081</t>
  </si>
  <si>
    <t>RF-42080</t>
  </si>
  <si>
    <t>RF-42079</t>
  </si>
  <si>
    <t>AS-56567</t>
  </si>
  <si>
    <t>AS-56566</t>
  </si>
  <si>
    <t>AS-56564</t>
  </si>
  <si>
    <t>AS-56563</t>
  </si>
  <si>
    <t>AS-56562</t>
  </si>
  <si>
    <t>AS-56561</t>
  </si>
  <si>
    <t>AS-56559</t>
  </si>
  <si>
    <t>AS-56558</t>
  </si>
  <si>
    <t>AS-56555</t>
  </si>
  <si>
    <t>AS-56554</t>
  </si>
  <si>
    <t>AS-56548</t>
  </si>
  <si>
    <t>AS-56547</t>
  </si>
  <si>
    <t>AS-56546</t>
  </si>
  <si>
    <t>AS-56545</t>
  </si>
  <si>
    <t>AS-56544</t>
  </si>
  <si>
    <t>AS-56543</t>
  </si>
  <si>
    <t>AS-56542</t>
  </si>
  <si>
    <t>AS-56541</t>
  </si>
  <si>
    <t>AS-56539</t>
  </si>
  <si>
    <t>AS-56538</t>
  </si>
  <si>
    <t>AS-56537</t>
  </si>
  <si>
    <t>AS-56535</t>
  </si>
  <si>
    <t>AS-56534</t>
  </si>
  <si>
    <t>AS-56532</t>
  </si>
  <si>
    <t>AS-56531</t>
  </si>
  <si>
    <t>AR-15465</t>
  </si>
  <si>
    <t>RF-42144</t>
  </si>
  <si>
    <t>RF-42143</t>
  </si>
  <si>
    <t>RF-42142</t>
  </si>
  <si>
    <t>RF-42141</t>
  </si>
  <si>
    <t>RF-42140</t>
  </si>
  <si>
    <t>RF-42139</t>
  </si>
  <si>
    <t>RF-42138</t>
  </si>
  <si>
    <t>RF-42136</t>
  </si>
  <si>
    <t>RF-42135</t>
  </si>
  <si>
    <t>RF-42134</t>
  </si>
  <si>
    <t>AS-56623</t>
  </si>
  <si>
    <t>AS-56622</t>
  </si>
  <si>
    <t>AS-56621</t>
  </si>
  <si>
    <t>AS-56620</t>
  </si>
  <si>
    <t>AS-56618</t>
  </si>
  <si>
    <t>AS-56616</t>
  </si>
  <si>
    <t>AS-56614</t>
  </si>
  <si>
    <t>AS-56613</t>
  </si>
  <si>
    <t>AS56611</t>
  </si>
  <si>
    <t>AS-56608</t>
  </si>
  <si>
    <t>AS-56607</t>
  </si>
  <si>
    <t>AS-56606</t>
  </si>
  <si>
    <t>AS-56605</t>
  </si>
  <si>
    <t>AS-56603</t>
  </si>
  <si>
    <t>AS-56602</t>
  </si>
  <si>
    <t>AS-56601</t>
  </si>
  <si>
    <t>AS-56600</t>
  </si>
  <si>
    <t>AS-56599</t>
  </si>
  <si>
    <t>AS-56598</t>
  </si>
  <si>
    <t>AS-56597</t>
  </si>
  <si>
    <t>AS-56596</t>
  </si>
  <si>
    <t>AS-56595</t>
  </si>
  <si>
    <t>A-15474</t>
  </si>
  <si>
    <t>AR-15472</t>
  </si>
  <si>
    <t>AR-15471</t>
  </si>
  <si>
    <t>AR-15470</t>
  </si>
  <si>
    <t>RF-42152</t>
  </si>
  <si>
    <t>RF-42151</t>
  </si>
  <si>
    <t>RF-42150</t>
  </si>
  <si>
    <t>RF-42149</t>
  </si>
  <si>
    <t>RF-42148</t>
  </si>
  <si>
    <t>RF-42147</t>
  </si>
  <si>
    <t>RF-42146</t>
  </si>
  <si>
    <t>RF-42145</t>
  </si>
  <si>
    <t>AS-56644</t>
  </si>
  <si>
    <t>AS-56643</t>
  </si>
  <si>
    <t>AS-56642</t>
  </si>
  <si>
    <t>AS-56641</t>
  </si>
  <si>
    <t>AS-56640</t>
  </si>
  <si>
    <t>AS-56639</t>
  </si>
  <si>
    <t>AS-56638</t>
  </si>
  <si>
    <t>AS-56637</t>
  </si>
  <si>
    <t>AS-56636</t>
  </si>
  <si>
    <t>AS-56635</t>
  </si>
  <si>
    <t>AS-56634</t>
  </si>
  <si>
    <t>AS-56633</t>
  </si>
  <si>
    <t>AS-56632</t>
  </si>
  <si>
    <t>AS-56631</t>
  </si>
  <si>
    <t>AS-56630</t>
  </si>
  <si>
    <t>AS-56629</t>
  </si>
  <si>
    <t>AS-56628</t>
  </si>
  <si>
    <t>AS-56627</t>
  </si>
  <si>
    <t>AS-56626</t>
  </si>
  <si>
    <t>AS-56625</t>
  </si>
  <si>
    <t>AR-15482</t>
  </si>
  <si>
    <t>AR-15480</t>
  </si>
  <si>
    <t>AR-15479</t>
  </si>
  <si>
    <t>AR-15478</t>
  </si>
  <si>
    <t>AR-15477</t>
  </si>
  <si>
    <t>AR-15476</t>
  </si>
  <si>
    <t>RF-42133</t>
  </si>
  <si>
    <t>RF-42132</t>
  </si>
  <si>
    <t>RF-42131</t>
  </si>
  <si>
    <t>RF-42130</t>
  </si>
  <si>
    <t>RF-42129</t>
  </si>
  <si>
    <t>AR-15469</t>
  </si>
  <si>
    <t>AR-15468</t>
  </si>
  <si>
    <t>AR-15466</t>
  </si>
  <si>
    <t>AS-56594</t>
  </si>
  <si>
    <t>AS-56591</t>
  </si>
  <si>
    <t>RF-42164</t>
  </si>
  <si>
    <t>RF-42163</t>
  </si>
  <si>
    <t>RF-42162</t>
  </si>
  <si>
    <t>RF-42161</t>
  </si>
  <si>
    <t>RF-42160</t>
  </si>
  <si>
    <t>RF-42159</t>
  </si>
  <si>
    <t>RF-42155</t>
  </si>
  <si>
    <t>RF-42154</t>
  </si>
  <si>
    <t>RF-42153</t>
  </si>
  <si>
    <t>AS-56653</t>
  </si>
  <si>
    <t>AS-56652</t>
  </si>
  <si>
    <t>AS-56651</t>
  </si>
  <si>
    <t>AS-56648</t>
  </si>
  <si>
    <t>AS-56647</t>
  </si>
  <si>
    <t>AS-56645</t>
  </si>
  <si>
    <t>RF-42182</t>
  </si>
  <si>
    <t>RF-42181</t>
  </si>
  <si>
    <t>RF-42180</t>
  </si>
  <si>
    <t>RF-42179</t>
  </si>
  <si>
    <t>RF-42178</t>
  </si>
  <si>
    <t>RF-42176</t>
  </si>
  <si>
    <t>RF-42175</t>
  </si>
  <si>
    <t>RF-42174</t>
  </si>
  <si>
    <t>RF-42173</t>
  </si>
  <si>
    <t>RF-42172</t>
  </si>
  <si>
    <t>RF-42171</t>
  </si>
  <si>
    <t>RF-42170</t>
  </si>
  <si>
    <t>RF-42169</t>
  </si>
  <si>
    <t>RF-42168</t>
  </si>
  <si>
    <t>RF-42167</t>
  </si>
  <si>
    <t>RF-42166</t>
  </si>
  <si>
    <t>RF-42165</t>
  </si>
  <si>
    <t>AS-56666</t>
  </si>
  <si>
    <t>AS-56665</t>
  </si>
  <si>
    <t>AS-56664</t>
  </si>
  <si>
    <t>AS-56663</t>
  </si>
  <si>
    <t>AS-56662</t>
  </si>
  <si>
    <t>AS-56661</t>
  </si>
  <si>
    <t>AS-56660</t>
  </si>
  <si>
    <t>AS-56659</t>
  </si>
  <si>
    <t>AS-56658</t>
  </si>
  <si>
    <t>AS-56657</t>
  </si>
  <si>
    <t>AS-56656</t>
  </si>
  <si>
    <t>AS-56655</t>
  </si>
  <si>
    <t>AS-56654</t>
  </si>
  <si>
    <t>RF-42186</t>
  </si>
  <si>
    <t>RF-42185</t>
  </si>
  <si>
    <t>RF-42184</t>
  </si>
  <si>
    <t>RF-42183</t>
  </si>
  <si>
    <t>AS-56677</t>
  </si>
  <si>
    <t>AS-56676</t>
  </si>
  <si>
    <t>AS-56675</t>
  </si>
  <si>
    <t>AS-56673</t>
  </si>
  <si>
    <t>AS-56672</t>
  </si>
  <si>
    <t>AS-56671</t>
  </si>
  <si>
    <t>AS-56670</t>
  </si>
  <si>
    <t>AS-56669</t>
  </si>
  <si>
    <t>AS-56668</t>
  </si>
  <si>
    <t>RF-42199</t>
  </si>
  <si>
    <t>RF-42198</t>
  </si>
  <si>
    <t>RF-42197</t>
  </si>
  <si>
    <t>AS-56708</t>
  </si>
  <si>
    <t>AS-56706</t>
  </si>
  <si>
    <t>AS-56705</t>
  </si>
  <si>
    <t>AS-56702</t>
  </si>
  <si>
    <t>AS-56701</t>
  </si>
  <si>
    <t>AS-56700</t>
  </si>
  <si>
    <t>AS56698</t>
  </si>
  <si>
    <t>AR-15505</t>
  </si>
  <si>
    <t>AR-15503</t>
  </si>
  <si>
    <t>AR-15501</t>
  </si>
  <si>
    <t>AR-15500</t>
  </si>
  <si>
    <t>RF-42196</t>
  </si>
  <si>
    <t>RF-42195</t>
  </si>
  <si>
    <t>RF-42194</t>
  </si>
  <si>
    <t>RF-42193</t>
  </si>
  <si>
    <t>RF-42192</t>
  </si>
  <si>
    <t>RF-42191</t>
  </si>
  <si>
    <t>RF-42190</t>
  </si>
  <si>
    <t>RF-42189</t>
  </si>
  <si>
    <t>RF-42188</t>
  </si>
  <si>
    <t>AR-15492</t>
  </si>
  <si>
    <t>AR-15491</t>
  </si>
  <si>
    <t>AR-15490</t>
  </si>
  <si>
    <t>AS-56697</t>
  </si>
  <si>
    <t>AS-56696</t>
  </si>
  <si>
    <t>AS-56695</t>
  </si>
  <si>
    <t>AS-56694</t>
  </si>
  <si>
    <t>AS-56693</t>
  </si>
  <si>
    <t>AS-56692</t>
  </si>
  <si>
    <t>AS-56691</t>
  </si>
  <si>
    <t>AS-56690</t>
  </si>
  <si>
    <t>AS-56689</t>
  </si>
  <si>
    <t>AS-56688</t>
  </si>
  <si>
    <t>AS-56687</t>
  </si>
  <si>
    <t>AS-56686</t>
  </si>
  <si>
    <t>AS-56685</t>
  </si>
  <si>
    <t>AS-56684</t>
  </si>
  <si>
    <t>AS-56683</t>
  </si>
  <si>
    <t>AS-56682</t>
  </si>
  <si>
    <t>AS-56681</t>
  </si>
  <si>
    <t>AS-56680</t>
  </si>
  <si>
    <t>AS-56679</t>
  </si>
  <si>
    <t>RF-42222</t>
  </si>
  <si>
    <t>RF-42223</t>
  </si>
  <si>
    <t>RF-42224</t>
  </si>
  <si>
    <t>RF-4225</t>
  </si>
  <si>
    <t>RF-42227</t>
  </si>
  <si>
    <t>AS-56754</t>
  </si>
  <si>
    <t>AS-56753</t>
  </si>
  <si>
    <t>AS-56752</t>
  </si>
  <si>
    <t>AS-56751</t>
  </si>
  <si>
    <t>AS-56749</t>
  </si>
  <si>
    <t>AS-56748</t>
  </si>
  <si>
    <t>AS-56747</t>
  </si>
  <si>
    <t>AS-56746</t>
  </si>
  <si>
    <t>AS-56743</t>
  </si>
  <si>
    <t>AS-56741</t>
  </si>
  <si>
    <t>AR-15514</t>
  </si>
  <si>
    <t>AR-15511</t>
  </si>
  <si>
    <t>RF-42220</t>
  </si>
  <si>
    <t>RF-42219</t>
  </si>
  <si>
    <t>RF-42218</t>
  </si>
  <si>
    <t>RF-42217</t>
  </si>
  <si>
    <t>RF-42216</t>
  </si>
  <si>
    <t>RF-42215</t>
  </si>
  <si>
    <t>RF-42214</t>
  </si>
  <si>
    <t>RF-42213</t>
  </si>
  <si>
    <t>RF-42212</t>
  </si>
  <si>
    <t>RF-42211</t>
  </si>
  <si>
    <t>RF-42210</t>
  </si>
  <si>
    <t>RF-42209</t>
  </si>
  <si>
    <t>RF-42207</t>
  </si>
  <si>
    <t>RF-42206</t>
  </si>
  <si>
    <t>RF-42205</t>
  </si>
  <si>
    <t>RF-42203</t>
  </si>
  <si>
    <t>RF-42202</t>
  </si>
  <si>
    <t>RF-42201</t>
  </si>
  <si>
    <t>RF-42200</t>
  </si>
  <si>
    <t>AR-15508</t>
  </si>
  <si>
    <t>AS-56735</t>
  </si>
  <si>
    <t>AS-56733</t>
  </si>
  <si>
    <t>AS-56732</t>
  </si>
  <si>
    <t>AS-56731</t>
  </si>
  <si>
    <t>AS-56730</t>
  </si>
  <si>
    <t>AS-56727</t>
  </si>
  <si>
    <t>AS-56726</t>
  </si>
  <si>
    <t>AS-56724</t>
  </si>
  <si>
    <t>AS-56723</t>
  </si>
  <si>
    <t>AS-56722</t>
  </si>
  <si>
    <t>AS-56721</t>
  </si>
  <si>
    <t>AS-56720</t>
  </si>
  <si>
    <t>AS-56719</t>
  </si>
  <si>
    <t>AS-56718</t>
  </si>
  <si>
    <t>AS-56717</t>
  </si>
  <si>
    <t>AS-56715</t>
  </si>
  <si>
    <t>AS-56714</t>
  </si>
  <si>
    <t>AS-56713</t>
  </si>
  <si>
    <t>AS-56712</t>
  </si>
  <si>
    <t>AS-56711</t>
  </si>
  <si>
    <t>AS-56710</t>
  </si>
  <si>
    <t>RF-42235</t>
  </si>
  <si>
    <t>RF-42234</t>
  </si>
  <si>
    <t>RF-42233</t>
  </si>
  <si>
    <t>RF-42232</t>
  </si>
  <si>
    <t>RF-42231</t>
  </si>
  <si>
    <t>RF-42230</t>
  </si>
  <si>
    <t>RF-42228</t>
  </si>
  <si>
    <t>AR-15516</t>
  </si>
  <si>
    <t>AS-56775</t>
  </si>
  <si>
    <t>AS-56774</t>
  </si>
  <si>
    <t>AS-56773</t>
  </si>
  <si>
    <t>AS-56772</t>
  </si>
  <si>
    <t>AS-56771</t>
  </si>
  <si>
    <t>AS-56769</t>
  </si>
  <si>
    <t>AS-56768</t>
  </si>
  <si>
    <t>AS-56767</t>
  </si>
  <si>
    <t>AS-56766</t>
  </si>
  <si>
    <t>AS-56765</t>
  </si>
  <si>
    <t>AS-56764</t>
  </si>
  <si>
    <t>AS-56763</t>
  </si>
  <si>
    <t>AS-56762</t>
  </si>
  <si>
    <t>AS-56761</t>
  </si>
  <si>
    <t>AS-56760</t>
  </si>
  <si>
    <t>AS-56759</t>
  </si>
  <si>
    <t>AS-56758</t>
  </si>
  <si>
    <t>AS-56757</t>
  </si>
  <si>
    <t>AS-56756</t>
  </si>
  <si>
    <t>AS-56755</t>
  </si>
  <si>
    <t>RF-42229</t>
  </si>
  <si>
    <t>RF-42264</t>
  </si>
  <si>
    <t>RF-42263</t>
  </si>
  <si>
    <t>RF-42262</t>
  </si>
  <si>
    <t>RF-42261</t>
  </si>
  <si>
    <t>RF-42260</t>
  </si>
  <si>
    <t>RF-42259</t>
  </si>
  <si>
    <t>RF-42256</t>
  </si>
  <si>
    <t>RF-42255</t>
  </si>
  <si>
    <t>RF-42254</t>
  </si>
  <si>
    <t>RF-42253</t>
  </si>
  <si>
    <t>RF-42252</t>
  </si>
  <si>
    <t>RF-42251</t>
  </si>
  <si>
    <t>RF-42250</t>
  </si>
  <si>
    <t>AR-15532</t>
  </si>
  <si>
    <t>AR-15530</t>
  </si>
  <si>
    <t>AS-586830</t>
  </si>
  <si>
    <t>AS-56829</t>
  </si>
  <si>
    <t>AS-56827</t>
  </si>
  <si>
    <t>AS-56826</t>
  </si>
  <si>
    <t>AS-56825</t>
  </si>
  <si>
    <t>AS-56824</t>
  </si>
  <si>
    <t>AS-56822</t>
  </si>
  <si>
    <t>AS-56821</t>
  </si>
  <si>
    <t>AS-56820</t>
  </si>
  <si>
    <t>AS-56819</t>
  </si>
  <si>
    <t>AS-56818</t>
  </si>
  <si>
    <t>AS-56817</t>
  </si>
  <si>
    <t>AS-56816</t>
  </si>
  <si>
    <t>AS-56815</t>
  </si>
  <si>
    <t>AS-56814</t>
  </si>
  <si>
    <t>AS-56813</t>
  </si>
  <si>
    <t>AS-56812</t>
  </si>
  <si>
    <t>AS-56809</t>
  </si>
  <si>
    <t>AS-56808</t>
  </si>
  <si>
    <t>AS-56806</t>
  </si>
  <si>
    <t>AS-56805</t>
  </si>
  <si>
    <t>AS-56804</t>
  </si>
  <si>
    <t>AS-56803</t>
  </si>
  <si>
    <t>RF-42249</t>
  </si>
  <si>
    <t>RF-42248</t>
  </si>
  <si>
    <t>RF-42246</t>
  </si>
  <si>
    <t>RF-42245</t>
  </si>
  <si>
    <t>RF-42244</t>
  </si>
  <si>
    <t>RF-42243</t>
  </si>
  <si>
    <t>RF-42242</t>
  </si>
  <si>
    <t>RF-42241</t>
  </si>
  <si>
    <t>RF-42240</t>
  </si>
  <si>
    <t>RF-42239</t>
  </si>
  <si>
    <t>RF-42238</t>
  </si>
  <si>
    <t>AS-56799</t>
  </si>
  <si>
    <t>AS-56798</t>
  </si>
  <si>
    <t>AS-56797</t>
  </si>
  <si>
    <t>AS-56796</t>
  </si>
  <si>
    <t>AS-56795</t>
  </si>
  <si>
    <t>AS-56794</t>
  </si>
  <si>
    <t>AS-56792</t>
  </si>
  <si>
    <t>AS-56791</t>
  </si>
  <si>
    <t>AS-56790</t>
  </si>
  <si>
    <t>AS-56783</t>
  </si>
  <si>
    <t>AS-56782</t>
  </si>
  <si>
    <t>AS-56779</t>
  </si>
  <si>
    <t>AS-56778</t>
  </si>
  <si>
    <t>AR-15527</t>
  </si>
  <si>
    <t>AR-15524</t>
  </si>
  <si>
    <t>AR-15522</t>
  </si>
  <si>
    <t>AR-15518</t>
  </si>
  <si>
    <t>AR-15517</t>
  </si>
  <si>
    <t>RF-42276</t>
  </si>
  <si>
    <t>RF-42275</t>
  </si>
  <si>
    <t>RF-42274</t>
  </si>
  <si>
    <t>RF-42273</t>
  </si>
  <si>
    <t>RF-42272</t>
  </si>
  <si>
    <t>RF-42270</t>
  </si>
  <si>
    <t>RF-42269</t>
  </si>
  <si>
    <t>RF-42268</t>
  </si>
  <si>
    <t>RF-42267</t>
  </si>
  <si>
    <t>RF-42266</t>
  </si>
  <si>
    <t>RF-42265</t>
  </si>
  <si>
    <t>AR-15543</t>
  </si>
  <si>
    <t>AR-15542</t>
  </si>
  <si>
    <t>AR-15539</t>
  </si>
  <si>
    <t>AR-15538</t>
  </si>
  <si>
    <t>AR-15533</t>
  </si>
  <si>
    <t>AS-56849</t>
  </si>
  <si>
    <t>AS-56847</t>
  </si>
  <si>
    <t>AS-56846</t>
  </si>
  <si>
    <t>AS-56845</t>
  </si>
  <si>
    <t>AS-56844</t>
  </si>
  <si>
    <t>AS-56843</t>
  </si>
  <si>
    <t>AS-56842</t>
  </si>
  <si>
    <t>AS-56841</t>
  </si>
  <si>
    <t>AS-56840</t>
  </si>
  <si>
    <t>AS-56839</t>
  </si>
  <si>
    <t>AS-56838</t>
  </si>
  <si>
    <t>AS-56837</t>
  </si>
  <si>
    <t>AS-56836</t>
  </si>
  <si>
    <t>AS-56835</t>
  </si>
  <si>
    <t>AS-56834</t>
  </si>
  <si>
    <t>AS-56833</t>
  </si>
  <si>
    <t>AS-56832</t>
  </si>
  <si>
    <t>AS-56831</t>
  </si>
  <si>
    <t>RF-42286</t>
  </si>
  <si>
    <t>RR-42284</t>
  </si>
  <si>
    <t>RF-42283</t>
  </si>
  <si>
    <t>RF-42282</t>
  </si>
  <si>
    <t>RF-42281</t>
  </si>
  <si>
    <t>RF-42280</t>
  </si>
  <si>
    <t>RF-42278</t>
  </si>
  <si>
    <t>RF-4277</t>
  </si>
  <si>
    <t>AR-15549</t>
  </si>
  <si>
    <t>AR-15547</t>
  </si>
  <si>
    <t>AR-15546</t>
  </si>
  <si>
    <t>AR-15545</t>
  </si>
  <si>
    <t>AS-56856</t>
  </si>
  <si>
    <t>AS-56854</t>
  </si>
  <si>
    <t>AS-56853</t>
  </si>
  <si>
    <t>AS-56852</t>
  </si>
  <si>
    <t>AS-56851</t>
  </si>
  <si>
    <t>AS-56850</t>
  </si>
  <si>
    <t>RF-42294</t>
  </si>
  <si>
    <t>RF-42293</t>
  </si>
  <si>
    <t>RF-42292</t>
  </si>
  <si>
    <t>RF-42291</t>
  </si>
  <si>
    <t>RF-42290</t>
  </si>
  <si>
    <t>RF-42289</t>
  </si>
  <si>
    <t>RF-42288</t>
  </si>
  <si>
    <t>AS-56892</t>
  </si>
  <si>
    <t>AS-56891</t>
  </si>
  <si>
    <t>AS-56887</t>
  </si>
  <si>
    <t>AS-56883</t>
  </si>
  <si>
    <t>AS-56878</t>
  </si>
  <si>
    <t>AS-56871</t>
  </si>
  <si>
    <t>AS-56868</t>
  </si>
  <si>
    <t>AS-56867</t>
  </si>
  <si>
    <t>AS-56864</t>
  </si>
  <si>
    <t>AS-56863</t>
  </si>
  <si>
    <t>AS-56862</t>
  </si>
  <si>
    <t>AS-56861</t>
  </si>
  <si>
    <t>AS-56860</t>
  </si>
  <si>
    <t>AS-56859</t>
  </si>
  <si>
    <t>AR-15553</t>
  </si>
  <si>
    <t>AR-15552</t>
  </si>
  <si>
    <t>AR-15551</t>
  </si>
  <si>
    <t>RF-42302</t>
  </si>
  <si>
    <t>RF-42301</t>
  </si>
  <si>
    <t>RF-42300</t>
  </si>
  <si>
    <t>RF-42299</t>
  </si>
  <si>
    <t>RF-42298</t>
  </si>
  <si>
    <t>RF-42297</t>
  </si>
  <si>
    <t>RF-42296</t>
  </si>
  <si>
    <t>RF-42295</t>
  </si>
  <si>
    <t>AR-15557</t>
  </si>
  <si>
    <t>AR-15556</t>
  </si>
  <si>
    <t>AR-15554</t>
  </si>
  <si>
    <t>AS-56910</t>
  </si>
  <si>
    <t>AS-56908</t>
  </si>
  <si>
    <t>AS-56907</t>
  </si>
  <si>
    <t>AS-56906</t>
  </si>
  <si>
    <t>AS-5695</t>
  </si>
  <si>
    <t>AS-56904</t>
  </si>
  <si>
    <t>AS-56903</t>
  </si>
  <si>
    <t>AS-56902</t>
  </si>
  <si>
    <t>AS-56901</t>
  </si>
  <si>
    <t>AS-56894</t>
  </si>
  <si>
    <t>AS-56893</t>
  </si>
  <si>
    <t>RF-42326</t>
  </si>
  <si>
    <t>RF-42325</t>
  </si>
  <si>
    <t>RF-42324</t>
  </si>
  <si>
    <t>RF-42323</t>
  </si>
  <si>
    <t>RF-42322</t>
  </si>
  <si>
    <t>RF-42321</t>
  </si>
  <si>
    <t>AR-15567</t>
  </si>
  <si>
    <t>AR-15566</t>
  </si>
  <si>
    <t>AR-15561</t>
  </si>
  <si>
    <t>AR-15559</t>
  </si>
  <si>
    <t>AS-56964</t>
  </si>
  <si>
    <t>AS-56962</t>
  </si>
  <si>
    <t>AS-56961</t>
  </si>
  <si>
    <t>AS-56960</t>
  </si>
  <si>
    <t>AS-56959</t>
  </si>
  <si>
    <t>AS-56949</t>
  </si>
  <si>
    <t>AS-56948</t>
  </si>
  <si>
    <t>AS-56947</t>
  </si>
  <si>
    <t>AS-56941</t>
  </si>
  <si>
    <t>RF-42356</t>
  </si>
  <si>
    <t>RF-42355</t>
  </si>
  <si>
    <t>RF-42354</t>
  </si>
  <si>
    <t>RF-42353</t>
  </si>
  <si>
    <t>RF-42351</t>
  </si>
  <si>
    <t>RF-42350</t>
  </si>
  <si>
    <t>RF-42349</t>
  </si>
  <si>
    <t>RF-42348</t>
  </si>
  <si>
    <t>RF-42346</t>
  </si>
  <si>
    <t>RF-42345</t>
  </si>
  <si>
    <t>RF-42344</t>
  </si>
  <si>
    <t>RF-42343</t>
  </si>
  <si>
    <t>RF-42342</t>
  </si>
  <si>
    <t>AR-15584</t>
  </si>
  <si>
    <t>AR-15581</t>
  </si>
  <si>
    <t>AR-15580</t>
  </si>
  <si>
    <t>AR-15575</t>
  </si>
  <si>
    <t>AR-15574</t>
  </si>
  <si>
    <t>AS-56993</t>
  </si>
  <si>
    <t>AS-56992</t>
  </si>
  <si>
    <t>AS-56991</t>
  </si>
  <si>
    <t>AS-56990</t>
  </si>
  <si>
    <t>AS-56989</t>
  </si>
  <si>
    <t>AS-56988</t>
  </si>
  <si>
    <t>AS-56987</t>
  </si>
  <si>
    <t>AS-56986</t>
  </si>
  <si>
    <t>AS-56985</t>
  </si>
  <si>
    <t>AS-56984</t>
  </si>
  <si>
    <t>AS-56983</t>
  </si>
  <si>
    <t>RF-42320</t>
  </si>
  <si>
    <t>RF-42319</t>
  </si>
  <si>
    <t>RF-42318</t>
  </si>
  <si>
    <t>RF-42317</t>
  </si>
  <si>
    <t>RF-42316</t>
  </si>
  <si>
    <t>RF-42314</t>
  </si>
  <si>
    <t>RF-42313</t>
  </si>
  <si>
    <t>RF-42312</t>
  </si>
  <si>
    <t>RF-42311</t>
  </si>
  <si>
    <t>RF-42310</t>
  </si>
  <si>
    <t>RF-42309</t>
  </si>
  <si>
    <t>RF-42307</t>
  </si>
  <si>
    <t>RF-42306</t>
  </si>
  <si>
    <t>RF-42305</t>
  </si>
  <si>
    <t>RF-42304</t>
  </si>
  <si>
    <t>RF-42303</t>
  </si>
  <si>
    <t>AS-56940</t>
  </si>
  <si>
    <t>AS-56939</t>
  </si>
  <si>
    <t>AS-56938</t>
  </si>
  <si>
    <t>AS-56937</t>
  </si>
  <si>
    <t>AS-56936</t>
  </si>
  <si>
    <t>AS-56935</t>
  </si>
  <si>
    <t>AS-56934</t>
  </si>
  <si>
    <t>AS-56933</t>
  </si>
  <si>
    <t>AS-56932</t>
  </si>
  <si>
    <t>AS-56931</t>
  </si>
  <si>
    <t>AS-56929</t>
  </si>
  <si>
    <t>AS-56927</t>
  </si>
  <si>
    <t>AS-56926</t>
  </si>
  <si>
    <t>AS-56925</t>
  </si>
  <si>
    <t>AS-56924</t>
  </si>
  <si>
    <t>AS-56923</t>
  </si>
  <si>
    <t>AS-56921</t>
  </si>
  <si>
    <t>AS-56918</t>
  </si>
  <si>
    <t>AS-56917</t>
  </si>
  <si>
    <t>AS-56916</t>
  </si>
  <si>
    <t>AS-56915</t>
  </si>
  <si>
    <t>AS-56914</t>
  </si>
  <si>
    <t>AS-56913</t>
  </si>
  <si>
    <t>AR-15558</t>
  </si>
  <si>
    <t>RF-42340</t>
  </si>
  <si>
    <t>RF-42339</t>
  </si>
  <si>
    <t>RF-42338</t>
  </si>
  <si>
    <t>RF-42337</t>
  </si>
  <si>
    <t>RF-42336</t>
  </si>
  <si>
    <t>RF-42335</t>
  </si>
  <si>
    <t>RF-42334</t>
  </si>
  <si>
    <t>RF-42331</t>
  </si>
  <si>
    <t>RF-42329</t>
  </si>
  <si>
    <t>RF-42328</t>
  </si>
  <si>
    <t>RF-42327</t>
  </si>
  <si>
    <t>AS-5681</t>
  </si>
  <si>
    <t>AS-56981</t>
  </si>
  <si>
    <t>AS-56980</t>
  </si>
  <si>
    <t>AS-56979</t>
  </si>
  <si>
    <t>AS-56978</t>
  </si>
  <si>
    <t>AS-56977</t>
  </si>
  <si>
    <t>AS-56976</t>
  </si>
  <si>
    <t>AS-56975</t>
  </si>
  <si>
    <t>AS-56974</t>
  </si>
  <si>
    <t>AS-56973</t>
  </si>
  <si>
    <t>AS-56972</t>
  </si>
  <si>
    <t>AS-56971</t>
  </si>
  <si>
    <t>AS-56970</t>
  </si>
  <si>
    <t>AS-56967</t>
  </si>
  <si>
    <t>AS-56965</t>
  </si>
  <si>
    <t>AR-15572</t>
  </si>
  <si>
    <t>AR-15571</t>
  </si>
  <si>
    <t>AR-15570</t>
  </si>
  <si>
    <t>AR-15569</t>
  </si>
  <si>
    <t>RF-42341</t>
  </si>
  <si>
    <t>RF-42370</t>
  </si>
  <si>
    <t>RF-42369</t>
  </si>
  <si>
    <t>RF-42367</t>
  </si>
  <si>
    <t>RF-42366</t>
  </si>
  <si>
    <t>RF-42365</t>
  </si>
  <si>
    <t>RF-42364</t>
  </si>
  <si>
    <t>RF-42363</t>
  </si>
  <si>
    <t>RF42362</t>
  </si>
  <si>
    <t>RF-42361</t>
  </si>
  <si>
    <t>RF-42360</t>
  </si>
  <si>
    <t>RF-42359</t>
  </si>
  <si>
    <t>RF-42358</t>
  </si>
  <si>
    <t>RF-42357</t>
  </si>
  <si>
    <t>AS-57018</t>
  </si>
  <si>
    <t>AS-57017</t>
  </si>
  <si>
    <t>AS-57016</t>
  </si>
  <si>
    <t>AS-57015</t>
  </si>
  <si>
    <t>AS-57014</t>
  </si>
  <si>
    <t>AS-57013</t>
  </si>
  <si>
    <t>AS-57012</t>
  </si>
  <si>
    <t>AS-57011</t>
  </si>
  <si>
    <t>AS-57010</t>
  </si>
  <si>
    <t>AS-57009</t>
  </si>
  <si>
    <t>AS-57008</t>
  </si>
  <si>
    <t>AS-57007</t>
  </si>
  <si>
    <t>AS-57006</t>
  </si>
  <si>
    <t>AS-57005</t>
  </si>
  <si>
    <t>AS-57004</t>
  </si>
  <si>
    <t>AS-57003</t>
  </si>
  <si>
    <t>AS-57002</t>
  </si>
  <si>
    <t>AS-57001</t>
  </si>
  <si>
    <t>AS-57000</t>
  </si>
  <si>
    <t>AS-56999</t>
  </si>
  <si>
    <t>AS-56998</t>
  </si>
  <si>
    <t>AS-56996</t>
  </si>
  <si>
    <t>AS-56995</t>
  </si>
  <si>
    <t>AS-56994</t>
  </si>
  <si>
    <t>AR-15591</t>
  </si>
  <si>
    <t>AR-15590</t>
  </si>
  <si>
    <t>AR-15588</t>
  </si>
  <si>
    <t>RF-42379</t>
  </si>
  <si>
    <t>RF-42378</t>
  </si>
  <si>
    <t>RF-42377</t>
  </si>
  <si>
    <t>RF-42376</t>
  </si>
  <si>
    <t>RF-42375</t>
  </si>
  <si>
    <t>RF-457050</t>
  </si>
  <si>
    <t>AS-57049</t>
  </si>
  <si>
    <t>AS-57048</t>
  </si>
  <si>
    <t>AS-57047</t>
  </si>
  <si>
    <t>AS-57046</t>
  </si>
  <si>
    <t>AS-57045</t>
  </si>
  <si>
    <t>AS-57044</t>
  </si>
  <si>
    <t>AS-57043</t>
  </si>
  <si>
    <t>AS-57042</t>
  </si>
  <si>
    <t>AS-57041</t>
  </si>
  <si>
    <t>AS-57040</t>
  </si>
  <si>
    <t>AS-57039</t>
  </si>
  <si>
    <t>AS-57038</t>
  </si>
  <si>
    <t>AS-57037</t>
  </si>
  <si>
    <t>AS-57036</t>
  </si>
  <si>
    <t>AS-57035</t>
  </si>
  <si>
    <t>AS-57034</t>
  </si>
  <si>
    <t>AR-15600</t>
  </si>
  <si>
    <t>AR-15599</t>
  </si>
  <si>
    <t>RF-42380</t>
  </si>
  <si>
    <t>RF-42374</t>
  </si>
  <si>
    <t>RF-42373</t>
  </si>
  <si>
    <t>RF-42372</t>
  </si>
  <si>
    <t>RF-42371</t>
  </si>
  <si>
    <t>AR-15596</t>
  </si>
  <si>
    <t>AR-15594</t>
  </si>
  <si>
    <t>AS-57033</t>
  </si>
  <si>
    <t>AS-57032</t>
  </si>
  <si>
    <t>AS-57031</t>
  </si>
  <si>
    <t>AS-57030</t>
  </si>
  <si>
    <t>AS-57029</t>
  </si>
  <si>
    <t>AS-57028</t>
  </si>
  <si>
    <t>AS-57027</t>
  </si>
  <si>
    <t>AS-57026</t>
  </si>
  <si>
    <t>AS-57024</t>
  </si>
  <si>
    <t>RF-42386</t>
  </si>
  <si>
    <t>RF-42385</t>
  </si>
  <si>
    <t>RF-42384</t>
  </si>
  <si>
    <t>RF-42383</t>
  </si>
  <si>
    <t>RF-42381</t>
  </si>
  <si>
    <t>AS-57062</t>
  </si>
  <si>
    <t>AS-57061</t>
  </si>
  <si>
    <t>AS-57060</t>
  </si>
  <si>
    <t>AS-57059</t>
  </si>
  <si>
    <t>AS-57058</t>
  </si>
  <si>
    <t>AS-57057</t>
  </si>
  <si>
    <t>AS-57056</t>
  </si>
  <si>
    <t>AS-57055</t>
  </si>
  <si>
    <t>AS-57054</t>
  </si>
  <si>
    <t>AS-57053</t>
  </si>
  <si>
    <t>AS-57052</t>
  </si>
  <si>
    <t>AS-57051</t>
  </si>
  <si>
    <t>AR-15601</t>
  </si>
  <si>
    <t>RF-42401</t>
  </si>
  <si>
    <t>RF-42399</t>
  </si>
  <si>
    <t>RF-42398</t>
  </si>
  <si>
    <t>RF-42397</t>
  </si>
  <si>
    <t>RF-42396</t>
  </si>
  <si>
    <t>AS-57098</t>
  </si>
  <si>
    <t>AS-57097</t>
  </si>
  <si>
    <t>AS-57096</t>
  </si>
  <si>
    <t>AS-57095</t>
  </si>
  <si>
    <t>AS-57092</t>
  </si>
  <si>
    <t>AS-57091</t>
  </si>
  <si>
    <t>AS-57089</t>
  </si>
  <si>
    <t>AR-15617</t>
  </si>
  <si>
    <t>AR-15616</t>
  </si>
  <si>
    <t>AR-15615</t>
  </si>
  <si>
    <t>RF-42395</t>
  </si>
  <si>
    <t>RF-42393</t>
  </si>
  <si>
    <t>RF-42392</t>
  </si>
  <si>
    <t>RF-42391</t>
  </si>
  <si>
    <t>RF-42390</t>
  </si>
  <si>
    <t>RF-42389</t>
  </si>
  <si>
    <t>RF-42388</t>
  </si>
  <si>
    <t>AR-15611</t>
  </si>
  <si>
    <t>AR-15610</t>
  </si>
  <si>
    <t>AR-15609</t>
  </si>
  <si>
    <t>AS-57077</t>
  </si>
  <si>
    <t>AS-57075</t>
  </si>
  <si>
    <t>AS-57074</t>
  </si>
  <si>
    <t>AS-57073</t>
  </si>
  <si>
    <t>AS-57072</t>
  </si>
  <si>
    <t>AS-57071</t>
  </si>
  <si>
    <t>AS-57070</t>
  </si>
  <si>
    <t>AS-57069</t>
  </si>
  <si>
    <t>AS-57067</t>
  </si>
  <si>
    <t>AS-57066</t>
  </si>
  <si>
    <t>AS-57065</t>
  </si>
  <si>
    <t>AS-57064</t>
  </si>
  <si>
    <t>AS-57063</t>
  </si>
  <si>
    <t>RF-42414</t>
  </si>
  <si>
    <t>RF-42413</t>
  </si>
  <si>
    <t>RF-42412</t>
  </si>
  <si>
    <t>RF-42411</t>
  </si>
  <si>
    <t>RF-42410</t>
  </si>
  <si>
    <t>AS-57135</t>
  </si>
  <si>
    <t>AS-57133</t>
  </si>
  <si>
    <t>AS-57131</t>
  </si>
  <si>
    <t>AS-57130</t>
  </si>
  <si>
    <t>AS-57129</t>
  </si>
  <si>
    <t>AS-57128</t>
  </si>
  <si>
    <t>AS-57127</t>
  </si>
  <si>
    <t>AS-57126</t>
  </si>
  <si>
    <t>AR-15622</t>
  </si>
  <si>
    <t>RF-42438</t>
  </si>
  <si>
    <t>RF-42437</t>
  </si>
  <si>
    <t>RF-42435</t>
  </si>
  <si>
    <t>RF-42434</t>
  </si>
  <si>
    <t>RF-42432</t>
  </si>
  <si>
    <t>AS-57167</t>
  </si>
  <si>
    <t>AS-57166</t>
  </si>
  <si>
    <t>AS-57165</t>
  </si>
  <si>
    <t>AS-57164</t>
  </si>
  <si>
    <t>AS-57163</t>
  </si>
  <si>
    <t>AS-57162</t>
  </si>
  <si>
    <t>AS-57161</t>
  </si>
  <si>
    <t>AS-57158</t>
  </si>
  <si>
    <t>AR-15634</t>
  </si>
  <si>
    <t>AR-15632</t>
  </si>
  <si>
    <t>AR-15631</t>
  </si>
  <si>
    <t>RF-42409</t>
  </si>
  <si>
    <t>RF-42408</t>
  </si>
  <si>
    <t>RF-42407</t>
  </si>
  <si>
    <t>RF-42406</t>
  </si>
  <si>
    <t>RF-42405</t>
  </si>
  <si>
    <t>RF-42404</t>
  </si>
  <si>
    <t>RF-42403</t>
  </si>
  <si>
    <t>AR-15620</t>
  </si>
  <si>
    <t>AR-15619</t>
  </si>
  <si>
    <t>AR-15618</t>
  </si>
  <si>
    <t>AS-57123</t>
  </si>
  <si>
    <t>AS-57122</t>
  </si>
  <si>
    <t>AS-57121</t>
  </si>
  <si>
    <t>AS-57120</t>
  </si>
  <si>
    <t>AS-57119</t>
  </si>
  <si>
    <t>AS-57117</t>
  </si>
  <si>
    <t>AS-57114</t>
  </si>
  <si>
    <t>AS-57113</t>
  </si>
  <si>
    <t>AS-57112</t>
  </si>
  <si>
    <t>AS-57111</t>
  </si>
  <si>
    <t>AS-57110</t>
  </si>
  <si>
    <t>AS-57109</t>
  </si>
  <si>
    <t>AS-57108</t>
  </si>
  <si>
    <t>AS-57107</t>
  </si>
  <si>
    <t>AS-57106</t>
  </si>
  <si>
    <t>AS-57105</t>
  </si>
  <si>
    <t>AS-57104</t>
  </si>
  <si>
    <t>AS-57103</t>
  </si>
  <si>
    <t>AS-57101</t>
  </si>
  <si>
    <t>AS-57100</t>
  </si>
  <si>
    <t>AS-57099</t>
  </si>
  <si>
    <t>RF-42431</t>
  </si>
  <si>
    <t>RF-42430</t>
  </si>
  <si>
    <t>RF-42429</t>
  </si>
  <si>
    <t>RF-42428</t>
  </si>
  <si>
    <t>RF-42427</t>
  </si>
  <si>
    <t>RF-42426</t>
  </si>
  <si>
    <t>RF-42425</t>
  </si>
  <si>
    <t>RF-42422</t>
  </si>
  <si>
    <t>RF-42421</t>
  </si>
  <si>
    <t>RF-42420</t>
  </si>
  <si>
    <t>RF-42418</t>
  </si>
  <si>
    <t>RF-42417</t>
  </si>
  <si>
    <t>RF-42416</t>
  </si>
  <si>
    <t>RF-42415</t>
  </si>
  <si>
    <t>AR-15628</t>
  </si>
  <si>
    <t>AR-15627</t>
  </si>
  <si>
    <t>AR-15626</t>
  </si>
  <si>
    <t>AR-15625</t>
  </si>
  <si>
    <t>AR-15624</t>
  </si>
  <si>
    <t>AR-15623</t>
  </si>
  <si>
    <t>AS-57156</t>
  </si>
  <si>
    <t>AS-57155</t>
  </si>
  <si>
    <t>AS-57154</t>
  </si>
  <si>
    <t>AS-57153</t>
  </si>
  <si>
    <t>AS-57152</t>
  </si>
  <si>
    <t>AS-57151</t>
  </si>
  <si>
    <t>AS-57150</t>
  </si>
  <si>
    <t>AS-57148</t>
  </si>
  <si>
    <t>AS-57147</t>
  </si>
  <si>
    <t>AS-57146</t>
  </si>
  <si>
    <t>AS-57145</t>
  </si>
  <si>
    <t>AS-57144</t>
  </si>
  <si>
    <t>AS-57143</t>
  </si>
  <si>
    <t>AS-57142</t>
  </si>
  <si>
    <t>AS-57141</t>
  </si>
  <si>
    <t>AS-57140</t>
  </si>
  <si>
    <t>AS-57139</t>
  </si>
  <si>
    <t>AS-57137</t>
  </si>
  <si>
    <t>AS-57149</t>
  </si>
  <si>
    <t>RF-45451</t>
  </si>
  <si>
    <t>RF-42450</t>
  </si>
  <si>
    <t>RF-42449</t>
  </si>
  <si>
    <t>RF-42488</t>
  </si>
  <si>
    <t>RF-42447</t>
  </si>
  <si>
    <t>RF-42446</t>
  </si>
  <si>
    <t>RF-42445</t>
  </si>
  <si>
    <t>RF-42444</t>
  </si>
  <si>
    <t>RF-42443</t>
  </si>
  <si>
    <t>RF-42442</t>
  </si>
  <si>
    <t>RF-42440</t>
  </si>
  <si>
    <t>RF-42439</t>
  </si>
  <si>
    <t>AS-57185</t>
  </si>
  <si>
    <t>AS-57184</t>
  </si>
  <si>
    <t>AS-57183</t>
  </si>
  <si>
    <t>AS-57181</t>
  </si>
  <si>
    <t>AS-57180</t>
  </si>
  <si>
    <t>AS-57179</t>
  </si>
  <si>
    <t>AS-57178</t>
  </si>
  <si>
    <t>AS-57177</t>
  </si>
  <si>
    <t>AS-57176</t>
  </si>
  <si>
    <t>AS-57175</t>
  </si>
  <si>
    <t>AS-57174</t>
  </si>
  <si>
    <t>AS-57173</t>
  </si>
  <si>
    <t>AS-57171</t>
  </si>
  <si>
    <t>AS-57170</t>
  </si>
  <si>
    <t>AS-57169</t>
  </si>
  <si>
    <t>AS-57168</t>
  </si>
  <si>
    <t>AS-57182</t>
  </si>
  <si>
    <t>RF-42462</t>
  </si>
  <si>
    <t>RF-42461</t>
  </si>
  <si>
    <t>RF-42460</t>
  </si>
  <si>
    <t>RF-42459</t>
  </si>
  <si>
    <t>RF-42458</t>
  </si>
  <si>
    <t>RF-42457</t>
  </si>
  <si>
    <t>RF-42456</t>
  </si>
  <si>
    <t>RF-42455</t>
  </si>
  <si>
    <t>RF-42454</t>
  </si>
  <si>
    <t>RF-42453</t>
  </si>
  <si>
    <t>RF-42452</t>
  </si>
  <si>
    <t>AS-57195</t>
  </si>
  <si>
    <t>AS-57194</t>
  </si>
  <si>
    <t>AS-57193</t>
  </si>
  <si>
    <t>AS-57192</t>
  </si>
  <si>
    <t>AS-57191</t>
  </si>
  <si>
    <t>AS-57190</t>
  </si>
  <si>
    <t>AS-57189</t>
  </si>
  <si>
    <t>AS-57186</t>
  </si>
  <si>
    <t>AR-15636</t>
  </si>
  <si>
    <t>RF-42471</t>
  </si>
  <si>
    <t>RF-42473</t>
  </si>
  <si>
    <t>RF-42472</t>
  </si>
  <si>
    <t>RF-42470</t>
  </si>
  <si>
    <t>RF-42469</t>
  </si>
  <si>
    <t>RF-42468</t>
  </si>
  <si>
    <t>RF-42467</t>
  </si>
  <si>
    <t>RF-42466</t>
  </si>
  <si>
    <t>RF-42465</t>
  </si>
  <si>
    <t>RF-42464</t>
  </si>
  <si>
    <t>RF-42463</t>
  </si>
  <si>
    <t>AR-15641</t>
  </si>
  <si>
    <t>AR-15639</t>
  </si>
  <si>
    <t>AS-57238</t>
  </si>
  <si>
    <t>AS-57236</t>
  </si>
  <si>
    <t>AS-57235</t>
  </si>
  <si>
    <t>AS-57234</t>
  </si>
  <si>
    <t>AS-57232</t>
  </si>
  <si>
    <t>AS-57231</t>
  </si>
  <si>
    <t>AS-57230</t>
  </si>
  <si>
    <t>AS-57229</t>
  </si>
  <si>
    <t>AS-57228</t>
  </si>
  <si>
    <t>AS-57219</t>
  </si>
  <si>
    <t>AS-68319</t>
  </si>
  <si>
    <t>AS-57216</t>
  </si>
  <si>
    <t>AS-57215</t>
  </si>
  <si>
    <t>AS-57207</t>
  </si>
  <si>
    <t>AS-57200</t>
  </si>
  <si>
    <t>AS-57199</t>
  </si>
  <si>
    <t>AS-57198</t>
  </si>
  <si>
    <t>AS-57197</t>
  </si>
  <si>
    <t>AS-57196</t>
  </si>
  <si>
    <t>RF-42493</t>
  </si>
  <si>
    <t>RF-42494</t>
  </si>
  <si>
    <t>RF-42521</t>
  </si>
  <si>
    <t>RF-42520</t>
  </si>
  <si>
    <t>RF-42519</t>
  </si>
  <si>
    <t>RF-42518</t>
  </si>
  <si>
    <t>RF-42517</t>
  </si>
  <si>
    <t>RF-42516</t>
  </si>
  <si>
    <t>RF-42514</t>
  </si>
  <si>
    <t>RF-42513</t>
  </si>
  <si>
    <t>RF-42512</t>
  </si>
  <si>
    <t>RF-42511</t>
  </si>
  <si>
    <t>RF-42510</t>
  </si>
  <si>
    <t>RF-42509</t>
  </si>
  <si>
    <t>RF-42508</t>
  </si>
  <si>
    <t>RF-42506</t>
  </si>
  <si>
    <t>RF-42505</t>
  </si>
  <si>
    <t>RF-42504</t>
  </si>
  <si>
    <t>RF-42503</t>
  </si>
  <si>
    <t>RF-42502</t>
  </si>
  <si>
    <t>RF-42501</t>
  </si>
  <si>
    <t>RF-42500</t>
  </si>
  <si>
    <t>AS-57307</t>
  </si>
  <si>
    <t>AS-57306</t>
  </si>
  <si>
    <t>AS-57303</t>
  </si>
  <si>
    <t>AS-57302</t>
  </si>
  <si>
    <t>AS-57301</t>
  </si>
  <si>
    <t>AS-57300</t>
  </si>
  <si>
    <t>AS-57299</t>
  </si>
  <si>
    <t>AS-57298</t>
  </si>
  <si>
    <t>AS-57296</t>
  </si>
  <si>
    <t>AS-57295</t>
  </si>
  <si>
    <t>AS-57294</t>
  </si>
  <si>
    <t>AS-57293</t>
  </si>
  <si>
    <t>AS-57292</t>
  </si>
  <si>
    <t>AS-57291</t>
  </si>
  <si>
    <t>AS-57290</t>
  </si>
  <si>
    <t>AR-15662</t>
  </si>
  <si>
    <t>AR-15657</t>
  </si>
  <si>
    <t>AR-15661</t>
  </si>
  <si>
    <t>AR-15656</t>
  </si>
  <si>
    <t>RF-42515</t>
  </si>
  <si>
    <t>AS-57304</t>
  </si>
  <si>
    <t>RF-42507</t>
  </si>
  <si>
    <t>RF-42492</t>
  </si>
  <si>
    <t>RF-42498</t>
  </si>
  <si>
    <t>RF-42497</t>
  </si>
  <si>
    <t>RF-42496</t>
  </si>
  <si>
    <t>RF-42495</t>
  </si>
  <si>
    <t>AR-15654</t>
  </si>
  <si>
    <t>AR-15650</t>
  </si>
  <si>
    <t>AR-15649</t>
  </si>
  <si>
    <t>AS-57288</t>
  </si>
  <si>
    <t>AS-57287</t>
  </si>
  <si>
    <t>AS-57286</t>
  </si>
  <si>
    <t>AS-57278</t>
  </si>
  <si>
    <t>AS-57277</t>
  </si>
  <si>
    <t>AS-57276</t>
  </si>
  <si>
    <t>AS-57275</t>
  </si>
  <si>
    <t>AS-57273</t>
  </si>
  <si>
    <t>AS-57271</t>
  </si>
  <si>
    <t>as-57272</t>
  </si>
  <si>
    <t>RF-42549</t>
  </si>
  <si>
    <t>RF-42548</t>
  </si>
  <si>
    <t>RF-42547</t>
  </si>
  <si>
    <t>RF-42546</t>
  </si>
  <si>
    <t>RF-42545</t>
  </si>
  <si>
    <t>RF-42544</t>
  </si>
  <si>
    <t>RF-42543</t>
  </si>
  <si>
    <t>RF-42542</t>
  </si>
  <si>
    <t>RF-42541</t>
  </si>
  <si>
    <t>RF-42540</t>
  </si>
  <si>
    <t>RF-42539</t>
  </si>
  <si>
    <t>RF-42538</t>
  </si>
  <si>
    <t>RF-42537</t>
  </si>
  <si>
    <t>RF-42536</t>
  </si>
  <si>
    <t>RF-42535</t>
  </si>
  <si>
    <t>RF-42534</t>
  </si>
  <si>
    <t>RF-42533</t>
  </si>
  <si>
    <t>RF-42532</t>
  </si>
  <si>
    <t>RF-42531</t>
  </si>
  <si>
    <t>RF-42529</t>
  </si>
  <si>
    <t>AS-57369</t>
  </si>
  <si>
    <t>AS-57368</t>
  </si>
  <si>
    <t>AS-57367</t>
  </si>
  <si>
    <t>AS-57366</t>
  </si>
  <si>
    <t>AS-57365</t>
  </si>
  <si>
    <t>AS-57364</t>
  </si>
  <si>
    <t>AS-57363</t>
  </si>
  <si>
    <t>AS-57362</t>
  </si>
  <si>
    <t>AS-57361</t>
  </si>
  <si>
    <t>AS-57360</t>
  </si>
  <si>
    <t>AS-57359</t>
  </si>
  <si>
    <t>AS-57358</t>
  </si>
  <si>
    <t>AS-57357</t>
  </si>
  <si>
    <t>RF-42491</t>
  </si>
  <si>
    <t>RF-42490</t>
  </si>
  <si>
    <t>RF-42489</t>
  </si>
  <si>
    <t>RF-42487</t>
  </si>
  <si>
    <t>RF-42486</t>
  </si>
  <si>
    <t>RF-42485</t>
  </si>
  <si>
    <t>RF-42484</t>
  </si>
  <si>
    <t>RF-42482</t>
  </si>
  <si>
    <t>RF-42481</t>
  </si>
  <si>
    <t>RF-42480</t>
  </si>
  <si>
    <t>RF-42479</t>
  </si>
  <si>
    <t>RF-42478</t>
  </si>
  <si>
    <t>RF-42476</t>
  </si>
  <si>
    <t>RF-42475</t>
  </si>
  <si>
    <t>RF-42474</t>
  </si>
  <si>
    <t>AR-15648</t>
  </si>
  <si>
    <t>AR-15647</t>
  </si>
  <si>
    <t>AR-15646</t>
  </si>
  <si>
    <t>AS-57269</t>
  </si>
  <si>
    <t>AS-57268</t>
  </si>
  <si>
    <t>AS-57267</t>
  </si>
  <si>
    <t>AS-57266</t>
  </si>
  <si>
    <t>AS-57265</t>
  </si>
  <si>
    <t>AS-57264</t>
  </si>
  <si>
    <t>AS-57263</t>
  </si>
  <si>
    <t>AS-57262</t>
  </si>
  <si>
    <t>AS-57261</t>
  </si>
  <si>
    <t>AS-57260</t>
  </si>
  <si>
    <t>AS-57259</t>
  </si>
  <si>
    <t>AS-57258</t>
  </si>
  <si>
    <t>AS-57257</t>
  </si>
  <si>
    <t>AS-57256</t>
  </si>
  <si>
    <t>AS-57255</t>
  </si>
  <si>
    <t>AS-57254</t>
  </si>
  <si>
    <t>AS-57253</t>
  </si>
  <si>
    <t>AS-57248</t>
  </si>
  <si>
    <t>AS-57242</t>
  </si>
  <si>
    <t>AS-57241</t>
  </si>
  <si>
    <t>AS-57239</t>
  </si>
  <si>
    <t>RF-42528</t>
  </si>
  <si>
    <t>RF-42527</t>
  </si>
  <si>
    <t>RF-42526</t>
  </si>
  <si>
    <t>RF-42525</t>
  </si>
  <si>
    <t>RF-42522</t>
  </si>
  <si>
    <t>AS-57356</t>
  </si>
  <si>
    <t>AS-57355</t>
  </si>
  <si>
    <t>AS-57354</t>
  </si>
  <si>
    <t>AS-57351</t>
  </si>
  <si>
    <t>AS-57350</t>
  </si>
  <si>
    <t>AS-57349</t>
  </si>
  <si>
    <t>AS-57348</t>
  </si>
  <si>
    <t>AS-57347</t>
  </si>
  <si>
    <t>AS-57346</t>
  </si>
  <si>
    <t>AR-15665</t>
  </si>
  <si>
    <t>AR-15664</t>
  </si>
  <si>
    <t>RF-42552</t>
  </si>
  <si>
    <t>RF-42551</t>
  </si>
  <si>
    <t>RF-42550</t>
  </si>
  <si>
    <t>AR-15675</t>
  </si>
  <si>
    <t>AR-15674</t>
  </si>
  <si>
    <t>AR-15673</t>
  </si>
  <si>
    <t>AR-15672</t>
  </si>
  <si>
    <t>AR-15670</t>
  </si>
  <si>
    <t>AS-57398</t>
  </si>
  <si>
    <t>AS-57396</t>
  </si>
  <si>
    <t>AS-57395</t>
  </si>
  <si>
    <t>AS-57394</t>
  </si>
  <si>
    <t>AS-57393</t>
  </si>
  <si>
    <t>A-S57391</t>
  </si>
  <si>
    <t>RF-42567</t>
  </si>
  <si>
    <t>RF-42566</t>
  </si>
  <si>
    <t>RF-42565</t>
  </si>
  <si>
    <t>RF-42564</t>
  </si>
  <si>
    <t>RF-42563</t>
  </si>
  <si>
    <t>RF-42562</t>
  </si>
  <si>
    <t>RF-42561</t>
  </si>
  <si>
    <t>RF-42560</t>
  </si>
  <si>
    <t>RF-42559</t>
  </si>
  <si>
    <t>RF-42558</t>
  </si>
  <si>
    <t>RF-42557</t>
  </si>
  <si>
    <t>RF-42556</t>
  </si>
  <si>
    <t>RF-42555</t>
  </si>
  <si>
    <t>RF-42554</t>
  </si>
  <si>
    <t>RF-42553</t>
  </si>
  <si>
    <t>AS-57416</t>
  </si>
  <si>
    <t>AS-57415</t>
  </si>
  <si>
    <t>As-57414</t>
  </si>
  <si>
    <t>AS-57413</t>
  </si>
  <si>
    <t>AS-57412</t>
  </si>
  <si>
    <t>AS-57411</t>
  </si>
  <si>
    <t>AS-57410</t>
  </si>
  <si>
    <t>AS-57409</t>
  </si>
  <si>
    <t>AS-57408</t>
  </si>
  <si>
    <t>AS-57407</t>
  </si>
  <si>
    <t>AS-57406</t>
  </si>
  <si>
    <t>AS-57405</t>
  </si>
  <si>
    <t>AS-57404</t>
  </si>
  <si>
    <t>AS-57403</t>
  </si>
  <si>
    <t>AS-57402</t>
  </si>
  <si>
    <t>AS-57401</t>
  </si>
  <si>
    <t>AS-57400</t>
  </si>
  <si>
    <t>AS-57399</t>
  </si>
  <si>
    <t>AR-15679</t>
  </si>
  <si>
    <t>AR-15678</t>
  </si>
  <si>
    <t>AR-15677</t>
  </si>
  <si>
    <t>AR-15676</t>
  </si>
  <si>
    <t>RF-42577</t>
  </si>
  <si>
    <t>RF-42576</t>
  </si>
  <si>
    <t>RF-42575</t>
  </si>
  <si>
    <t>RF-42574</t>
  </si>
  <si>
    <t>RF-42573</t>
  </si>
  <si>
    <t>RF-42572</t>
  </si>
  <si>
    <t>RF-42571</t>
  </si>
  <si>
    <t>RF-42570</t>
  </si>
  <si>
    <t>RF-42569</t>
  </si>
  <si>
    <t>RF-42568</t>
  </si>
  <si>
    <t>AR-156845</t>
  </si>
  <si>
    <t>AR-15683</t>
  </si>
  <si>
    <t>AR-15682</t>
  </si>
  <si>
    <t>AS-57426</t>
  </si>
  <si>
    <t>AS-57424</t>
  </si>
  <si>
    <t>AS-57423</t>
  </si>
  <si>
    <t>AS-57422</t>
  </si>
  <si>
    <t>AS-57421</t>
  </si>
  <si>
    <t>AS-57420</t>
  </si>
  <si>
    <t>AS-57419</t>
  </si>
  <si>
    <t>AS-57418</t>
  </si>
  <si>
    <t>RF-42593</t>
  </si>
  <si>
    <t>RF-42592</t>
  </si>
  <si>
    <t>RF-42591</t>
  </si>
  <si>
    <t>RF-42590</t>
  </si>
  <si>
    <t>RF-42589</t>
  </si>
  <si>
    <t>RF-42588</t>
  </si>
  <si>
    <t>RF-42587</t>
  </si>
  <si>
    <t>RF-42586</t>
  </si>
  <si>
    <t>RF-42585</t>
  </si>
  <si>
    <t>RF-42584</t>
  </si>
  <si>
    <t>RF-42583</t>
  </si>
  <si>
    <t>RF-42582</t>
  </si>
  <si>
    <t>RF-42580</t>
  </si>
  <si>
    <t>RF-42579</t>
  </si>
  <si>
    <t>RF-42578</t>
  </si>
  <si>
    <t>AS-57457</t>
  </si>
  <si>
    <t>AS-57454</t>
  </si>
  <si>
    <t>AS-57453</t>
  </si>
  <si>
    <t>AS-57452</t>
  </si>
  <si>
    <t>AS-57451</t>
  </si>
  <si>
    <t>AS-57450</t>
  </si>
  <si>
    <t>AS-57449</t>
  </si>
  <si>
    <t>AS-57448</t>
  </si>
  <si>
    <t>AS-57447</t>
  </si>
  <si>
    <t>AS-57446</t>
  </si>
  <si>
    <t>AS-57445</t>
  </si>
  <si>
    <t>AS-57444</t>
  </si>
  <si>
    <t>AS-57443</t>
  </si>
  <si>
    <t>AS-5442</t>
  </si>
  <si>
    <t>AS-57441</t>
  </si>
  <si>
    <t>AS-57440</t>
  </si>
  <si>
    <t>AS-57439</t>
  </si>
  <si>
    <t>AS-57438</t>
  </si>
  <si>
    <t>AS-57437</t>
  </si>
  <si>
    <t>AS-57436</t>
  </si>
  <si>
    <t>AS-57435</t>
  </si>
  <si>
    <t>AS-57434</t>
  </si>
  <si>
    <t>AS-57433</t>
  </si>
  <si>
    <t>AS-57431</t>
  </si>
  <si>
    <t>AS-57430</t>
  </si>
  <si>
    <t>AS-57427</t>
  </si>
  <si>
    <t>AR-15690</t>
  </si>
  <si>
    <t>AR-15689</t>
  </si>
  <si>
    <t>AR-15688</t>
  </si>
  <si>
    <t>AR-15687</t>
  </si>
  <si>
    <t>RF-42606</t>
  </si>
  <si>
    <t>RF-42605</t>
  </si>
  <si>
    <t>RF-42604</t>
  </si>
  <si>
    <t>RF-42603</t>
  </si>
  <si>
    <t>RF-42602</t>
  </si>
  <si>
    <t>RF-42601</t>
  </si>
  <si>
    <t>RF-42600</t>
  </si>
  <si>
    <t>RF-42599</t>
  </si>
  <si>
    <t>RF-42598</t>
  </si>
  <si>
    <t>RF-42597</t>
  </si>
  <si>
    <t>RF-42596</t>
  </si>
  <si>
    <t>RF-42595</t>
  </si>
  <si>
    <t>RF-42594</t>
  </si>
  <si>
    <t>AR-15698</t>
  </si>
  <si>
    <t>AR-15696</t>
  </si>
  <si>
    <t>AR-15694</t>
  </si>
  <si>
    <t>AR-15693</t>
  </si>
  <si>
    <t>AR-15692</t>
  </si>
  <si>
    <t>AS-57468</t>
  </si>
  <si>
    <t>AS-57467</t>
  </si>
  <si>
    <t>AS-57464</t>
  </si>
  <si>
    <t>AS-57463</t>
  </si>
  <si>
    <t>AS-57462</t>
  </si>
  <si>
    <t>AS-57461</t>
  </si>
  <si>
    <t>AS-57460</t>
  </si>
  <si>
    <t>AS-57459</t>
  </si>
  <si>
    <t>RF-42624</t>
  </si>
  <si>
    <t>REF-42623</t>
  </si>
  <si>
    <t>RF-42622</t>
  </si>
  <si>
    <t>RF-42621</t>
  </si>
  <si>
    <t>RF-42620</t>
  </si>
  <si>
    <t>RF-42619</t>
  </si>
  <si>
    <t>RF-42618</t>
  </si>
  <si>
    <t>RF-42617</t>
  </si>
  <si>
    <t>RF-42616</t>
  </si>
  <si>
    <t>RF-42615</t>
  </si>
  <si>
    <t>RF-42613</t>
  </si>
  <si>
    <t>RF-42612</t>
  </si>
  <si>
    <t>RF-42611</t>
  </si>
  <si>
    <t>RF-42610</t>
  </si>
  <si>
    <t>RF-42609</t>
  </si>
  <si>
    <t>RF-42608</t>
  </si>
  <si>
    <t>RF-42607</t>
  </si>
  <si>
    <t>AS-57489</t>
  </si>
  <si>
    <t>AS-57488</t>
  </si>
  <si>
    <t>AS-57486</t>
  </si>
  <si>
    <t>AS-57485</t>
  </si>
  <si>
    <t>AS-57484</t>
  </si>
  <si>
    <t>AS-57483</t>
  </si>
  <si>
    <t>AS-57482</t>
  </si>
  <si>
    <t>AS-57480</t>
  </si>
  <si>
    <t>AS-57479</t>
  </si>
  <si>
    <t>AS-57478</t>
  </si>
  <si>
    <t>AS-57477</t>
  </si>
  <si>
    <t>AS-57474</t>
  </si>
  <si>
    <t>AS-57473</t>
  </si>
  <si>
    <t>AS-57472</t>
  </si>
  <si>
    <t>AS-57471</t>
  </si>
  <si>
    <t>AS-57470</t>
  </si>
  <si>
    <t>AR-15703</t>
  </si>
  <si>
    <t>AR-15702</t>
  </si>
  <si>
    <t>AR-15701</t>
  </si>
  <si>
    <t>AR-15699</t>
  </si>
  <si>
    <t>RF-42633</t>
  </si>
  <si>
    <t>RF-42632</t>
  </si>
  <si>
    <t>RF-42631</t>
  </si>
  <si>
    <t>RF-42630</t>
  </si>
  <si>
    <t>RF-42629</t>
  </si>
  <si>
    <t>RF-42628</t>
  </si>
  <si>
    <t>RF-42627</t>
  </si>
  <si>
    <t>RF-42626</t>
  </si>
  <si>
    <t>RF-42625</t>
  </si>
  <si>
    <t>AS-57531</t>
  </si>
  <si>
    <t>AS-57530</t>
  </si>
  <si>
    <t>AS-57529</t>
  </si>
  <si>
    <t>AS-57527</t>
  </si>
  <si>
    <t>AS-57526</t>
  </si>
  <si>
    <t>AS-57425</t>
  </si>
  <si>
    <t>AS-57524</t>
  </si>
  <si>
    <t>AS-57523</t>
  </si>
  <si>
    <t>AS-57522</t>
  </si>
  <si>
    <t>AS-57521</t>
  </si>
  <si>
    <t>AS-57520</t>
  </si>
  <si>
    <t>AS-57519</t>
  </si>
  <si>
    <t>AS-57509</t>
  </si>
  <si>
    <t>AS-57499</t>
  </si>
  <si>
    <t>AS-57498</t>
  </si>
  <si>
    <t>AS-57497</t>
  </si>
  <si>
    <t>AS-57496</t>
  </si>
  <si>
    <t>AS-57494</t>
  </si>
  <si>
    <t>AR-15715</t>
  </si>
  <si>
    <t>AR-15712</t>
  </si>
  <si>
    <t>AR-15711</t>
  </si>
  <si>
    <t>AR-15710</t>
  </si>
  <si>
    <t>AR-15707</t>
  </si>
  <si>
    <t>RF-42683</t>
  </si>
  <si>
    <t>RF-42682</t>
  </si>
  <si>
    <t>RF-42681</t>
  </si>
  <si>
    <t>RF-42680</t>
  </si>
  <si>
    <t>RF-42679</t>
  </si>
  <si>
    <t>RF-42677</t>
  </si>
  <si>
    <t>RF-42676</t>
  </si>
  <si>
    <t>RF-42675</t>
  </si>
  <si>
    <t>AS-57549</t>
  </si>
  <si>
    <t>AS-57548</t>
  </si>
  <si>
    <t>AS-57547</t>
  </si>
  <si>
    <t>AS-57546</t>
  </si>
  <si>
    <t>AS-57545</t>
  </si>
  <si>
    <t>AS-57544</t>
  </si>
  <si>
    <t>AS-57543</t>
  </si>
  <si>
    <t>AS-57542</t>
  </si>
  <si>
    <t>AS-57538</t>
  </si>
  <si>
    <t>AS-57537</t>
  </si>
  <si>
    <t>AR-15718</t>
  </si>
  <si>
    <t>AR-15717</t>
  </si>
  <si>
    <t>AR-15716</t>
  </si>
  <si>
    <t>RF-42699</t>
  </si>
  <si>
    <t>RF-42698</t>
  </si>
  <si>
    <t>RF-42697</t>
  </si>
  <si>
    <t>RF-42696</t>
  </si>
  <si>
    <t>RF-42695</t>
  </si>
  <si>
    <t>RF-42694</t>
  </si>
  <si>
    <t>RF-42693</t>
  </si>
  <si>
    <t>RF-42692</t>
  </si>
  <si>
    <t>RF-42690</t>
  </si>
  <si>
    <t>RF-42689</t>
  </si>
  <si>
    <t>RF-42688</t>
  </si>
  <si>
    <t>RF-42687</t>
  </si>
  <si>
    <t>RF-42686</t>
  </si>
  <si>
    <t>RF-42685</t>
  </si>
  <si>
    <t>RF-42684</t>
  </si>
  <si>
    <t>AS-57559</t>
  </si>
  <si>
    <t>AS-57557</t>
  </si>
  <si>
    <t>AS-57556</t>
  </si>
  <si>
    <t>AS-57555</t>
  </si>
  <si>
    <t>AS-57554</t>
  </si>
  <si>
    <t>AS-57553</t>
  </si>
  <si>
    <t>AS-57552</t>
  </si>
  <si>
    <t>AS-57551</t>
  </si>
  <si>
    <t>AS-57550</t>
  </si>
  <si>
    <t>RF-42707</t>
  </si>
  <si>
    <t>RF-42706</t>
  </si>
  <si>
    <t>RF-42705</t>
  </si>
  <si>
    <t>RF-42704</t>
  </si>
  <si>
    <t>RF-42702</t>
  </si>
  <si>
    <t>RF-42701</t>
  </si>
  <si>
    <t>RF-42700</t>
  </si>
  <si>
    <t>AS-57573</t>
  </si>
  <si>
    <t>AS-57572</t>
  </si>
  <si>
    <t>AS-57571</t>
  </si>
  <si>
    <t>AS-57569</t>
  </si>
  <si>
    <t>AS-57567</t>
  </si>
  <si>
    <t>AS-57566</t>
  </si>
  <si>
    <t>AS-57564</t>
  </si>
  <si>
    <t>AS-57563</t>
  </si>
  <si>
    <t>AS-57562</t>
  </si>
  <si>
    <t>AS-57561</t>
  </si>
  <si>
    <t>AR-15723</t>
  </si>
  <si>
    <t>AR-15722</t>
  </si>
  <si>
    <t>AR-15721</t>
  </si>
  <si>
    <t>AR-15720</t>
  </si>
  <si>
    <t>RF-42720</t>
  </si>
  <si>
    <t>RF-42719</t>
  </si>
  <si>
    <t>RF-42718</t>
  </si>
  <si>
    <t>RF-42717</t>
  </si>
  <si>
    <t>RF-42716</t>
  </si>
  <si>
    <t>RF-42715</t>
  </si>
  <si>
    <t>RF-42714</t>
  </si>
  <si>
    <t>RF-42713</t>
  </si>
  <si>
    <t>AS-42712</t>
  </si>
  <si>
    <t>AS-42711</t>
  </si>
  <si>
    <t>RF-42709</t>
  </si>
  <si>
    <t>RF-42708</t>
  </si>
  <si>
    <t>AR-15726</t>
  </si>
  <si>
    <t>AR-15725</t>
  </si>
  <si>
    <t>AR-15724</t>
  </si>
  <si>
    <t>AS-57588</t>
  </si>
  <si>
    <t>AS-57587</t>
  </si>
  <si>
    <t>AS-57586</t>
  </si>
  <si>
    <t>AS-57585</t>
  </si>
  <si>
    <t>AS-57584</t>
  </si>
  <si>
    <t>AS-57583</t>
  </si>
  <si>
    <t>AS-57582</t>
  </si>
  <si>
    <t>AS-57581</t>
  </si>
  <si>
    <t>AS-57580</t>
  </si>
  <si>
    <t>AS-57579</t>
  </si>
  <si>
    <t>AS-57578</t>
  </si>
  <si>
    <t>AS-57577</t>
  </si>
  <si>
    <t>AS-57576</t>
  </si>
  <si>
    <t>AS-57575</t>
  </si>
  <si>
    <t>AS-57574</t>
  </si>
  <si>
    <t>RF-42725</t>
  </si>
  <si>
    <t>RF-42724</t>
  </si>
  <si>
    <t>RF-42723</t>
  </si>
  <si>
    <t>RF-42722</t>
  </si>
  <si>
    <t>RF-42721</t>
  </si>
  <si>
    <t>AS-57612</t>
  </si>
  <si>
    <t>AS-57611</t>
  </si>
  <si>
    <t>AS-57610</t>
  </si>
  <si>
    <t>AS-57609</t>
  </si>
  <si>
    <t>AS-57594</t>
  </si>
  <si>
    <t>AS-57593</t>
  </si>
  <si>
    <t>AS-57592</t>
  </si>
  <si>
    <t>AS-57591</t>
  </si>
  <si>
    <t>AR-15731</t>
  </si>
  <si>
    <t>AS-57589</t>
  </si>
  <si>
    <t>RF-42757</t>
  </si>
  <si>
    <t>RF-42756</t>
  </si>
  <si>
    <t>RF-42755</t>
  </si>
  <si>
    <t>RF-42754</t>
  </si>
  <si>
    <t>RF-42753</t>
  </si>
  <si>
    <t>RF-42752</t>
  </si>
  <si>
    <t>RF-42751</t>
  </si>
  <si>
    <t>RF-42750</t>
  </si>
  <si>
    <t>RF-42749</t>
  </si>
  <si>
    <t>RF-42748</t>
  </si>
  <si>
    <t>RF-427474</t>
  </si>
  <si>
    <t>RF-42746</t>
  </si>
  <si>
    <t>RF-42745</t>
  </si>
  <si>
    <t>AS-57658</t>
  </si>
  <si>
    <t>AS-57657</t>
  </si>
  <si>
    <t>AS-57656</t>
  </si>
  <si>
    <t>AS-57655</t>
  </si>
  <si>
    <t>AS-57654</t>
  </si>
  <si>
    <t>AS-57653</t>
  </si>
  <si>
    <t>AS-57652</t>
  </si>
  <si>
    <t>AS-57651</t>
  </si>
  <si>
    <t>AS-57650</t>
  </si>
  <si>
    <t>AS-57649</t>
  </si>
  <si>
    <t>AS-57648</t>
  </si>
  <si>
    <t>AS-57647</t>
  </si>
  <si>
    <t>AS-57646</t>
  </si>
  <si>
    <t>AS-57645</t>
  </si>
  <si>
    <t>AS-57644</t>
  </si>
  <si>
    <t>AS-57643</t>
  </si>
  <si>
    <t>AS-57642</t>
  </si>
  <si>
    <t>AR-15740</t>
  </si>
  <si>
    <t>AR-15737</t>
  </si>
  <si>
    <t>RF-42744</t>
  </si>
  <si>
    <t>RF-42743</t>
  </si>
  <si>
    <t>RF-42742</t>
  </si>
  <si>
    <t>RF-42741</t>
  </si>
  <si>
    <t>RF-42740</t>
  </si>
  <si>
    <t>RF-42739</t>
  </si>
  <si>
    <t>RF-42738</t>
  </si>
  <si>
    <t>RF-42737</t>
  </si>
  <si>
    <t>RF-42736</t>
  </si>
  <si>
    <t>RF-42735</t>
  </si>
  <si>
    <t>RF-42734</t>
  </si>
  <si>
    <t>RF-42733</t>
  </si>
  <si>
    <t>RF-42732</t>
  </si>
  <si>
    <t>RF-42731</t>
  </si>
  <si>
    <t>RF-42730</t>
  </si>
  <si>
    <t>RF-42729</t>
  </si>
  <si>
    <t>RF-42728</t>
  </si>
  <si>
    <t>RF-42727</t>
  </si>
  <si>
    <t>RF-42726</t>
  </si>
  <si>
    <t>AR-15734</t>
  </si>
  <si>
    <t>AR-15733</t>
  </si>
  <si>
    <t>AS-57641</t>
  </si>
  <si>
    <t>AS-57640</t>
  </si>
  <si>
    <t>AS-57639</t>
  </si>
  <si>
    <t>AS-57638</t>
  </si>
  <si>
    <t>AS-57637</t>
  </si>
  <si>
    <t>AS-57636</t>
  </si>
  <si>
    <t>AS-57635</t>
  </si>
  <si>
    <t>AS-57634</t>
  </si>
  <si>
    <t>AS-57633</t>
  </si>
  <si>
    <t>AS-57632</t>
  </si>
  <si>
    <t>AS-57631</t>
  </si>
  <si>
    <t>AS-57630</t>
  </si>
  <si>
    <t>AS-57629</t>
  </si>
  <si>
    <t>AS-57620</t>
  </si>
  <si>
    <t>AS-57618</t>
  </si>
  <si>
    <t>AS-57617</t>
  </si>
  <si>
    <t>AS-57614</t>
  </si>
  <si>
    <t>AS-57613</t>
  </si>
  <si>
    <t>RF-42767</t>
  </si>
  <si>
    <t>RF-42766</t>
  </si>
  <si>
    <t>RF-42765</t>
  </si>
  <si>
    <t>RF-42764</t>
  </si>
  <si>
    <t>RF-42763</t>
  </si>
  <si>
    <t>RF-42762</t>
  </si>
  <si>
    <t>RF-42761</t>
  </si>
  <si>
    <t>RF-42760</t>
  </si>
  <si>
    <t>RF-42759</t>
  </si>
  <si>
    <t>RF-42758</t>
  </si>
  <si>
    <t>AR-15741</t>
  </si>
  <si>
    <t>AS-57677</t>
  </si>
  <si>
    <t>AS-57674</t>
  </si>
  <si>
    <t>AS-57673</t>
  </si>
  <si>
    <t>AS-57672</t>
  </si>
  <si>
    <t>AS-57671</t>
  </si>
  <si>
    <t>AS-57670</t>
  </si>
  <si>
    <t>AS-57669</t>
  </si>
  <si>
    <t>AS-57668</t>
  </si>
  <si>
    <t>AS-57666</t>
  </si>
  <si>
    <t>AS-57665</t>
  </si>
  <si>
    <t>AS-57664</t>
  </si>
  <si>
    <t>AS-57663</t>
  </si>
  <si>
    <t>AS-57662</t>
  </si>
  <si>
    <t>AS-57661</t>
  </si>
  <si>
    <t>AS-57660</t>
  </si>
  <si>
    <t>AS-57659</t>
  </si>
  <si>
    <t>RF-42776</t>
  </si>
  <si>
    <t>RF-42775</t>
  </si>
  <si>
    <t>RF-42774</t>
  </si>
  <si>
    <t>RF-42773</t>
  </si>
  <si>
    <t>RF-42772</t>
  </si>
  <si>
    <t>RF-42771</t>
  </si>
  <si>
    <t>RF-42770</t>
  </si>
  <si>
    <t>RF-42769</t>
  </si>
  <si>
    <t>RF-42768</t>
  </si>
  <si>
    <t>AS-57698</t>
  </si>
  <si>
    <t>AS-57691</t>
  </si>
  <si>
    <t>AS-57690</t>
  </si>
  <si>
    <t>AS-57689</t>
  </si>
  <si>
    <t>AS-57688</t>
  </si>
  <si>
    <t>AS-57687</t>
  </si>
  <si>
    <t>AS-57686</t>
  </si>
  <si>
    <t>AS-57685</t>
  </si>
  <si>
    <t>AR-15746</t>
  </si>
  <si>
    <t>AR-15743</t>
  </si>
  <si>
    <t>AR-15744</t>
  </si>
  <si>
    <t>RF-42792</t>
  </si>
  <si>
    <t>RF-42791</t>
  </si>
  <si>
    <t>RF-42790</t>
  </si>
  <si>
    <t>RF-42789</t>
  </si>
  <si>
    <t>RF-42788</t>
  </si>
  <si>
    <t>RF--42787</t>
  </si>
  <si>
    <t>RF-42785</t>
  </si>
  <si>
    <t>RF-42784</t>
  </si>
  <si>
    <t>RF-42783</t>
  </si>
  <si>
    <t>RF-42782</t>
  </si>
  <si>
    <t>RF-42781</t>
  </si>
  <si>
    <t>RF-42780</t>
  </si>
  <si>
    <t>RF-42779</t>
  </si>
  <si>
    <t>RF-42778</t>
  </si>
  <si>
    <t>RF-42777</t>
  </si>
  <si>
    <t>AR-15750</t>
  </si>
  <si>
    <t>AR-15749</t>
  </si>
  <si>
    <t>AR-15748</t>
  </si>
  <si>
    <t>AS-57715</t>
  </si>
  <si>
    <t>AS-57714</t>
  </si>
  <si>
    <t>AS-57713</t>
  </si>
  <si>
    <t>AS-57712</t>
  </si>
  <si>
    <t>AS-57711</t>
  </si>
  <si>
    <t>AS-57710</t>
  </si>
  <si>
    <t>AS-57709</t>
  </si>
  <si>
    <t>AS-57707</t>
  </si>
  <si>
    <t>AS-57706</t>
  </si>
  <si>
    <t>AS-57705</t>
  </si>
  <si>
    <t>AS-57704</t>
  </si>
  <si>
    <t>AS-57703</t>
  </si>
  <si>
    <t>AS-57702</t>
  </si>
  <si>
    <t>AS-57701</t>
  </si>
  <si>
    <t>AS57700</t>
  </si>
  <si>
    <t>AS-57699</t>
  </si>
  <si>
    <t>RF-42815</t>
  </si>
  <si>
    <t>RF-42813</t>
  </si>
  <si>
    <t>RF-42812</t>
  </si>
  <si>
    <t>RF-42811</t>
  </si>
  <si>
    <t>RF-42810</t>
  </si>
  <si>
    <t>RF-42809</t>
  </si>
  <si>
    <t>RF-42808</t>
  </si>
  <si>
    <t>RF-42807</t>
  </si>
  <si>
    <t>RF-42806</t>
  </si>
  <si>
    <t>AR-15769</t>
  </si>
  <si>
    <t>AR-15767</t>
  </si>
  <si>
    <t>AR-15766</t>
  </si>
  <si>
    <t>AR-15764</t>
  </si>
  <si>
    <t>AR-15763</t>
  </si>
  <si>
    <t>AS-57757</t>
  </si>
  <si>
    <t>AS-57756</t>
  </si>
  <si>
    <t>AS-57750</t>
  </si>
  <si>
    <t>AS-57749</t>
  </si>
  <si>
    <t>AS-57748</t>
  </si>
  <si>
    <t>AS-57747</t>
  </si>
  <si>
    <t>RF-42804</t>
  </si>
  <si>
    <t>RF-42803</t>
  </si>
  <si>
    <t>RF-42802</t>
  </si>
  <si>
    <t>RF-42801</t>
  </si>
  <si>
    <t>RF-42800</t>
  </si>
  <si>
    <t>RF-42799</t>
  </si>
  <si>
    <t>RF-42797</t>
  </si>
  <si>
    <t>RF-42796</t>
  </si>
  <si>
    <t>RF-42795</t>
  </si>
  <si>
    <t>RF-42794</t>
  </si>
  <si>
    <t>AS-57746</t>
  </si>
  <si>
    <t>AS-57745</t>
  </si>
  <si>
    <t>AS-57744</t>
  </si>
  <si>
    <t>AS-57743</t>
  </si>
  <si>
    <t>AS-57742</t>
  </si>
  <si>
    <t>AS-57741</t>
  </si>
  <si>
    <t>AS-57739</t>
  </si>
  <si>
    <t>AS-57738</t>
  </si>
  <si>
    <t>AS-57737</t>
  </si>
  <si>
    <t>AS-57736</t>
  </si>
  <si>
    <t>AS-57734</t>
  </si>
  <si>
    <t>AS-57733</t>
  </si>
  <si>
    <t>AS-57731</t>
  </si>
  <si>
    <t>AS-57730</t>
  </si>
  <si>
    <t>AS-57729</t>
  </si>
  <si>
    <t>AS-57728</t>
  </si>
  <si>
    <t>AS-57727</t>
  </si>
  <si>
    <t>AS-57726</t>
  </si>
  <si>
    <t>AS-57725</t>
  </si>
  <si>
    <t>AS-57724</t>
  </si>
  <si>
    <t>AS-57723</t>
  </si>
  <si>
    <t>AS-57720</t>
  </si>
  <si>
    <t>AR-15760</t>
  </si>
  <si>
    <t>AR-15755</t>
  </si>
  <si>
    <t>AR-15751</t>
  </si>
  <si>
    <t>AR-15753</t>
  </si>
  <si>
    <t>RF-42825</t>
  </si>
  <si>
    <t>RF-42824</t>
  </si>
  <si>
    <t>RF-42823</t>
  </si>
  <si>
    <t>RF-42822</t>
  </si>
  <si>
    <t>RF-42821</t>
  </si>
  <si>
    <t>RF-42820</t>
  </si>
  <si>
    <t>RF-42819</t>
  </si>
  <si>
    <t>RF-42818</t>
  </si>
  <si>
    <t>RF-42817</t>
  </si>
  <si>
    <t>RF-42816</t>
  </si>
  <si>
    <t>AS-57811</t>
  </si>
  <si>
    <t>AS-57810</t>
  </si>
  <si>
    <t>AS-57782</t>
  </si>
  <si>
    <t>AS-57781</t>
  </si>
  <si>
    <t>AS-57773</t>
  </si>
  <si>
    <t>AS-57772</t>
  </si>
  <si>
    <t>AS-57771</t>
  </si>
  <si>
    <t>AS-57770</t>
  </si>
  <si>
    <t>AS-57768</t>
  </si>
  <si>
    <t>AS-57766</t>
  </si>
  <si>
    <t>AS-57763</t>
  </si>
  <si>
    <t>AS-57761</t>
  </si>
  <si>
    <t>AS-57760</t>
  </si>
  <si>
    <t>AS-57759</t>
  </si>
  <si>
    <t>AR-15777</t>
  </si>
  <si>
    <t>RF-42834</t>
  </si>
  <si>
    <t>RF-42833</t>
  </si>
  <si>
    <t>RF-42832</t>
  </si>
  <si>
    <t>RF-42831</t>
  </si>
  <si>
    <t>RF-42828</t>
  </si>
  <si>
    <t>RF-42827</t>
  </si>
  <si>
    <t>RF-42826</t>
  </si>
  <si>
    <t>AR-15784</t>
  </si>
  <si>
    <t>AR-15783</t>
  </si>
  <si>
    <t>AR-15782</t>
  </si>
  <si>
    <t>AR-15781</t>
  </si>
  <si>
    <t>AS-57826</t>
  </si>
  <si>
    <t>AS-57825</t>
  </si>
  <si>
    <t>AS-57824</t>
  </si>
  <si>
    <t>AS-57814</t>
  </si>
  <si>
    <t>AS-57813</t>
  </si>
  <si>
    <t>AS-57812</t>
  </si>
  <si>
    <t>RF-42839</t>
  </si>
  <si>
    <t>RF-428383</t>
  </si>
  <si>
    <t>RF42837</t>
  </si>
  <si>
    <t>RF-42836</t>
  </si>
  <si>
    <t>RF-42835</t>
  </si>
  <si>
    <t>AS-57845</t>
  </si>
  <si>
    <t>AS-57844</t>
  </si>
  <si>
    <t>AS-57843</t>
  </si>
  <si>
    <t>AS-57842</t>
  </si>
  <si>
    <t>AS-57841</t>
  </si>
  <si>
    <t>AS-57840</t>
  </si>
  <si>
    <t>AS-57838</t>
  </si>
  <si>
    <t>AS-57837</t>
  </si>
  <si>
    <t>AS-57836</t>
  </si>
  <si>
    <t>AS-57835</t>
  </si>
  <si>
    <t>AS-57834</t>
  </si>
  <si>
    <t>AS-57833</t>
  </si>
  <si>
    <t>AS-57832</t>
  </si>
  <si>
    <t>AS-57831</t>
  </si>
  <si>
    <t>AS-57830</t>
  </si>
  <si>
    <t>AS-57829</t>
  </si>
  <si>
    <t>AS-57828</t>
  </si>
  <si>
    <t>AS-57827</t>
  </si>
  <si>
    <t>AR-15795</t>
  </si>
  <si>
    <t>AR-15789</t>
  </si>
  <si>
    <t>AR-15787</t>
  </si>
  <si>
    <t>RF-42841</t>
  </si>
  <si>
    <t>RF-42842</t>
  </si>
  <si>
    <t>RF-42843</t>
  </si>
  <si>
    <t>RF-42844</t>
  </si>
  <si>
    <t>RF-42845</t>
  </si>
  <si>
    <t>RF-42846</t>
  </si>
  <si>
    <t>RF-42840</t>
  </si>
  <si>
    <t>AR-15799</t>
  </si>
  <si>
    <t>AR-15798</t>
  </si>
  <si>
    <t>AS-57855</t>
  </si>
  <si>
    <t>AS-57854</t>
  </si>
  <si>
    <t>AS-57853</t>
  </si>
  <si>
    <t>AS-57850</t>
  </si>
  <si>
    <t>AS--57849</t>
  </si>
  <si>
    <t>AS-57847</t>
  </si>
  <si>
    <t>AS-57846</t>
  </si>
  <si>
    <t>RF-42858</t>
  </si>
  <si>
    <t>RF-42857</t>
  </si>
  <si>
    <t>RF-42856</t>
  </si>
  <si>
    <t>RF-42855</t>
  </si>
  <si>
    <t>RF-42854</t>
  </si>
  <si>
    <t>RF-42853</t>
  </si>
  <si>
    <t>RF-42852</t>
  </si>
  <si>
    <t>RF-42851</t>
  </si>
  <si>
    <t>RF-42850</t>
  </si>
  <si>
    <t>RF-42849</t>
  </si>
  <si>
    <t>RF-42848</t>
  </si>
  <si>
    <t>RF-42847</t>
  </si>
  <si>
    <t>AS-57877</t>
  </si>
  <si>
    <t>AS-57876</t>
  </si>
  <si>
    <t>AS-57875</t>
  </si>
  <si>
    <t>AS-57874</t>
  </si>
  <si>
    <t>AS-57873</t>
  </si>
  <si>
    <t>AS-57872</t>
  </si>
  <si>
    <t>AS-57871</t>
  </si>
  <si>
    <t>AS-57870</t>
  </si>
  <si>
    <t>AS-57869</t>
  </si>
  <si>
    <t>AS-57868</t>
  </si>
  <si>
    <t>AS-57867</t>
  </si>
  <si>
    <t>AS-57866</t>
  </si>
  <si>
    <t>AS-57865</t>
  </si>
  <si>
    <t>AS-57863</t>
  </si>
  <si>
    <t>AS-57862</t>
  </si>
  <si>
    <t>AS-57861</t>
  </si>
  <si>
    <t>AS-57858</t>
  </si>
  <si>
    <t>AS-57857</t>
  </si>
  <si>
    <t>AS-15817</t>
  </si>
  <si>
    <t>AR-15814</t>
  </si>
  <si>
    <t>RF-42878</t>
  </si>
  <si>
    <t>RF-42877</t>
  </si>
  <si>
    <t>RF-42876</t>
  </si>
  <si>
    <t>RF-42875</t>
  </si>
  <si>
    <t>RF-42874</t>
  </si>
  <si>
    <t>RF-42873</t>
  </si>
  <si>
    <t>RF-42872</t>
  </si>
  <si>
    <t>RF-42871</t>
  </si>
  <si>
    <t>RF-42870</t>
  </si>
  <si>
    <t>RF-42869</t>
  </si>
  <si>
    <t>RF-42868</t>
  </si>
  <si>
    <t>AS-57912</t>
  </si>
  <si>
    <t>AS-57911</t>
  </si>
  <si>
    <t>AS-57910</t>
  </si>
  <si>
    <t>AS-57909</t>
  </si>
  <si>
    <t>AS-57908</t>
  </si>
  <si>
    <t>AS-57907</t>
  </si>
  <si>
    <t>AS-57906</t>
  </si>
  <si>
    <t>AS-57905</t>
  </si>
  <si>
    <t>AS-57904</t>
  </si>
  <si>
    <t>AS-57902</t>
  </si>
  <si>
    <t>AS-57901</t>
  </si>
  <si>
    <t>AS-57900</t>
  </si>
  <si>
    <t>AS-57899</t>
  </si>
  <si>
    <t>AS-57898</t>
  </si>
  <si>
    <t>AS-57897</t>
  </si>
  <si>
    <t>AS-57895</t>
  </si>
  <si>
    <t>AS-57894</t>
  </si>
  <si>
    <t>AR-15823</t>
  </si>
  <si>
    <t>RF-428967</t>
  </si>
  <si>
    <t>RF-42866</t>
  </si>
  <si>
    <t>RF-42865</t>
  </si>
  <si>
    <t>RF-42864</t>
  </si>
  <si>
    <t>RF-42863</t>
  </si>
  <si>
    <t>RF-42862</t>
  </si>
  <si>
    <t>RF-42861</t>
  </si>
  <si>
    <t>RF-42860</t>
  </si>
  <si>
    <t>RF-42859</t>
  </si>
  <si>
    <t>AR-15819</t>
  </si>
  <si>
    <t>AR-15820</t>
  </si>
  <si>
    <t>AR-15821</t>
  </si>
  <si>
    <t>AR-15822</t>
  </si>
  <si>
    <t>AS-57890</t>
  </si>
  <si>
    <t>AS-57892</t>
  </si>
  <si>
    <t>AS-57891</t>
  </si>
  <si>
    <t>AS-57889</t>
  </si>
  <si>
    <t>AS-57893</t>
  </si>
  <si>
    <t>RF-421883</t>
  </si>
  <si>
    <t>RF-42882</t>
  </si>
  <si>
    <t>RF-42881</t>
  </si>
  <si>
    <t>RF-42880</t>
  </si>
  <si>
    <t>RF-42879</t>
  </si>
  <si>
    <t>AR-15827</t>
  </si>
  <si>
    <t>AR-15826</t>
  </si>
  <si>
    <t>AS-57927</t>
  </si>
  <si>
    <t>AS-57926</t>
  </si>
  <si>
    <t>AS-57925</t>
  </si>
  <si>
    <t>AS-57923</t>
  </si>
  <si>
    <t>AS-57913</t>
  </si>
  <si>
    <t>RF-42895</t>
  </si>
  <si>
    <t>RF-42894</t>
  </si>
  <si>
    <t>RF-42893</t>
  </si>
  <si>
    <t>RF-42891</t>
  </si>
  <si>
    <t>RF-42890</t>
  </si>
  <si>
    <t>RF-42889</t>
  </si>
  <si>
    <t>RF-42888</t>
  </si>
  <si>
    <t>RF-42887</t>
  </si>
  <si>
    <t>RF-42886</t>
  </si>
  <si>
    <t>RF-42884</t>
  </si>
  <si>
    <t>AS-57956</t>
  </si>
  <si>
    <t>AS-57955</t>
  </si>
  <si>
    <t>AS-57954</t>
  </si>
  <si>
    <t>AS-57953</t>
  </si>
  <si>
    <t>AS-57952</t>
  </si>
  <si>
    <t>AS-57951</t>
  </si>
  <si>
    <t>AS-57950</t>
  </si>
  <si>
    <t>AS-57949</t>
  </si>
  <si>
    <t>AS-57948</t>
  </si>
  <si>
    <t>AS-57947</t>
  </si>
  <si>
    <t>AS-57946</t>
  </si>
  <si>
    <t>AS-57945</t>
  </si>
  <si>
    <t>AS-57944</t>
  </si>
  <si>
    <t>AS-57943</t>
  </si>
  <si>
    <t>AS-57942</t>
  </si>
  <si>
    <t>AS-57940</t>
  </si>
  <si>
    <t>AS-57939</t>
  </si>
  <si>
    <t>AS-57938</t>
  </si>
  <si>
    <t>AS-57937</t>
  </si>
  <si>
    <t>AS-57936</t>
  </si>
  <si>
    <t>AS-57935</t>
  </si>
  <si>
    <t>AS-57934</t>
  </si>
  <si>
    <t>AS-57933</t>
  </si>
  <si>
    <t>AS-57932</t>
  </si>
  <si>
    <t>AS-57931</t>
  </si>
  <si>
    <t>AS-57930</t>
  </si>
  <si>
    <t>AS-57929</t>
  </si>
  <si>
    <t>AR-15834</t>
  </si>
  <si>
    <t>AR-15833</t>
  </si>
  <si>
    <t>AR-15831</t>
  </si>
  <si>
    <t>AR-15830</t>
  </si>
  <si>
    <t>AR-15829</t>
  </si>
  <si>
    <t>RF-42906</t>
  </si>
  <si>
    <t>RF-42905</t>
  </si>
  <si>
    <t>RF-42904</t>
  </si>
  <si>
    <t>RF-42903</t>
  </si>
  <si>
    <t>RF-42902</t>
  </si>
  <si>
    <t>RF-42901</t>
  </si>
  <si>
    <t>RF-42900</t>
  </si>
  <si>
    <t>RF-42899</t>
  </si>
  <si>
    <t>RF-42898</t>
  </si>
  <si>
    <t>RF-42897</t>
  </si>
  <si>
    <t>RF-42896</t>
  </si>
  <si>
    <t>AS-57979</t>
  </si>
  <si>
    <t>AS-57978</t>
  </si>
  <si>
    <t>AS-57977</t>
  </si>
  <si>
    <t>AS-57975</t>
  </si>
  <si>
    <t>AS-57974</t>
  </si>
  <si>
    <t>AS-57973</t>
  </si>
  <si>
    <t>AS-57972</t>
  </si>
  <si>
    <t>AS-57971</t>
  </si>
  <si>
    <t>AS-57970</t>
  </si>
  <si>
    <t>AS-57969</t>
  </si>
  <si>
    <t>AS-57968</t>
  </si>
  <si>
    <t>AS-57966</t>
  </si>
  <si>
    <t>AS-57963</t>
  </si>
  <si>
    <t>AS-57964</t>
  </si>
  <si>
    <t>AS-57962</t>
  </si>
  <si>
    <t>AS-57961</t>
  </si>
  <si>
    <t>AS-57957</t>
  </si>
  <si>
    <t>AR-15848</t>
  </si>
  <si>
    <t>AR-15845</t>
  </si>
  <si>
    <t>AR-15843</t>
  </si>
  <si>
    <t>AR-15842</t>
  </si>
  <si>
    <t>AR-15841</t>
  </si>
  <si>
    <t>AR-15840</t>
  </si>
  <si>
    <t>AR-15839</t>
  </si>
  <si>
    <t>AR-15837</t>
  </si>
  <si>
    <t>RF-42917</t>
  </si>
  <si>
    <t>RF-42915</t>
  </si>
  <si>
    <t>RF-42914</t>
  </si>
  <si>
    <t>RF-42913</t>
  </si>
  <si>
    <t>RF-42912</t>
  </si>
  <si>
    <t>RF-42911</t>
  </si>
  <si>
    <t>RF-42910</t>
  </si>
  <si>
    <t>RF-42909</t>
  </si>
  <si>
    <t>RF-42908</t>
  </si>
  <si>
    <t>AS-57996</t>
  </si>
  <si>
    <t>AS-57995</t>
  </si>
  <si>
    <t>AS-57994</t>
  </si>
  <si>
    <t>AS-57991</t>
  </si>
  <si>
    <t>AS-57990</t>
  </si>
  <si>
    <t>AS-57983</t>
  </si>
  <si>
    <t>AS-57981</t>
  </si>
  <si>
    <t>AS-57980</t>
  </si>
  <si>
    <t>AR-15849</t>
  </si>
  <si>
    <t>RF-42922</t>
  </si>
  <si>
    <t>RF-42921</t>
  </si>
  <si>
    <t>RF-42920</t>
  </si>
  <si>
    <t>RF-42919</t>
  </si>
  <si>
    <t>RF-42918</t>
  </si>
  <si>
    <t>AR-15851</t>
  </si>
  <si>
    <t>AS-58021</t>
  </si>
  <si>
    <t>AS-58020</t>
  </si>
  <si>
    <t>AS-58019</t>
  </si>
  <si>
    <t>AS-58018</t>
  </si>
  <si>
    <t>AS-58017</t>
  </si>
  <si>
    <t>AS-58016</t>
  </si>
  <si>
    <t>AS-58015</t>
  </si>
  <si>
    <t>AS-58014</t>
  </si>
  <si>
    <t>AS-58013</t>
  </si>
  <si>
    <t>AS-58012</t>
  </si>
  <si>
    <t>AS-58011</t>
  </si>
  <si>
    <t>AS-58010</t>
  </si>
  <si>
    <t>AS-58009</t>
  </si>
  <si>
    <t>AS-58008</t>
  </si>
  <si>
    <t>AS-58007</t>
  </si>
  <si>
    <t>AS-58006</t>
  </si>
  <si>
    <t>AS-58005</t>
  </si>
  <si>
    <t>AS-58004</t>
  </si>
  <si>
    <t>AS-58003</t>
  </si>
  <si>
    <t>AS-58002</t>
  </si>
  <si>
    <t>AS-58001</t>
  </si>
  <si>
    <t>AS-58000</t>
  </si>
  <si>
    <t>RF-42934</t>
  </si>
  <si>
    <t>RF-42933</t>
  </si>
  <si>
    <t>RF-42932</t>
  </si>
  <si>
    <t>RF-42931</t>
  </si>
  <si>
    <t>RF-42930</t>
  </si>
  <si>
    <t>RF-42929</t>
  </si>
  <si>
    <t>RF-42928</t>
  </si>
  <si>
    <t>RF-42927</t>
  </si>
  <si>
    <t>RF-42926</t>
  </si>
  <si>
    <t>RF-42925</t>
  </si>
  <si>
    <t>RF-42924</t>
  </si>
  <si>
    <t>AS-58034</t>
  </si>
  <si>
    <t>AS-58033</t>
  </si>
  <si>
    <t>AS-58032</t>
  </si>
  <si>
    <t>AS-58031</t>
  </si>
  <si>
    <t>AS-58030</t>
  </si>
  <si>
    <t>AS-58029</t>
  </si>
  <si>
    <t>AS-58028</t>
  </si>
  <si>
    <t>AS-58026</t>
  </si>
  <si>
    <t>AS-58025</t>
  </si>
  <si>
    <t>AS-58024</t>
  </si>
  <si>
    <t>AR-15857</t>
  </si>
  <si>
    <t>AR-15856</t>
  </si>
  <si>
    <t>AR-15855</t>
  </si>
  <si>
    <t>AR-15854</t>
  </si>
  <si>
    <t>AR-15853</t>
  </si>
  <si>
    <t>AR-15852</t>
  </si>
  <si>
    <t>RF-42952</t>
  </si>
  <si>
    <t>RF-42951</t>
  </si>
  <si>
    <t>RF-42950</t>
  </si>
  <si>
    <t>RF-42949</t>
  </si>
  <si>
    <t>RF-42947</t>
  </si>
  <si>
    <t>RF-42946</t>
  </si>
  <si>
    <t>RF-42944</t>
  </si>
  <si>
    <t>RF-42943</t>
  </si>
  <si>
    <t>RF-42942</t>
  </si>
  <si>
    <t>RF-42941</t>
  </si>
  <si>
    <t>RF-42940</t>
  </si>
  <si>
    <t>RF-42939</t>
  </si>
  <si>
    <t>RF-42938</t>
  </si>
  <si>
    <t>RF-42937</t>
  </si>
  <si>
    <t>RF-42936</t>
  </si>
  <si>
    <t>RF-42935</t>
  </si>
  <si>
    <t>AR-15861</t>
  </si>
  <si>
    <t>AS-58060</t>
  </si>
  <si>
    <t>AS-58059</t>
  </si>
  <si>
    <t>AS-58057</t>
  </si>
  <si>
    <t>AS-58056</t>
  </si>
  <si>
    <t>AS-58055</t>
  </si>
  <si>
    <t>AS-58054</t>
  </si>
  <si>
    <t>AS-58053</t>
  </si>
  <si>
    <t>AS-58052</t>
  </si>
  <si>
    <t>AS-58051</t>
  </si>
  <si>
    <t>AS-58050</t>
  </si>
  <si>
    <t>AS-58049</t>
  </si>
  <si>
    <t>AS-58048</t>
  </si>
  <si>
    <t>AS-58047</t>
  </si>
  <si>
    <t>AS-58046</t>
  </si>
  <si>
    <t>AS-58045</t>
  </si>
  <si>
    <t>AS-58044</t>
  </si>
  <si>
    <t>AS-58042</t>
  </si>
  <si>
    <t>AS-58041</t>
  </si>
  <si>
    <t>AS-58040</t>
  </si>
  <si>
    <t>AS-58039</t>
  </si>
  <si>
    <t>AS-58038</t>
  </si>
  <si>
    <t>AS-58037</t>
  </si>
  <si>
    <t>AS-58036</t>
  </si>
  <si>
    <t>AS-58035</t>
  </si>
  <si>
    <t>RF-42954</t>
  </si>
  <si>
    <t>RF-42953</t>
  </si>
  <si>
    <t>AS-58073</t>
  </si>
  <si>
    <t>AS-58072</t>
  </si>
  <si>
    <t>AS-58071</t>
  </si>
  <si>
    <t>AS-58070</t>
  </si>
  <si>
    <t>AS-58069</t>
  </si>
  <si>
    <t>AS-58067</t>
  </si>
  <si>
    <t>AS-58066</t>
  </si>
  <si>
    <t>AR-15867</t>
  </si>
  <si>
    <t>AR-15865</t>
  </si>
  <si>
    <t>RF-42981</t>
  </si>
  <si>
    <t>RF-42980</t>
  </si>
  <si>
    <t>RF-42979</t>
  </si>
  <si>
    <t>RF-42978</t>
  </si>
  <si>
    <t>RF-42977</t>
  </si>
  <si>
    <t>RF-42976</t>
  </si>
  <si>
    <t>RF-42975</t>
  </si>
  <si>
    <t>RF-42974</t>
  </si>
  <si>
    <t>RF-42973</t>
  </si>
  <si>
    <t>RF-42972</t>
  </si>
  <si>
    <t>RF-42971</t>
  </si>
  <si>
    <t>RF-42970</t>
  </si>
  <si>
    <t>RF-42969</t>
  </si>
  <si>
    <t>RF-42968</t>
  </si>
  <si>
    <t>RF-42967</t>
  </si>
  <si>
    <t>RF-42966</t>
  </si>
  <si>
    <t>AS-58113</t>
  </si>
  <si>
    <t>AS-58112</t>
  </si>
  <si>
    <t>AS-58111</t>
  </si>
  <si>
    <t>AS-58110</t>
  </si>
  <si>
    <t>AS-58109</t>
  </si>
  <si>
    <t>AS-58108</t>
  </si>
  <si>
    <t>AS-58107</t>
  </si>
  <si>
    <t>AS-58106</t>
  </si>
  <si>
    <t>AS-58105</t>
  </si>
  <si>
    <t>AS-58104</t>
  </si>
  <si>
    <t>AR-15893</t>
  </si>
  <si>
    <t>AR-15887</t>
  </si>
  <si>
    <t>AR-15885</t>
  </si>
  <si>
    <t>AR-15884</t>
  </si>
  <si>
    <t>AR-15882</t>
  </si>
  <si>
    <t>AR-15880</t>
  </si>
  <si>
    <t>RF-42965</t>
  </si>
  <si>
    <t>RF-42964</t>
  </si>
  <si>
    <t>RF-42963</t>
  </si>
  <si>
    <t>RF-42962</t>
  </si>
  <si>
    <t>RF-42961</t>
  </si>
  <si>
    <t>RF-42960</t>
  </si>
  <si>
    <t>RF-42959</t>
  </si>
  <si>
    <t>RF-42958</t>
  </si>
  <si>
    <t>RF-42957</t>
  </si>
  <si>
    <t>RF-42956</t>
  </si>
  <si>
    <t>RF-42955</t>
  </si>
  <si>
    <t>AR-15878</t>
  </si>
  <si>
    <t>AR-15877</t>
  </si>
  <si>
    <t>AR-15876</t>
  </si>
  <si>
    <t>AR-15875</t>
  </si>
  <si>
    <t>AR-15874</t>
  </si>
  <si>
    <t>AR-15873</t>
  </si>
  <si>
    <t>AR-15872</t>
  </si>
  <si>
    <t>AR-15871</t>
  </si>
  <si>
    <t>AR-15870</t>
  </si>
  <si>
    <t>AR-15869</t>
  </si>
  <si>
    <t>AR-15868</t>
  </si>
  <si>
    <t>AS-58103</t>
  </si>
  <si>
    <t>AS-58100</t>
  </si>
  <si>
    <t>AS-58099</t>
  </si>
  <si>
    <t>AS-58098</t>
  </si>
  <si>
    <t>AS-58095</t>
  </si>
  <si>
    <t>AS-58093</t>
  </si>
  <si>
    <t>AS-58092</t>
  </si>
  <si>
    <t>AS-58091</t>
  </si>
  <si>
    <t>AS-58090</t>
  </si>
  <si>
    <t>AS-58089</t>
  </si>
  <si>
    <t>AS-58088</t>
  </si>
  <si>
    <t>AS-58087</t>
  </si>
  <si>
    <t>AS-58086</t>
  </si>
  <si>
    <t>AS-58085</t>
  </si>
  <si>
    <t>AS-58078</t>
  </si>
  <si>
    <t>AS-58077</t>
  </si>
  <si>
    <t>AS-58076</t>
  </si>
  <si>
    <t>AS-58075</t>
  </si>
  <si>
    <t>AS-1099.01</t>
  </si>
  <si>
    <t>RF-42996</t>
  </si>
  <si>
    <t>RF-42995</t>
  </si>
  <si>
    <t>RF-42994</t>
  </si>
  <si>
    <t>RF-42993</t>
  </si>
  <si>
    <t>RF-42992</t>
  </si>
  <si>
    <t>RF-42991</t>
  </si>
  <si>
    <t>RF-42990</t>
  </si>
  <si>
    <t>RF-42989</t>
  </si>
  <si>
    <t>RF-42988</t>
  </si>
  <si>
    <t>RF-42987</t>
  </si>
  <si>
    <t>RF-42986</t>
  </si>
  <si>
    <t>RF-42985</t>
  </si>
  <si>
    <t>RF-42984</t>
  </si>
  <si>
    <t>RF-42983</t>
  </si>
  <si>
    <t>RF-42982</t>
  </si>
  <si>
    <t>AS-58135</t>
  </si>
  <si>
    <t>AS-58134</t>
  </si>
  <si>
    <t>AS-58133</t>
  </si>
  <si>
    <t>AS-58132</t>
  </si>
  <si>
    <t>AS-58131</t>
  </si>
  <si>
    <t>AS-58130</t>
  </si>
  <si>
    <t>AS-58129</t>
  </si>
  <si>
    <t>AS-58128</t>
  </si>
  <si>
    <t>AS-58127</t>
  </si>
  <si>
    <t>AS-58126</t>
  </si>
  <si>
    <t>AS-58125</t>
  </si>
  <si>
    <t>AS-58124</t>
  </si>
  <si>
    <t>AS-58123</t>
  </si>
  <si>
    <t>AS-58122</t>
  </si>
  <si>
    <t>AS-58121</t>
  </si>
  <si>
    <t>AS-58120</t>
  </si>
  <si>
    <t>AS-58119</t>
  </si>
  <si>
    <t>AS-58118</t>
  </si>
  <si>
    <t>AS-58117</t>
  </si>
  <si>
    <t>AS-58116</t>
  </si>
  <si>
    <t>AS-58115</t>
  </si>
  <si>
    <t>RF-43019</t>
  </si>
  <si>
    <t>RF-43018</t>
  </si>
  <si>
    <t>RF-43017</t>
  </si>
  <si>
    <t>RF-43016</t>
  </si>
  <si>
    <t>RF--43015</t>
  </si>
  <si>
    <t>RF-43013</t>
  </si>
  <si>
    <t>RF-43012</t>
  </si>
  <si>
    <t>RF-43011</t>
  </si>
  <si>
    <t>RF-43010</t>
  </si>
  <si>
    <t>RF-43009</t>
  </si>
  <si>
    <t>RF-43007</t>
  </si>
  <si>
    <t>RF-43006</t>
  </si>
  <si>
    <t>RF-43005</t>
  </si>
  <si>
    <t>RF-43004</t>
  </si>
  <si>
    <t>AR-15904</t>
  </si>
  <si>
    <t>AR-15902</t>
  </si>
  <si>
    <t>AR-15901</t>
  </si>
  <si>
    <t>AR-15900</t>
  </si>
  <si>
    <t>AR-15899</t>
  </si>
  <si>
    <t>AS-58169</t>
  </si>
  <si>
    <t>AS-58168</t>
  </si>
  <si>
    <t>AS-58167</t>
  </si>
  <si>
    <t>AS-58165</t>
  </si>
  <si>
    <t>AS-58164</t>
  </si>
  <si>
    <t>AS-58163</t>
  </si>
  <si>
    <t>AS-58161</t>
  </si>
  <si>
    <t>AS-58160</t>
  </si>
  <si>
    <t>AS-58159</t>
  </si>
  <si>
    <t>AS-58158</t>
  </si>
  <si>
    <t>AS-58155</t>
  </si>
  <si>
    <t>AS-58154</t>
  </si>
  <si>
    <t>AS-58152</t>
  </si>
  <si>
    <t>AS-58151</t>
  </si>
  <si>
    <t>AS-58150</t>
  </si>
  <si>
    <t>AS-58149</t>
  </si>
  <si>
    <t>AS-58148</t>
  </si>
  <si>
    <t>AS-58147</t>
  </si>
  <si>
    <t>AS-58166</t>
  </si>
  <si>
    <t>AS-58162</t>
  </si>
  <si>
    <t>RF-43002</t>
  </si>
  <si>
    <t>RF-42998</t>
  </si>
  <si>
    <t>RF-42997</t>
  </si>
  <si>
    <t>AS-58146</t>
  </si>
  <si>
    <t>AS-58143</t>
  </si>
  <si>
    <t>AS-58142</t>
  </si>
  <si>
    <t>AS-58141</t>
  </si>
  <si>
    <t>AR-15898</t>
  </si>
  <si>
    <t>AR-15896</t>
  </si>
  <si>
    <t>RF-43053</t>
  </si>
  <si>
    <t>RF-43052</t>
  </si>
  <si>
    <t>RF-43051</t>
  </si>
  <si>
    <t>RF-43050</t>
  </si>
  <si>
    <t>RF-43049</t>
  </si>
  <si>
    <t>RF-43048</t>
  </si>
  <si>
    <t>RF-43047</t>
  </si>
  <si>
    <t>RF-43046</t>
  </si>
  <si>
    <t>RF-43045</t>
  </si>
  <si>
    <t>RF-43044</t>
  </si>
  <si>
    <t>AS-58230</t>
  </si>
  <si>
    <t>AS-58229</t>
  </si>
  <si>
    <t>AS-58228</t>
  </si>
  <si>
    <t>AS-58226</t>
  </si>
  <si>
    <t>AS-58225</t>
  </si>
  <si>
    <t>AS-58224</t>
  </si>
  <si>
    <t>AS-58223</t>
  </si>
  <si>
    <t>AS-58222</t>
  </si>
  <si>
    <t>AS-58221</t>
  </si>
  <si>
    <t>AS-58220</t>
  </si>
  <si>
    <t>AS-58219</t>
  </si>
  <si>
    <t>AS-58218</t>
  </si>
  <si>
    <t>AS-58217</t>
  </si>
  <si>
    <t>AS-58216</t>
  </si>
  <si>
    <t>AS-58215</t>
  </si>
  <si>
    <t>AS-58214</t>
  </si>
  <si>
    <t>AS-58213</t>
  </si>
  <si>
    <t>AS-58212</t>
  </si>
  <si>
    <t>AS-58211</t>
  </si>
  <si>
    <t>AS-58210</t>
  </si>
  <si>
    <t>AS-58207</t>
  </si>
  <si>
    <t>AS-58206</t>
  </si>
  <si>
    <t>AS-58205</t>
  </si>
  <si>
    <t>AR-15929</t>
  </si>
  <si>
    <t>AR-15928</t>
  </si>
  <si>
    <t>AR-15927</t>
  </si>
  <si>
    <t>AR-15923</t>
  </si>
  <si>
    <t>AR-15922</t>
  </si>
  <si>
    <t>RF-42907</t>
  </si>
  <si>
    <t>RF-43030</t>
  </si>
  <si>
    <t>RF-43029</t>
  </si>
  <si>
    <t>RF-43038</t>
  </si>
  <si>
    <t>RF-43028</t>
  </si>
  <si>
    <t>RF-43027</t>
  </si>
  <si>
    <t>RF-43026</t>
  </si>
  <si>
    <t>RF-43025</t>
  </si>
  <si>
    <t>RF-43024</t>
  </si>
  <si>
    <t>RF-43023</t>
  </si>
  <si>
    <t>RF43022</t>
  </si>
  <si>
    <t>RF-43021</t>
  </si>
  <si>
    <t>RF-43020</t>
  </si>
  <si>
    <t>AR-15914</t>
  </si>
  <si>
    <t>AR-15913</t>
  </si>
  <si>
    <t>AR-15912</t>
  </si>
  <si>
    <t>AR-15910</t>
  </si>
  <si>
    <t>AR-15909</t>
  </si>
  <si>
    <t>AR-15906</t>
  </si>
  <si>
    <t>AR-15905</t>
  </si>
  <si>
    <t>AS-58197</t>
  </si>
  <si>
    <t>AS-58196+</t>
  </si>
  <si>
    <t>AS-58195</t>
  </si>
  <si>
    <t>AS-58194</t>
  </si>
  <si>
    <t>AS-58193</t>
  </si>
  <si>
    <t>AS-58192</t>
  </si>
  <si>
    <t>AS-58191</t>
  </si>
  <si>
    <t>AS-58189</t>
  </si>
  <si>
    <t>AS-58188</t>
  </si>
  <si>
    <t>AS-58187</t>
  </si>
  <si>
    <t>AS-58186</t>
  </si>
  <si>
    <t>AS-58185</t>
  </si>
  <si>
    <t>AS-58184</t>
  </si>
  <si>
    <t>AS-58183</t>
  </si>
  <si>
    <t>AS-58182</t>
  </si>
  <si>
    <t>AS-58181</t>
  </si>
  <si>
    <t>AS-58180</t>
  </si>
  <si>
    <t>AS-58179</t>
  </si>
  <si>
    <t>AS-58178</t>
  </si>
  <si>
    <t>AS-58177</t>
  </si>
  <si>
    <t>AS-58176</t>
  </si>
  <si>
    <t>AS-58175</t>
  </si>
  <si>
    <t>AS-58174</t>
  </si>
  <si>
    <t>AS-58173</t>
  </si>
  <si>
    <t>AS-58172</t>
  </si>
  <si>
    <t>AS58170</t>
  </si>
  <si>
    <t>RF-43043</t>
  </si>
  <si>
    <t>RF-43042</t>
  </si>
  <si>
    <t>RF-43041</t>
  </si>
  <si>
    <t>RF-43039</t>
  </si>
  <si>
    <t>RF-43037</t>
  </si>
  <si>
    <t>RF-43036</t>
  </si>
  <si>
    <t>RF-43035</t>
  </si>
  <si>
    <t>RF-43034</t>
  </si>
  <si>
    <t>RF-43033</t>
  </si>
  <si>
    <t>RF-43032</t>
  </si>
  <si>
    <t>RF-43031</t>
  </si>
  <si>
    <t>AS-15921</t>
  </si>
  <si>
    <t>AR-15920</t>
  </si>
  <si>
    <t>AR-15919</t>
  </si>
  <si>
    <t>AR-15918</t>
  </si>
  <si>
    <t>AR-15917</t>
  </si>
  <si>
    <t>AR-15916</t>
  </si>
  <si>
    <t>AS-58204</t>
  </si>
  <si>
    <t>AS-58203</t>
  </si>
  <si>
    <t>AS--58202</t>
  </si>
  <si>
    <t>AS-58201</t>
  </si>
  <si>
    <t>AS-58200</t>
  </si>
  <si>
    <t>AS-58199</t>
  </si>
  <si>
    <t>AS-58198</t>
  </si>
  <si>
    <t>RF-43040</t>
  </si>
  <si>
    <t>RF-43086</t>
  </si>
  <si>
    <t>RF-43085</t>
  </si>
  <si>
    <t>RF-43084</t>
  </si>
  <si>
    <t>RF-43083</t>
  </si>
  <si>
    <t>RF-43082</t>
  </si>
  <si>
    <t>RF-43081</t>
  </si>
  <si>
    <t>RF-43079</t>
  </si>
  <si>
    <t>RF-43077</t>
  </si>
  <si>
    <t>RF-43076</t>
  </si>
  <si>
    <t>RF-43075</t>
  </si>
  <si>
    <t>RF-43074</t>
  </si>
  <si>
    <t>RF-43073</t>
  </si>
  <si>
    <t>RF-43072</t>
  </si>
  <si>
    <t>RF-43071</t>
  </si>
  <si>
    <t>RF-43070</t>
  </si>
  <si>
    <t>RF-43069</t>
  </si>
  <si>
    <t>RF-43067</t>
  </si>
  <si>
    <t>RF-43066</t>
  </si>
  <si>
    <t>AR-15939</t>
  </si>
  <si>
    <t>AS-58283</t>
  </si>
  <si>
    <t>AS-58282</t>
  </si>
  <si>
    <t>AS-58281</t>
  </si>
  <si>
    <t>AS-58280</t>
  </si>
  <si>
    <t>AS-58279</t>
  </si>
  <si>
    <t>AS-58278</t>
  </si>
  <si>
    <t>AS-58277</t>
  </si>
  <si>
    <t>AS-58276</t>
  </si>
  <si>
    <t>AS-58275</t>
  </si>
  <si>
    <t>AS-58274</t>
  </si>
  <si>
    <t>AS-58273</t>
  </si>
  <si>
    <t>AS-58272</t>
  </si>
  <si>
    <t>AS-58271</t>
  </si>
  <si>
    <t>RF-43096</t>
  </si>
  <si>
    <t>RF-43095</t>
  </si>
  <si>
    <t>RF-43094</t>
  </si>
  <si>
    <t>RF-43093</t>
  </si>
  <si>
    <t>RF-43091</t>
  </si>
  <si>
    <t>RF-43089</t>
  </si>
  <si>
    <t>RF-43088</t>
  </si>
  <si>
    <t>AR-15947</t>
  </si>
  <si>
    <t>AR-15946</t>
  </si>
  <si>
    <t>AR-15945</t>
  </si>
  <si>
    <t>AR-15944</t>
  </si>
  <si>
    <t>AR-15943</t>
  </si>
  <si>
    <t>AR-15940</t>
  </si>
  <si>
    <t>AS-58292</t>
  </si>
  <si>
    <t>AS-58291</t>
  </si>
  <si>
    <t>AS-58290</t>
  </si>
  <si>
    <t>AS-58289</t>
  </si>
  <si>
    <t>AS-58288</t>
  </si>
  <si>
    <t>AS-58287</t>
  </si>
  <si>
    <t>AS-58286</t>
  </si>
  <si>
    <t>AS-58285</t>
  </si>
  <si>
    <t>AS-58284</t>
  </si>
  <si>
    <t>RF-43065</t>
  </si>
  <si>
    <t>RF-43064</t>
  </si>
  <si>
    <t>RF-43061</t>
  </si>
  <si>
    <t>RF-43060</t>
  </si>
  <si>
    <t>RF-43059</t>
  </si>
  <si>
    <t>RF-43058</t>
  </si>
  <si>
    <t>RF-43057</t>
  </si>
  <si>
    <t>RF-43056</t>
  </si>
  <si>
    <t>RF-43055</t>
  </si>
  <si>
    <t>RF-43054</t>
  </si>
  <si>
    <t>AS-58245</t>
  </si>
  <si>
    <t>AS-58234</t>
  </si>
  <si>
    <t>AS-58233</t>
  </si>
  <si>
    <t>AS-58232</t>
  </si>
  <si>
    <t>AS-58231</t>
  </si>
  <si>
    <t>RF-43122</t>
  </si>
  <si>
    <t>RF-43111</t>
  </si>
  <si>
    <t>RF-43110</t>
  </si>
  <si>
    <t>RF-43109</t>
  </si>
  <si>
    <t>RF-43108</t>
  </si>
  <si>
    <t>RF-43107</t>
  </si>
  <si>
    <t>RF-43106</t>
  </si>
  <si>
    <t>RF-43105</t>
  </si>
  <si>
    <t>RF-43104</t>
  </si>
  <si>
    <t>RF-43102</t>
  </si>
  <si>
    <t>RF-43103</t>
  </si>
  <si>
    <t>RF-43101</t>
  </si>
  <si>
    <t>RF-43100</t>
  </si>
  <si>
    <t>RF-43099</t>
  </si>
  <si>
    <t>RF-43098</t>
  </si>
  <si>
    <t>RF-43097</t>
  </si>
  <si>
    <t>AS-58329</t>
  </si>
  <si>
    <t>AS-58328</t>
  </si>
  <si>
    <t>AS-58327</t>
  </si>
  <si>
    <t>AS-58326</t>
  </si>
  <si>
    <t>AS-58325</t>
  </si>
  <si>
    <t>AS-58324</t>
  </si>
  <si>
    <t>AS-58323</t>
  </si>
  <si>
    <t>AS-58322</t>
  </si>
  <si>
    <t>AS-58320</t>
  </si>
  <si>
    <t>AS-58319</t>
  </si>
  <si>
    <t>AS-58318</t>
  </si>
  <si>
    <t>AS-58317</t>
  </si>
  <si>
    <t>AS-58315</t>
  </si>
  <si>
    <t>AS-58314</t>
  </si>
  <si>
    <t>AS-58313</t>
  </si>
  <si>
    <t>AS-58312</t>
  </si>
  <si>
    <t>AS-58311</t>
  </si>
  <si>
    <t>AS-58309</t>
  </si>
  <si>
    <t>AS-58308</t>
  </si>
  <si>
    <t>AS-58307</t>
  </si>
  <si>
    <t>AS-58306</t>
  </si>
  <si>
    <t>AS-58305</t>
  </si>
  <si>
    <t>AS-58304</t>
  </si>
  <si>
    <t>AR-15949</t>
  </si>
  <si>
    <t>RF-43155</t>
  </si>
  <si>
    <t>RF-43154</t>
  </si>
  <si>
    <t>RF-43153</t>
  </si>
  <si>
    <t>RF-43152</t>
  </si>
  <si>
    <t>RF-43156</t>
  </si>
  <si>
    <t>RF-43151</t>
  </si>
  <si>
    <t>RF-43150</t>
  </si>
  <si>
    <t>RF-43149</t>
  </si>
  <si>
    <t>RF-43148</t>
  </si>
  <si>
    <t>RF-43147</t>
  </si>
  <si>
    <t>RF-43146</t>
  </si>
  <si>
    <t>RF-43145</t>
  </si>
  <si>
    <t>RF-43144</t>
  </si>
  <si>
    <t>RF-43143</t>
  </si>
  <si>
    <t>RF-43142</t>
  </si>
  <si>
    <t>RF-43141</t>
  </si>
  <si>
    <t>RF-43140</t>
  </si>
  <si>
    <t>AS-58405</t>
  </si>
  <si>
    <t>AS-58404</t>
  </si>
  <si>
    <t>AS-58403</t>
  </si>
  <si>
    <t>AS-58402</t>
  </si>
  <si>
    <t>AS-58401</t>
  </si>
  <si>
    <t>AS-58400</t>
  </si>
  <si>
    <t>AS-58398</t>
  </si>
  <si>
    <t>AS-58397</t>
  </si>
  <si>
    <t>AS-58396</t>
  </si>
  <si>
    <t>AS-58395</t>
  </si>
  <si>
    <t>AS-58394</t>
  </si>
  <si>
    <t>AS-58393</t>
  </si>
  <si>
    <t>AS-58392</t>
  </si>
  <si>
    <t>AS-58391</t>
  </si>
  <si>
    <t>AS-58390</t>
  </si>
  <si>
    <t>AS-58389</t>
  </si>
  <si>
    <t>AS-58388</t>
  </si>
  <si>
    <t>AS-58387</t>
  </si>
  <si>
    <t>AS-58386</t>
  </si>
  <si>
    <t>AS-58384</t>
  </si>
  <si>
    <t>AS-58383</t>
  </si>
  <si>
    <t>AS-58382</t>
  </si>
  <si>
    <t>AR-15965</t>
  </si>
  <si>
    <t>AR-15964</t>
  </si>
  <si>
    <t>AR-15963</t>
  </si>
  <si>
    <t>AR-15961</t>
  </si>
  <si>
    <t>RF-43133</t>
  </si>
  <si>
    <t>RF-43132</t>
  </si>
  <si>
    <t>RF-43131</t>
  </si>
  <si>
    <t>RF-43130</t>
  </si>
  <si>
    <t>RF-43129</t>
  </si>
  <si>
    <t>RF-43128</t>
  </si>
  <si>
    <t>RF-43127</t>
  </si>
  <si>
    <t>RF-43126</t>
  </si>
  <si>
    <t>RF-43125</t>
  </si>
  <si>
    <t>RF-43124</t>
  </si>
  <si>
    <t>RF-43123</t>
  </si>
  <si>
    <t>AS-58358</t>
  </si>
  <si>
    <t>AS-58357</t>
  </si>
  <si>
    <t>AS-58356</t>
  </si>
  <si>
    <t>AS-58355</t>
  </si>
  <si>
    <t>AS-58354</t>
  </si>
  <si>
    <t>AS-58353</t>
  </si>
  <si>
    <t>AS-58352</t>
  </si>
  <si>
    <t>AS-58351</t>
  </si>
  <si>
    <t>AS-58350</t>
  </si>
  <si>
    <t>AS-58349</t>
  </si>
  <si>
    <t>AS-58347</t>
  </si>
  <si>
    <t>AS-58346</t>
  </si>
  <si>
    <t>AS-58345</t>
  </si>
  <si>
    <t>AS-58341</t>
  </si>
  <si>
    <t>AS-58340</t>
  </si>
  <si>
    <t>AS-58339</t>
  </si>
  <si>
    <t>AS-58338</t>
  </si>
  <si>
    <t>AS-58337</t>
  </si>
  <si>
    <t>AS-58336</t>
  </si>
  <si>
    <t>AS-58335</t>
  </si>
  <si>
    <t>AR-15954</t>
  </si>
  <si>
    <t>RF-43139</t>
  </si>
  <si>
    <t>RF-43138</t>
  </si>
  <si>
    <t>RF-43137</t>
  </si>
  <si>
    <t>RF-43136</t>
  </si>
  <si>
    <t>RF-43135</t>
  </si>
  <si>
    <t>RF-43134</t>
  </si>
  <si>
    <t>AR-15959</t>
  </si>
  <si>
    <t>AR-15956</t>
  </si>
  <si>
    <t>AS-58380</t>
  </si>
  <si>
    <t>AS-58379</t>
  </si>
  <si>
    <t>AS-58378</t>
  </si>
  <si>
    <t>AS-58377</t>
  </si>
  <si>
    <t>AS-58376</t>
  </si>
  <si>
    <t>AS-58371</t>
  </si>
  <si>
    <t>AS-58369</t>
  </si>
  <si>
    <t>AS-58368</t>
  </si>
  <si>
    <t>AS-58366</t>
  </si>
  <si>
    <t>RF-43197</t>
  </si>
  <si>
    <t>RF-43196</t>
  </si>
  <si>
    <t>RF-43194</t>
  </si>
  <si>
    <t>RF-43193</t>
  </si>
  <si>
    <t>RF-43192</t>
  </si>
  <si>
    <t>RF-43191</t>
  </si>
  <si>
    <t>RF-43190</t>
  </si>
  <si>
    <t>RF-43189</t>
  </si>
  <si>
    <t>RF-43188</t>
  </si>
  <si>
    <t>RF-43187</t>
  </si>
  <si>
    <t>RF-43185</t>
  </si>
  <si>
    <t>RF-43184</t>
  </si>
  <si>
    <t>RF-43183</t>
  </si>
  <si>
    <t>RF-43182</t>
  </si>
  <si>
    <t>RF-43181</t>
  </si>
  <si>
    <t>RF-43180</t>
  </si>
  <si>
    <t>RF-43179</t>
  </si>
  <si>
    <t>RF-43178</t>
  </si>
  <si>
    <t>RF-43177</t>
  </si>
  <si>
    <t>RF-43176</t>
  </si>
  <si>
    <t>AR-15985</t>
  </si>
  <si>
    <t>AS-58507</t>
  </si>
  <si>
    <t>AS-58506</t>
  </si>
  <si>
    <t>AS-58505</t>
  </si>
  <si>
    <t>AS-58504</t>
  </si>
  <si>
    <t>AS-58503</t>
  </si>
  <si>
    <t>AS-58502</t>
  </si>
  <si>
    <t>AS-58501</t>
  </si>
  <si>
    <t>AS-58500</t>
  </si>
  <si>
    <t>AS-58499</t>
  </si>
  <si>
    <t>AS-58498</t>
  </si>
  <si>
    <t>AS-58497</t>
  </si>
  <si>
    <t>AS-58496</t>
  </si>
  <si>
    <t>AS-58495</t>
  </si>
  <si>
    <t>AS-58494</t>
  </si>
  <si>
    <t>AS-58491</t>
  </si>
  <si>
    <t>AS-58490</t>
  </si>
  <si>
    <t>AS-58488</t>
  </si>
  <si>
    <t>AS-58486</t>
  </si>
  <si>
    <t>AS-58485</t>
  </si>
  <si>
    <t>AS-58484</t>
  </si>
  <si>
    <t>AS-58483</t>
  </si>
  <si>
    <t>AS-58487</t>
  </si>
  <si>
    <t>RF-43168</t>
  </si>
  <si>
    <t>RF-43167</t>
  </si>
  <si>
    <t>RF-43166</t>
  </si>
  <si>
    <t>RF-43165</t>
  </si>
  <si>
    <t>RF-43164</t>
  </si>
  <si>
    <t>RF-43162</t>
  </si>
  <si>
    <t>RF-43161</t>
  </si>
  <si>
    <t>RF-43160</t>
  </si>
  <si>
    <t>RF-43159</t>
  </si>
  <si>
    <t>RF-43158</t>
  </si>
  <si>
    <t>RF-43157</t>
  </si>
  <si>
    <t>AS-58434</t>
  </si>
  <si>
    <t>AS-58433</t>
  </si>
  <si>
    <t>AS-58432</t>
  </si>
  <si>
    <t>AS-58431</t>
  </si>
  <si>
    <t>AS-58430</t>
  </si>
  <si>
    <t>AS-58429</t>
  </si>
  <si>
    <t>AS-58428</t>
  </si>
  <si>
    <t>AS-58427</t>
  </si>
  <si>
    <t>AS-58426</t>
  </si>
  <si>
    <t>AS-58425</t>
  </si>
  <si>
    <t>AS-58424</t>
  </si>
  <si>
    <t>AS-58423</t>
  </si>
  <si>
    <t>AS-58422</t>
  </si>
  <si>
    <t>AS-58421</t>
  </si>
  <si>
    <t>AS-58420</t>
  </si>
  <si>
    <t>AS-58419</t>
  </si>
  <si>
    <t>AS-58418</t>
  </si>
  <si>
    <t>AS-58417</t>
  </si>
  <si>
    <t>AS-58416</t>
  </si>
  <si>
    <t>AS-58415</t>
  </si>
  <si>
    <t>AS-58414</t>
  </si>
  <si>
    <t>AS-58413</t>
  </si>
  <si>
    <t>AS-58412</t>
  </si>
  <si>
    <t>AS-58410</t>
  </si>
  <si>
    <t>AS-58407</t>
  </si>
  <si>
    <t>AR-15976</t>
  </si>
  <si>
    <t>AR-15975</t>
  </si>
  <si>
    <t>AR-15974</t>
  </si>
  <si>
    <t>AR-15972</t>
  </si>
  <si>
    <t>AR-15970</t>
  </si>
  <si>
    <t>AR-15969</t>
  </si>
  <si>
    <t>AR-15968</t>
  </si>
  <si>
    <t>RF-43175</t>
  </si>
  <si>
    <t>RF-43172</t>
  </si>
  <si>
    <t>RF-43171</t>
  </si>
  <si>
    <t>RF-43170</t>
  </si>
  <si>
    <t>RF-43169</t>
  </si>
  <si>
    <t>AS-58478</t>
  </si>
  <si>
    <t>AS-58477</t>
  </si>
  <si>
    <t>AS-58476</t>
  </si>
  <si>
    <t>AS-58439</t>
  </si>
  <si>
    <t>AS-58438</t>
  </si>
  <si>
    <t>AR-15981</t>
  </si>
  <si>
    <t>AR-15980</t>
  </si>
  <si>
    <t>RF-43238</t>
  </si>
  <si>
    <t>RF-43237</t>
  </si>
  <si>
    <t>RF-43236</t>
  </si>
  <si>
    <t>RF-43235</t>
  </si>
  <si>
    <t>RF-43233</t>
  </si>
  <si>
    <t>RF-43232</t>
  </si>
  <si>
    <t>RF-43231</t>
  </si>
  <si>
    <t>RF-43230</t>
  </si>
  <si>
    <t>RF-43229</t>
  </si>
  <si>
    <t>RF-43228</t>
  </si>
  <si>
    <t>RF-43227</t>
  </si>
  <si>
    <t>RF-43226</t>
  </si>
  <si>
    <t>RF-43225</t>
  </si>
  <si>
    <t>RF-43224</t>
  </si>
  <si>
    <t>RF-43223</t>
  </si>
  <si>
    <t>RF-43222</t>
  </si>
  <si>
    <t>RF-43221</t>
  </si>
  <si>
    <t>RF-43220</t>
  </si>
  <si>
    <t>RF-43219</t>
  </si>
  <si>
    <t>RF-43218</t>
  </si>
  <si>
    <t>RF-43217</t>
  </si>
  <si>
    <t>RF-43216</t>
  </si>
  <si>
    <t>RF-43215</t>
  </si>
  <si>
    <t>RF-43214</t>
  </si>
  <si>
    <t>RF-43213</t>
  </si>
  <si>
    <t>RF-43212</t>
  </si>
  <si>
    <t>RF-43211</t>
  </si>
  <si>
    <t>AS-58565</t>
  </si>
  <si>
    <t>AS-58564</t>
  </si>
  <si>
    <t>AS-58563</t>
  </si>
  <si>
    <t>AS-58562</t>
  </si>
  <si>
    <t>AS-58561</t>
  </si>
  <si>
    <t>AS-58560</t>
  </si>
  <si>
    <t>AS-58559</t>
  </si>
  <si>
    <t>AS-58558</t>
  </si>
  <si>
    <t>AS-58557</t>
  </si>
  <si>
    <t>AS-58555</t>
  </si>
  <si>
    <t>AS-58554</t>
  </si>
  <si>
    <t>AS-58550</t>
  </si>
  <si>
    <t>AS-58549</t>
  </si>
  <si>
    <t>AS-58548</t>
  </si>
  <si>
    <t>AS-58547</t>
  </si>
  <si>
    <t>AS-58546</t>
  </si>
  <si>
    <t>AS-58545</t>
  </si>
  <si>
    <t>AR-15989</t>
  </si>
  <si>
    <t>AR-15988</t>
  </si>
  <si>
    <t>RF-43121</t>
  </si>
  <si>
    <t>RF-43120</t>
  </si>
  <si>
    <t>RF-43118</t>
  </si>
  <si>
    <t>RF-43117</t>
  </si>
  <si>
    <t>RF-43116</t>
  </si>
  <si>
    <t>RF-43115</t>
  </si>
  <si>
    <t>RF-43114</t>
  </si>
  <si>
    <t>RF-43113</t>
  </si>
  <si>
    <t>AR-15950</t>
  </si>
  <si>
    <t>AR-15951</t>
  </si>
  <si>
    <t>AS-58332</t>
  </si>
  <si>
    <t>AS-58330</t>
  </si>
  <si>
    <t>AS-58331</t>
  </si>
  <si>
    <t>AS-58334</t>
  </si>
  <si>
    <t>AS-58333</t>
  </si>
  <si>
    <t>RF-43210</t>
  </si>
  <si>
    <t>RF-43209</t>
  </si>
  <si>
    <t>RF-43208</t>
  </si>
  <si>
    <t>RF-43207</t>
  </si>
  <si>
    <t>RF-43206</t>
  </si>
  <si>
    <t>RF-43205</t>
  </si>
  <si>
    <t>RF-43204</t>
  </si>
  <si>
    <t>RF-43203</t>
  </si>
  <si>
    <t>RF-43202</t>
  </si>
  <si>
    <t>RF-43201</t>
  </si>
  <si>
    <t>RF-43200</t>
  </si>
  <si>
    <t>RF-43199</t>
  </si>
  <si>
    <t>RF-43198</t>
  </si>
  <si>
    <t>AR-15987</t>
  </si>
  <si>
    <t>AR-15986</t>
  </si>
  <si>
    <t>AS-58544</t>
  </si>
  <si>
    <t>AS-58543</t>
  </si>
  <si>
    <t>AS-58542</t>
  </si>
  <si>
    <t>AS-58541</t>
  </si>
  <si>
    <t>AS-58540</t>
  </si>
  <si>
    <t>AS-58524</t>
  </si>
  <si>
    <t>AS-58510</t>
  </si>
  <si>
    <t>AS-58509</t>
  </si>
  <si>
    <t>RF-43301</t>
  </si>
  <si>
    <t>RF-43300</t>
  </si>
  <si>
    <t>RF-43299</t>
  </si>
  <si>
    <t>RF-43298</t>
  </si>
  <si>
    <t>RF-43297</t>
  </si>
  <si>
    <t>RF-43296</t>
  </si>
  <si>
    <t>RF-43295</t>
  </si>
  <si>
    <t>RF-43294</t>
  </si>
  <si>
    <t>RF-43293</t>
  </si>
  <si>
    <t>RF-43289</t>
  </si>
  <si>
    <t>RF-43288</t>
  </si>
  <si>
    <t>RF-43287</t>
  </si>
  <si>
    <t>AR-15998</t>
  </si>
  <si>
    <t>AR-15997</t>
  </si>
  <si>
    <t>AR-15995</t>
  </si>
  <si>
    <t>AS-58594</t>
  </si>
  <si>
    <t>AS-58593</t>
  </si>
  <si>
    <t>AS-58592</t>
  </si>
  <si>
    <t>AS-58588</t>
  </si>
  <si>
    <t>AS-58587</t>
  </si>
  <si>
    <t>AS-58585</t>
  </si>
  <si>
    <t>AS-58584</t>
  </si>
  <si>
    <t>AS-58582</t>
  </si>
  <si>
    <t>AS-58581</t>
  </si>
  <si>
    <t>AS-58580</t>
  </si>
  <si>
    <t>AS-58579</t>
  </si>
  <si>
    <t>RF-43286</t>
  </si>
  <si>
    <t>RF-43285</t>
  </si>
  <si>
    <t>RF-43284</t>
  </si>
  <si>
    <t>RF-43283</t>
  </si>
  <si>
    <t>RF-43282</t>
  </si>
  <si>
    <t>RF-43281</t>
  </si>
  <si>
    <t>RF-43280</t>
  </si>
  <si>
    <t>RF-43279</t>
  </si>
  <si>
    <t>RF-43278</t>
  </si>
  <si>
    <t>RF-43277</t>
  </si>
  <si>
    <t>RF-43276</t>
  </si>
  <si>
    <t>RF-43275</t>
  </si>
  <si>
    <t>RF-43274</t>
  </si>
  <si>
    <t>AS-58577</t>
  </si>
  <si>
    <t>AS-58576</t>
  </si>
  <si>
    <t>AS-58575</t>
  </si>
  <si>
    <t>AS-58574</t>
  </si>
  <si>
    <t>AS-58573</t>
  </si>
  <si>
    <t>AS-58572</t>
  </si>
  <si>
    <t>AS-58571</t>
  </si>
  <si>
    <t>AS-58570</t>
  </si>
  <si>
    <t>AS-58569</t>
  </si>
  <si>
    <t>AS-58568</t>
  </si>
  <si>
    <t>AR-15993</t>
  </si>
  <si>
    <t>AR-15991</t>
  </si>
  <si>
    <t>RF-43307</t>
  </si>
  <si>
    <t>RF-43306</t>
  </si>
  <si>
    <t>RF-43305</t>
  </si>
  <si>
    <t>AS-58595</t>
  </si>
  <si>
    <t>RF-43303</t>
  </si>
  <si>
    <t>AS-58610</t>
  </si>
  <si>
    <t>AS-58609</t>
  </si>
  <si>
    <t>AS-58608</t>
  </si>
  <si>
    <t>AS-58607</t>
  </si>
  <si>
    <t>AS-58606</t>
  </si>
  <si>
    <t>AS-58605</t>
  </si>
  <si>
    <t>AS-58604</t>
  </si>
  <si>
    <t>AS-58603</t>
  </si>
  <si>
    <t>AS-58602</t>
  </si>
  <si>
    <t>AS-58601</t>
  </si>
  <si>
    <t>AS-58600</t>
  </si>
  <si>
    <t>AS-58599</t>
  </si>
  <si>
    <t>AS-58598</t>
  </si>
  <si>
    <t>AS-58597</t>
  </si>
  <si>
    <t>AS-58596</t>
  </si>
  <si>
    <t>AR-16004</t>
  </si>
  <si>
    <t>AR-16003</t>
  </si>
  <si>
    <t>AR-16002</t>
  </si>
  <si>
    <t>AR-16001</t>
  </si>
  <si>
    <t>AR-16000</t>
  </si>
  <si>
    <t>RF-43331</t>
  </si>
  <si>
    <t>RF-43330</t>
  </si>
  <si>
    <t>RF-43329</t>
  </si>
  <si>
    <t>RF-43328</t>
  </si>
  <si>
    <t>RF-43327</t>
  </si>
  <si>
    <t>RF-43326</t>
  </si>
  <si>
    <t>RF-43325</t>
  </si>
  <si>
    <t>RF-43324</t>
  </si>
  <si>
    <t>AR-16026</t>
  </si>
  <si>
    <t>AR-16025</t>
  </si>
  <si>
    <t>AR-16024</t>
  </si>
  <si>
    <t>AR-16023</t>
  </si>
  <si>
    <t>AR-16022</t>
  </si>
  <si>
    <t>AR-16021</t>
  </si>
  <si>
    <t>AR-16020</t>
  </si>
  <si>
    <t>AS-58675</t>
  </si>
  <si>
    <t>AS-58674</t>
  </si>
  <si>
    <t>AS-58673</t>
  </si>
  <si>
    <t>AS-58672</t>
  </si>
  <si>
    <t>AS-58671</t>
  </si>
  <si>
    <t>AS-58670</t>
  </si>
  <si>
    <t>AS-58667</t>
  </si>
  <si>
    <t>AS-58668</t>
  </si>
  <si>
    <t>AS-58656</t>
  </si>
  <si>
    <t>AS-58665</t>
  </si>
  <si>
    <t>AS-58664</t>
  </si>
  <si>
    <t>AS-58663</t>
  </si>
  <si>
    <t>AS-58661</t>
  </si>
  <si>
    <t>AS-58660</t>
  </si>
  <si>
    <t>AS-58659</t>
  </si>
  <si>
    <t>AS-58658</t>
  </si>
  <si>
    <t>AS-58657</t>
  </si>
  <si>
    <t>AS-58655</t>
  </si>
  <si>
    <t>AS-58654</t>
  </si>
  <si>
    <t>AS58653</t>
  </si>
  <si>
    <t>AS-58652</t>
  </si>
  <si>
    <t>AS-58651</t>
  </si>
  <si>
    <t>AS-58650</t>
  </si>
  <si>
    <t>AS-58649</t>
  </si>
  <si>
    <t>AS-58648</t>
  </si>
  <si>
    <t>AS-58647</t>
  </si>
  <si>
    <t>AS-58646</t>
  </si>
  <si>
    <t>AS-58645</t>
  </si>
  <si>
    <t>AS-58644</t>
  </si>
  <si>
    <t>RF-43336</t>
  </si>
  <si>
    <t>RF-43335</t>
  </si>
  <si>
    <t>RF-43334</t>
  </si>
  <si>
    <t>RF-43333</t>
  </si>
  <si>
    <t>RF-43332</t>
  </si>
  <si>
    <t>AR-16031</t>
  </si>
  <si>
    <t>AR-16030</t>
  </si>
  <si>
    <t>AR-16029</t>
  </si>
  <si>
    <t>AR-16028</t>
  </si>
  <si>
    <t>AS-58684</t>
  </si>
  <si>
    <t>AS-58683</t>
  </si>
  <si>
    <t>AS-58682</t>
  </si>
  <si>
    <t>AS-58681</t>
  </si>
  <si>
    <t>RF-43323</t>
  </si>
  <si>
    <t>RF-43322</t>
  </si>
  <si>
    <t>AS-58622</t>
  </si>
  <si>
    <t>RF-43321</t>
  </si>
  <si>
    <t>AS-58641</t>
  </si>
  <si>
    <t>RF-43320</t>
  </si>
  <si>
    <t>RF-43319</t>
  </si>
  <si>
    <t>RF-43318</t>
  </si>
  <si>
    <t>RF-43317</t>
  </si>
  <si>
    <t>RF-43316</t>
  </si>
  <si>
    <t>AR-16016</t>
  </si>
  <si>
    <t>AS-58616</t>
  </si>
  <si>
    <t>RF-43315</t>
  </si>
  <si>
    <t>AS-58615</t>
  </si>
  <si>
    <t>RF-43314</t>
  </si>
  <si>
    <t>RF-43313</t>
  </si>
  <si>
    <t>RF-43312</t>
  </si>
  <si>
    <t>AR-16012</t>
  </si>
  <si>
    <t>AS-58612</t>
  </si>
  <si>
    <t>RF-43311</t>
  </si>
  <si>
    <t>RF-43310</t>
  </si>
  <si>
    <t>RF-43309</t>
  </si>
  <si>
    <t>RF-43308</t>
  </si>
  <si>
    <t>AS-58642</t>
  </si>
  <si>
    <t>AS-58640</t>
  </si>
  <si>
    <t>AS-58639</t>
  </si>
  <si>
    <t>AS-58638</t>
  </si>
  <si>
    <t>AS-58637</t>
  </si>
  <si>
    <t>AS-58636</t>
  </si>
  <si>
    <t>AS-58635</t>
  </si>
  <si>
    <t>AS-58634</t>
  </si>
  <si>
    <t>AS-58633</t>
  </si>
  <si>
    <t>AS-58632</t>
  </si>
  <si>
    <t>AS-58631</t>
  </si>
  <si>
    <t>AS-58630</t>
  </si>
  <si>
    <t>AS-58629</t>
  </si>
  <si>
    <t>AS-58628</t>
  </si>
  <si>
    <t>AS-58627</t>
  </si>
  <si>
    <t>AS-58626</t>
  </si>
  <si>
    <t>AS-58625</t>
  </si>
  <si>
    <t>AS-58624</t>
  </si>
  <si>
    <t>AS-58623</t>
  </si>
  <si>
    <t>AS-58621</t>
  </si>
  <si>
    <t>AS-58620</t>
  </si>
  <si>
    <t>AS-58619</t>
  </si>
  <si>
    <t>AS-58618</t>
  </si>
  <si>
    <t>AS-58617</t>
  </si>
  <si>
    <t>AS-58614</t>
  </si>
  <si>
    <t>AS-58611</t>
  </si>
  <si>
    <t>AR-16018</t>
  </si>
  <si>
    <t>AR-16017</t>
  </si>
  <si>
    <t>AR-16014</t>
  </si>
  <si>
    <t>AR-16013</t>
  </si>
  <si>
    <t>RF-43344</t>
  </si>
  <si>
    <t>RF-43342</t>
  </si>
  <si>
    <t>RF-43341</t>
  </si>
  <si>
    <t>RF-43340</t>
  </si>
  <si>
    <t>RF-43339</t>
  </si>
  <si>
    <t>RF-43338</t>
  </si>
  <si>
    <t>RF-43337</t>
  </si>
  <si>
    <t>AS-58708</t>
  </si>
  <si>
    <t>AS-58707</t>
  </si>
  <si>
    <t>AS-58706</t>
  </si>
  <si>
    <t>AS-58705</t>
  </si>
  <si>
    <t>AS-58704</t>
  </si>
  <si>
    <t>AS-58703</t>
  </si>
  <si>
    <t>AS-58701</t>
  </si>
  <si>
    <t>AS-58700</t>
  </si>
  <si>
    <t>AS-58720</t>
  </si>
  <si>
    <t>AS-58699</t>
  </si>
  <si>
    <t>AS-58698</t>
  </si>
  <si>
    <t>AS-58697</t>
  </si>
  <si>
    <t>AS-58696</t>
  </si>
  <si>
    <t>AS-58694</t>
  </si>
  <si>
    <t>AS-58693</t>
  </si>
  <si>
    <t>AS-58692</t>
  </si>
  <si>
    <t>AS-58691</t>
  </si>
  <si>
    <t>AS-58690</t>
  </si>
  <si>
    <t>AS-58689</t>
  </si>
  <si>
    <t>AS-58688</t>
  </si>
  <si>
    <t>AS-58687</t>
  </si>
  <si>
    <t>AS-58686</t>
  </si>
  <si>
    <t>AS-58685</t>
  </si>
  <si>
    <t>AR-16034</t>
  </si>
  <si>
    <t>AR-16033</t>
  </si>
  <si>
    <t>AR-16032</t>
  </si>
  <si>
    <t>RF-43343</t>
  </si>
  <si>
    <t>RF-43374</t>
  </si>
  <si>
    <t>RF-43371</t>
  </si>
  <si>
    <t>RF-43370</t>
  </si>
  <si>
    <t>RF-43369</t>
  </si>
  <si>
    <t>RF-43368</t>
  </si>
  <si>
    <t>RF-43367</t>
  </si>
  <si>
    <t>RF-43366</t>
  </si>
  <si>
    <t>RF-43364</t>
  </si>
  <si>
    <t>RF-43363</t>
  </si>
  <si>
    <t>AR-16063</t>
  </si>
  <si>
    <t>RF-43362</t>
  </si>
  <si>
    <t>RF-43361</t>
  </si>
  <si>
    <t>RF-43360</t>
  </si>
  <si>
    <t>AS-58760</t>
  </si>
  <si>
    <t>RF-43359</t>
  </si>
  <si>
    <t>RF-43358</t>
  </si>
  <si>
    <t>RF-43357</t>
  </si>
  <si>
    <t>RF-43356</t>
  </si>
  <si>
    <t>RF-43355</t>
  </si>
  <si>
    <t>AS-58737</t>
  </si>
  <si>
    <t>AS-58736</t>
  </si>
  <si>
    <t>AS-58735</t>
  </si>
  <si>
    <t>AS-58734</t>
  </si>
  <si>
    <t>AS-58733</t>
  </si>
  <si>
    <t>AS-58732</t>
  </si>
  <si>
    <t>AS-58731</t>
  </si>
  <si>
    <t>AS-58729</t>
  </si>
  <si>
    <t>AS-58728</t>
  </si>
  <si>
    <t>AS-58727</t>
  </si>
  <si>
    <t>AS-58726</t>
  </si>
  <si>
    <t>AS-58725</t>
  </si>
  <si>
    <t>AS-58723</t>
  </si>
  <si>
    <t>AS-58722</t>
  </si>
  <si>
    <t>AS-58721</t>
  </si>
  <si>
    <t>RF-43354</t>
  </si>
  <si>
    <t>RF-43352</t>
  </si>
  <si>
    <t>RF-43351</t>
  </si>
  <si>
    <t>RF-43350</t>
  </si>
  <si>
    <t>AS-58750</t>
  </si>
  <si>
    <t>RF-43349</t>
  </si>
  <si>
    <t>RF-43348</t>
  </si>
  <si>
    <t>RF-43347</t>
  </si>
  <si>
    <t>RF-43346</t>
  </si>
  <si>
    <t>RF-43345</t>
  </si>
  <si>
    <t>AR-16040</t>
  </si>
  <si>
    <t>AR-16039</t>
  </si>
  <si>
    <t>AR-16038</t>
  </si>
  <si>
    <t>AS-58719</t>
  </si>
  <si>
    <t>AS-58718</t>
  </si>
  <si>
    <t>AS-58717</t>
  </si>
  <si>
    <t>AS-58715</t>
  </si>
  <si>
    <t>AS-58714</t>
  </si>
  <si>
    <t>AS-58713</t>
  </si>
  <si>
    <t>AS-58711</t>
  </si>
  <si>
    <t>AS-58710</t>
  </si>
  <si>
    <t>AS-58709</t>
  </si>
  <si>
    <t>RF-43381</t>
  </si>
  <si>
    <t>RF-43380</t>
  </si>
  <si>
    <t>RF-43379</t>
  </si>
  <si>
    <t>RF-43378</t>
  </si>
  <si>
    <t>RF-43377</t>
  </si>
  <si>
    <t>RF-43376</t>
  </si>
  <si>
    <t>RF-43375</t>
  </si>
  <si>
    <t>AR-16042</t>
  </si>
  <si>
    <t>AS-58742</t>
  </si>
  <si>
    <t>AS-58745</t>
  </si>
  <si>
    <t>AS-58744</t>
  </si>
  <si>
    <t>AS-58743</t>
  </si>
  <si>
    <t>AS-58741</t>
  </si>
  <si>
    <t>AS-58740</t>
  </si>
  <si>
    <t>RF-43391</t>
  </si>
  <si>
    <t>RF-43390</t>
  </si>
  <si>
    <t>RF-43389</t>
  </si>
  <si>
    <t>RF-43388</t>
  </si>
  <si>
    <t>AS-58788</t>
  </si>
  <si>
    <t>RF-43387</t>
  </si>
  <si>
    <t>AS-58787</t>
  </si>
  <si>
    <t>RF-43386</t>
  </si>
  <si>
    <t>RF-43385</t>
  </si>
  <si>
    <t>RF-43384</t>
  </si>
  <si>
    <t>AS-58784</t>
  </si>
  <si>
    <t>RF-43383</t>
  </si>
  <si>
    <t>RF-43382</t>
  </si>
  <si>
    <t>AS-58772</t>
  </si>
  <si>
    <t>A-587771</t>
  </si>
  <si>
    <t>AS-58767</t>
  </si>
  <si>
    <t>AS-58766</t>
  </si>
  <si>
    <t>AS-58765</t>
  </si>
  <si>
    <t>AS-58764</t>
  </si>
  <si>
    <t>AS-58763</t>
  </si>
  <si>
    <t>AS-58762</t>
  </si>
  <si>
    <t>AS-58761</t>
  </si>
  <si>
    <t>AS-58759</t>
  </si>
  <si>
    <t>AS-58757</t>
  </si>
  <si>
    <t>AS-58751</t>
  </si>
  <si>
    <t>AS-58749</t>
  </si>
  <si>
    <t>AS-58748</t>
  </si>
  <si>
    <t>AS-58747</t>
  </si>
  <si>
    <t>AS-58746</t>
  </si>
  <si>
    <t>AR-16048</t>
  </si>
  <si>
    <t>AR-16046</t>
  </si>
  <si>
    <t>RF-43411</t>
  </si>
  <si>
    <t>RF-43410</t>
  </si>
  <si>
    <t>RF-43409</t>
  </si>
  <si>
    <t>RF-43408</t>
  </si>
  <si>
    <t>RF-43407</t>
  </si>
  <si>
    <t>RF-43406</t>
  </si>
  <si>
    <t>RF-43405</t>
  </si>
  <si>
    <t>RF-43404</t>
  </si>
  <si>
    <t>RF-43403</t>
  </si>
  <si>
    <t>RF-43402</t>
  </si>
  <si>
    <t>RF-43401</t>
  </si>
  <si>
    <t>RF-43400</t>
  </si>
  <si>
    <t>RF-43399</t>
  </si>
  <si>
    <t>RF-43398</t>
  </si>
  <si>
    <t>RF-43397</t>
  </si>
  <si>
    <t>RF-43395</t>
  </si>
  <si>
    <t>RF-43394</t>
  </si>
  <si>
    <t>RF-43393</t>
  </si>
  <si>
    <t>AS-58793</t>
  </si>
  <si>
    <t>RF-43392</t>
  </si>
  <si>
    <t>AS-58792</t>
  </si>
  <si>
    <t>AR-16056</t>
  </si>
  <si>
    <t>AR-156054</t>
  </si>
  <si>
    <t>AR-16053</t>
  </si>
  <si>
    <t>AR-16050</t>
  </si>
  <si>
    <t>AS-58778</t>
  </si>
  <si>
    <t>AS-58777</t>
  </si>
  <si>
    <t>AS-58776</t>
  </si>
  <si>
    <t>AS-58775</t>
  </si>
  <si>
    <t>AS-58774</t>
  </si>
  <si>
    <t>AS-58773</t>
  </si>
  <si>
    <t>RF-43417</t>
  </si>
  <si>
    <t>RF-43416</t>
  </si>
  <si>
    <t>RF-434156</t>
  </si>
  <si>
    <t>RF-43414</t>
  </si>
  <si>
    <t>RF-43413</t>
  </si>
  <si>
    <t>R-F43412</t>
  </si>
  <si>
    <t>AS-58798</t>
  </si>
  <si>
    <t>AS-58797</t>
  </si>
  <si>
    <t>AS-58796</t>
  </si>
  <si>
    <t>AS-58795</t>
  </si>
  <si>
    <t>AS-58794</t>
  </si>
  <si>
    <t>AS-58790</t>
  </si>
  <si>
    <t>AS-58789</t>
  </si>
  <si>
    <t>AS-58786</t>
  </si>
  <si>
    <t>AS-58785</t>
  </si>
  <si>
    <t>AS-58753</t>
  </si>
  <si>
    <t>AS-58782</t>
  </si>
  <si>
    <t>AS-58781</t>
  </si>
  <si>
    <t>AS-58780</t>
  </si>
  <si>
    <t>AS-58779</t>
  </si>
  <si>
    <t>AR-16059</t>
  </si>
  <si>
    <t>RF-43421</t>
  </si>
  <si>
    <t>RF-43420</t>
  </si>
  <si>
    <t>RF-43419</t>
  </si>
  <si>
    <t>AR-16065</t>
  </si>
  <si>
    <t>AR-16062</t>
  </si>
  <si>
    <t>AS-58834</t>
  </si>
  <si>
    <t>AS-58819</t>
  </si>
  <si>
    <t>AS-58817</t>
  </si>
  <si>
    <t>AS-58816</t>
  </si>
  <si>
    <t>AS-58814</t>
  </si>
  <si>
    <t>AS58812</t>
  </si>
  <si>
    <t>AS-58811</t>
  </si>
  <si>
    <t>AS-58810</t>
  </si>
  <si>
    <t>AS-58804</t>
  </si>
  <si>
    <t>AS-58803</t>
  </si>
  <si>
    <t>AS-58800</t>
  </si>
  <si>
    <t>AS-58799</t>
  </si>
  <si>
    <t>RF-43432</t>
  </si>
  <si>
    <t>RF-43431</t>
  </si>
  <si>
    <t>RF-43430</t>
  </si>
  <si>
    <t>RF-43429</t>
  </si>
  <si>
    <t>RF-43428</t>
  </si>
  <si>
    <t>RF-43427</t>
  </si>
  <si>
    <t>RF-43425</t>
  </si>
  <si>
    <t>RF-43424</t>
  </si>
  <si>
    <t>RF-43423</t>
  </si>
  <si>
    <t>AS-58913</t>
  </si>
  <si>
    <t>RF-43422</t>
  </si>
  <si>
    <t>AS-58884</t>
  </si>
  <si>
    <t>AS-58883</t>
  </si>
  <si>
    <t>AS-58882</t>
  </si>
  <si>
    <t>AS-58881</t>
  </si>
  <si>
    <t>AS-58880</t>
  </si>
  <si>
    <t>AS-58878</t>
  </si>
  <si>
    <t>AS-58876</t>
  </si>
  <si>
    <t>AS-58875</t>
  </si>
  <si>
    <t>AS-58874</t>
  </si>
  <si>
    <t>AS-58873</t>
  </si>
  <si>
    <t>AS-58872</t>
  </si>
  <si>
    <t>AS-58842</t>
  </si>
  <si>
    <t>AS-58841</t>
  </si>
  <si>
    <t>AS-58840</t>
  </si>
  <si>
    <t>AS-58838</t>
  </si>
  <si>
    <t>AS-58837</t>
  </si>
  <si>
    <t>AS-58836</t>
  </si>
  <si>
    <t>AS-58835</t>
  </si>
  <si>
    <t>AR-16068</t>
  </si>
  <si>
    <t>RF-43442</t>
  </si>
  <si>
    <t>RF-43441</t>
  </si>
  <si>
    <t>RF-43440</t>
  </si>
  <si>
    <t>RF-43439</t>
  </si>
  <si>
    <t>RF-43438</t>
  </si>
  <si>
    <t>RF-43437</t>
  </si>
  <si>
    <t>RF-43436</t>
  </si>
  <si>
    <t>AR-16082</t>
  </si>
  <si>
    <t>AR-16081</t>
  </si>
  <si>
    <t>AR-16080</t>
  </si>
  <si>
    <t>AR-16079</t>
  </si>
  <si>
    <t>AR-16078</t>
  </si>
  <si>
    <t>AR-16076</t>
  </si>
  <si>
    <t>AR-16075</t>
  </si>
  <si>
    <t>AS-58916</t>
  </si>
  <si>
    <t>AS-58915</t>
  </si>
  <si>
    <t>AS-58914</t>
  </si>
  <si>
    <t>AS-58912</t>
  </si>
  <si>
    <t>AS-58911</t>
  </si>
  <si>
    <t>AS-58910</t>
  </si>
  <si>
    <t>AS-58909</t>
  </si>
  <si>
    <t>AS-58908</t>
  </si>
  <si>
    <t>AS-58907</t>
  </si>
  <si>
    <t>AS-58906</t>
  </si>
  <si>
    <t>AS-58905</t>
  </si>
  <si>
    <t>AS-58904</t>
  </si>
  <si>
    <t>AS-58903</t>
  </si>
  <si>
    <t>AS-58902</t>
  </si>
  <si>
    <t>AS-58901</t>
  </si>
  <si>
    <t>AS-58900</t>
  </si>
  <si>
    <t>AS-58899</t>
  </si>
  <si>
    <t>AS-58898+</t>
  </si>
  <si>
    <t>AS-58897</t>
  </si>
  <si>
    <t>AS-58896</t>
  </si>
  <si>
    <t>AS-58895</t>
  </si>
  <si>
    <t>AS-58894</t>
  </si>
  <si>
    <t>AS-58893</t>
  </si>
  <si>
    <t>AS-58892</t>
  </si>
  <si>
    <t>AS-58891</t>
  </si>
  <si>
    <t>AS-58890</t>
  </si>
  <si>
    <t>AS-58889</t>
  </si>
  <si>
    <t>AS-58888</t>
  </si>
  <si>
    <t>AS-58887</t>
  </si>
  <si>
    <t>AS-58886</t>
  </si>
  <si>
    <t>RF-43444</t>
  </si>
  <si>
    <t>RF-43443</t>
  </si>
  <si>
    <t>RF-43456</t>
  </si>
  <si>
    <t>RF-43455</t>
  </si>
  <si>
    <t>RF-43454</t>
  </si>
  <si>
    <t>RF-43453</t>
  </si>
  <si>
    <t>RF-43452</t>
  </si>
  <si>
    <t>RF-43451</t>
  </si>
  <si>
    <t>RF-43450</t>
  </si>
  <si>
    <t>RF-43449</t>
  </si>
  <si>
    <t>RF-43448</t>
  </si>
  <si>
    <t>RF-43447</t>
  </si>
  <si>
    <t>RF-43446</t>
  </si>
  <si>
    <t>RF-43445</t>
  </si>
  <si>
    <t>RF-43476</t>
  </si>
  <si>
    <t>RF-43475</t>
  </si>
  <si>
    <t>RF-43474</t>
  </si>
  <si>
    <t>RF-43473</t>
  </si>
  <si>
    <t>RF-43472</t>
  </si>
  <si>
    <t>RF-43471</t>
  </si>
  <si>
    <t>RF-43470</t>
  </si>
  <si>
    <t>RF-43469</t>
  </si>
  <si>
    <t>RF-43468</t>
  </si>
  <si>
    <t>RF-43467</t>
  </si>
  <si>
    <t>RF-43466</t>
  </si>
  <si>
    <t>RF-43465</t>
  </si>
  <si>
    <t>RF-43464</t>
  </si>
  <si>
    <t>RF-43462</t>
  </si>
  <si>
    <t>RF-43461</t>
  </si>
  <si>
    <t>RF-43460</t>
  </si>
  <si>
    <t>RF-43459</t>
  </si>
  <si>
    <t>RF-43458</t>
  </si>
  <si>
    <t>RF-43457</t>
  </si>
  <si>
    <t>AR-16086</t>
  </si>
  <si>
    <t>AR-16085</t>
  </si>
  <si>
    <t>AR-16084</t>
  </si>
  <si>
    <t>AS-58926</t>
  </si>
  <si>
    <t>AS-58924</t>
  </si>
  <si>
    <t>AS-58923</t>
  </si>
  <si>
    <t>AS-58922</t>
  </si>
  <si>
    <t>AS-58919</t>
  </si>
  <si>
    <t>RF-43509</t>
  </si>
  <si>
    <t>RF-43508</t>
  </si>
  <si>
    <t>RF-43507</t>
  </si>
  <si>
    <t>RF-43506</t>
  </si>
  <si>
    <t>RF-43505</t>
  </si>
  <si>
    <t>RF-43504</t>
  </si>
  <si>
    <t>RF-43503</t>
  </si>
  <si>
    <t>RF-43502</t>
  </si>
  <si>
    <t>RF-43501</t>
  </si>
  <si>
    <t>RF-43500</t>
  </si>
  <si>
    <t>RF-43499</t>
  </si>
  <si>
    <t>RF-43498</t>
  </si>
  <si>
    <t>RF-43497</t>
  </si>
  <si>
    <t>RF-43496</t>
  </si>
  <si>
    <t>RF-43495</t>
  </si>
  <si>
    <t>RF-43494</t>
  </si>
  <si>
    <t>AR-16094</t>
  </si>
  <si>
    <t>AR-16092</t>
  </si>
  <si>
    <t>AR-16090</t>
  </si>
  <si>
    <t>AS-58964</t>
  </si>
  <si>
    <t>AS-58963</t>
  </si>
  <si>
    <t>AS-58962</t>
  </si>
  <si>
    <t>AS-58961</t>
  </si>
  <si>
    <t>AS-58960</t>
  </si>
  <si>
    <t>AS-58959</t>
  </si>
  <si>
    <t>AS-58955</t>
  </si>
  <si>
    <t>AS-58954</t>
  </si>
  <si>
    <t>AS-58952</t>
  </si>
  <si>
    <t>AS-58951</t>
  </si>
  <si>
    <t>AS-58950</t>
  </si>
  <si>
    <t>AS-58948</t>
  </si>
  <si>
    <t>AS-58947</t>
  </si>
  <si>
    <t>AS-58946</t>
  </si>
  <si>
    <t>AS-58945</t>
  </si>
  <si>
    <t>RF-43493</t>
  </si>
  <si>
    <t>RF-43492</t>
  </si>
  <si>
    <t>RF-43491</t>
  </si>
  <si>
    <t>RF-43489</t>
  </si>
  <si>
    <t>RF-43486</t>
  </si>
  <si>
    <t>RF-43485</t>
  </si>
  <si>
    <t>RF-43484</t>
  </si>
  <si>
    <t>RF-43483</t>
  </si>
  <si>
    <t>RF-43482</t>
  </si>
  <si>
    <t>RF-43481</t>
  </si>
  <si>
    <t>RF-43480</t>
  </si>
  <si>
    <t>RF-43479</t>
  </si>
  <si>
    <t>AS-58979</t>
  </si>
  <si>
    <t>RF-43477</t>
  </si>
  <si>
    <t>AS-58944</t>
  </si>
  <si>
    <t>AS-58943</t>
  </si>
  <si>
    <t>AS-58942</t>
  </si>
  <si>
    <t>AS-58937</t>
  </si>
  <si>
    <t>AS-58936</t>
  </si>
  <si>
    <t>AS58935</t>
  </si>
  <si>
    <t>AS-58934</t>
  </si>
  <si>
    <t>AR-16088</t>
  </si>
  <si>
    <t>RF-43531</t>
  </si>
  <si>
    <t>RF-43530</t>
  </si>
  <si>
    <t>RF-43529</t>
  </si>
  <si>
    <t>RF-43528</t>
  </si>
  <si>
    <t>RF-43527</t>
  </si>
  <si>
    <t>RF-43510</t>
  </si>
  <si>
    <t>RF-43526</t>
  </si>
  <si>
    <t>RF-43516</t>
  </si>
  <si>
    <t>RF-43525</t>
  </si>
  <si>
    <t>RF-43524</t>
  </si>
  <si>
    <t>RF-43522</t>
  </si>
  <si>
    <t>RF-43520</t>
  </si>
  <si>
    <t>RF-43545</t>
  </si>
  <si>
    <t>RF-43572</t>
  </si>
  <si>
    <t>RF-43517</t>
  </si>
  <si>
    <t>AR-16098</t>
  </si>
  <si>
    <t>AR-16097</t>
  </si>
  <si>
    <t>AS-59018</t>
  </si>
  <si>
    <t>AS-59017</t>
  </si>
  <si>
    <t>AS-59013</t>
  </si>
  <si>
    <t>AS-59012</t>
  </si>
  <si>
    <t>AS-59011</t>
  </si>
  <si>
    <t>AS-59010</t>
  </si>
  <si>
    <t>AS-59009</t>
  </si>
  <si>
    <t>AS-59008</t>
  </si>
  <si>
    <t>AS-59007</t>
  </si>
  <si>
    <t>AS-59006</t>
  </si>
  <si>
    <t>AS-59005</t>
  </si>
  <si>
    <t>AS-59004</t>
  </si>
  <si>
    <t>AS-59001</t>
  </si>
  <si>
    <t>AS-59003</t>
  </si>
  <si>
    <t>AS-59002</t>
  </si>
  <si>
    <t>AS-59000</t>
  </si>
  <si>
    <t>AS-58999</t>
  </si>
  <si>
    <t>AS-58998</t>
  </si>
  <si>
    <t>AS-58997</t>
  </si>
  <si>
    <t>RF-43515</t>
  </si>
  <si>
    <t>RF-43514</t>
  </si>
  <si>
    <t>RF-43513</t>
  </si>
  <si>
    <t>AS-58996</t>
  </si>
  <si>
    <t>AS-58995</t>
  </si>
  <si>
    <t>AS-58972</t>
  </si>
  <si>
    <t>AS-58971</t>
  </si>
  <si>
    <t>AS-58970</t>
  </si>
  <si>
    <t>AS-58967</t>
  </si>
  <si>
    <t>AS-58965</t>
  </si>
  <si>
    <t>AR-16095</t>
  </si>
  <si>
    <t>RF-43553</t>
  </si>
  <si>
    <t>RF-43552</t>
  </si>
  <si>
    <t>RF-43551</t>
  </si>
  <si>
    <t>RF-435550</t>
  </si>
  <si>
    <t>RF-43549</t>
  </si>
  <si>
    <t>RF-43548</t>
  </si>
  <si>
    <t>RF-43547</t>
  </si>
  <si>
    <t>AR-16105</t>
  </si>
  <si>
    <t>AS-59048</t>
  </si>
  <si>
    <t>AS-59047</t>
  </si>
  <si>
    <t>AS-59146</t>
  </si>
  <si>
    <t>AS-59045</t>
  </si>
  <si>
    <t>AS-59044</t>
  </si>
  <si>
    <t>AS-59043</t>
  </si>
  <si>
    <t>AS-59042</t>
  </si>
  <si>
    <t>RF-43542</t>
  </si>
  <si>
    <t>AS-59041</t>
  </si>
  <si>
    <t>AS-59040</t>
  </si>
  <si>
    <t>AS-59039</t>
  </si>
  <si>
    <t>AS-59038</t>
  </si>
  <si>
    <t>AS-59037</t>
  </si>
  <si>
    <t>AS-59036</t>
  </si>
  <si>
    <t>AS-59035</t>
  </si>
  <si>
    <t>AS-59034</t>
  </si>
  <si>
    <t>AS-59033</t>
  </si>
  <si>
    <t>AS-59032</t>
  </si>
  <si>
    <t>AS-59031</t>
  </si>
  <si>
    <t>AS-59030</t>
  </si>
  <si>
    <t>AS-43544</t>
  </si>
  <si>
    <t>RF-43543</t>
  </si>
  <si>
    <t>R-F43541</t>
  </si>
  <si>
    <t>RF-43538</t>
  </si>
  <si>
    <t>RF-43535</t>
  </si>
  <si>
    <t>AS-59026</t>
  </si>
  <si>
    <t>AS-59025</t>
  </si>
  <si>
    <t>AS-59024</t>
  </si>
  <si>
    <t>AS-59023</t>
  </si>
  <si>
    <t>AS-59022</t>
  </si>
  <si>
    <t>AS-59021</t>
  </si>
  <si>
    <t>AS-16104</t>
  </si>
  <si>
    <t>AR-16103</t>
  </si>
  <si>
    <t>AR-16100</t>
  </si>
  <si>
    <t>AR-16099</t>
  </si>
  <si>
    <t>RF-43578</t>
  </si>
  <si>
    <t>RF-43577</t>
  </si>
  <si>
    <t>RF-43576</t>
  </si>
  <si>
    <t>AS-59078</t>
  </si>
  <si>
    <t>RF-43575</t>
  </si>
  <si>
    <t>AS-59075</t>
  </si>
  <si>
    <t>RF-43574</t>
  </si>
  <si>
    <t>RF-43573</t>
  </si>
  <si>
    <t>AS-59072</t>
  </si>
  <si>
    <t>RF-43571</t>
  </si>
  <si>
    <t>RF-43570</t>
  </si>
  <si>
    <t>R-F43569</t>
  </si>
  <si>
    <t>RF-43568</t>
  </si>
  <si>
    <t>RF-43565</t>
  </si>
  <si>
    <t>RF-43564</t>
  </si>
  <si>
    <t>RF-43563</t>
  </si>
  <si>
    <t>RF-43562</t>
  </si>
  <si>
    <t>RF-43561</t>
  </si>
  <si>
    <t>RF-43560</t>
  </si>
  <si>
    <t>RF-43559</t>
  </si>
  <si>
    <t>AR-16112</t>
  </si>
  <si>
    <t>AS-59087</t>
  </si>
  <si>
    <t>RF-43587</t>
  </si>
  <si>
    <t>AS-59086</t>
  </si>
  <si>
    <t>AS-59085</t>
  </si>
  <si>
    <t>RF-43585</t>
  </si>
  <si>
    <t>AS-59084</t>
  </si>
  <si>
    <t>RF-43584</t>
  </si>
  <si>
    <t>AS-59083</t>
  </si>
  <si>
    <t>AS-59082</t>
  </si>
  <si>
    <t>AS-59081</t>
  </si>
  <si>
    <t>AS-59080</t>
  </si>
  <si>
    <t>AS-59079</t>
  </si>
  <si>
    <t>AS59077</t>
  </si>
  <si>
    <t>AS-59076</t>
  </si>
  <si>
    <t>AS-59074</t>
  </si>
  <si>
    <t>AS-59073</t>
  </si>
  <si>
    <t>AS-59071</t>
  </si>
  <si>
    <t>AS-59070</t>
  </si>
  <si>
    <t>AS-59069</t>
  </si>
  <si>
    <t>AS-59068</t>
  </si>
  <si>
    <t>AS-59067</t>
  </si>
  <si>
    <t>AS-59066</t>
  </si>
  <si>
    <t>RF-43558</t>
  </si>
  <si>
    <t>RF-43557</t>
  </si>
  <si>
    <t>RF-43556</t>
  </si>
  <si>
    <t>RF-43555</t>
  </si>
  <si>
    <t>RF-43554</t>
  </si>
  <si>
    <t>AS-59053</t>
  </si>
  <si>
    <t>AS-590562</t>
  </si>
  <si>
    <t>AS-59061</t>
  </si>
  <si>
    <t>AS-59060</t>
  </si>
  <si>
    <t>AS-59059</t>
  </si>
  <si>
    <t>AS-59058</t>
  </si>
  <si>
    <t>AS-59056</t>
  </si>
  <si>
    <t>AS-59052</t>
  </si>
  <si>
    <t>AS-59050</t>
  </si>
  <si>
    <t>AR16110</t>
  </si>
  <si>
    <t>AR-16109</t>
  </si>
  <si>
    <t>RF-43586</t>
  </si>
  <si>
    <t>RF-43591</t>
  </si>
  <si>
    <t>RF-43590</t>
  </si>
  <si>
    <t>RF-43589</t>
  </si>
  <si>
    <t>RF-43588</t>
  </si>
  <si>
    <t>RF-43583</t>
  </si>
  <si>
    <t>RF-43582</t>
  </si>
  <si>
    <t>RF-43581</t>
  </si>
  <si>
    <t>RF-43580</t>
  </si>
  <si>
    <t>RF-43579</t>
  </si>
  <si>
    <t>AR-16122</t>
  </si>
  <si>
    <t>AR-16119</t>
  </si>
  <si>
    <t>AR-16118</t>
  </si>
  <si>
    <t>AS-59105</t>
  </si>
  <si>
    <t>AS-59104</t>
  </si>
  <si>
    <t>AS-59103</t>
  </si>
  <si>
    <t>AS-59102</t>
  </si>
  <si>
    <t>AS-59101</t>
  </si>
  <si>
    <t>AS-59100</t>
  </si>
  <si>
    <t>AS-59099</t>
  </si>
  <si>
    <t>AS-59094</t>
  </si>
  <si>
    <t>AS-59098</t>
  </si>
  <si>
    <t>AS-59097</t>
  </si>
  <si>
    <t>AS-59096</t>
  </si>
  <si>
    <t>AS-59095</t>
  </si>
  <si>
    <t>RF-43594</t>
  </si>
  <si>
    <t>AS-59093</t>
  </si>
  <si>
    <t>RF-43593</t>
  </si>
  <si>
    <t>AS-59092</t>
  </si>
  <si>
    <t>RF-43592</t>
  </si>
  <si>
    <t>AS-59091</t>
  </si>
  <si>
    <t>AS-59090</t>
  </si>
  <si>
    <t>AS-59089</t>
  </si>
  <si>
    <t>AS-59088</t>
  </si>
  <si>
    <t>RF-43619</t>
  </si>
  <si>
    <t>RF-43618</t>
  </si>
  <si>
    <t>RF-43617</t>
  </si>
  <si>
    <t>RF-43616</t>
  </si>
  <si>
    <t>RF-43615</t>
  </si>
  <si>
    <t>RF-43614</t>
  </si>
  <si>
    <t>RF-43613</t>
  </si>
  <si>
    <t>RF-43612</t>
  </si>
  <si>
    <t>RF-43611</t>
  </si>
  <si>
    <t>RF-43610</t>
  </si>
  <si>
    <t>RF-43609</t>
  </si>
  <si>
    <t>RF-43608</t>
  </si>
  <si>
    <t>RF-43607</t>
  </si>
  <si>
    <t>RF-43606</t>
  </si>
  <si>
    <t>RF-43603</t>
  </si>
  <si>
    <t>RF-43602</t>
  </si>
  <si>
    <t>RF-43601</t>
  </si>
  <si>
    <t>AS-59142</t>
  </si>
  <si>
    <t>AS-59141</t>
  </si>
  <si>
    <t>AS-59140</t>
  </si>
  <si>
    <t>AS-59139</t>
  </si>
  <si>
    <t>AS-59138</t>
  </si>
  <si>
    <t>AS-59117</t>
  </si>
  <si>
    <t>AS-59116</t>
  </si>
  <si>
    <t>AS-59109</t>
  </si>
  <si>
    <t>AS-59115</t>
  </si>
  <si>
    <t>AS-59114</t>
  </si>
  <si>
    <t>RF-43599</t>
  </si>
  <si>
    <t>RF-43598</t>
  </si>
  <si>
    <t>AR-16126</t>
  </si>
  <si>
    <t>AR-16123</t>
  </si>
  <si>
    <t>AS-59113</t>
  </si>
  <si>
    <t>AS-59112</t>
  </si>
  <si>
    <t>AS-59111</t>
  </si>
  <si>
    <t>AS-59110</t>
  </si>
  <si>
    <t>AS-59108</t>
  </si>
  <si>
    <t>AS-59107</t>
  </si>
  <si>
    <t>AS-59106</t>
  </si>
  <si>
    <t>RF-43651</t>
  </si>
  <si>
    <t>RF-43650</t>
  </si>
  <si>
    <t>RF-43649</t>
  </si>
  <si>
    <t>RF-43648</t>
  </si>
  <si>
    <t>RF-43647</t>
  </si>
  <si>
    <t>RF-43645</t>
  </si>
  <si>
    <t>RF-43644</t>
  </si>
  <si>
    <t>RF-43643</t>
  </si>
  <si>
    <t>RF-43642</t>
  </si>
  <si>
    <t>RF-43641</t>
  </si>
  <si>
    <t>RF-43640</t>
  </si>
  <si>
    <t>RF-43639</t>
  </si>
  <si>
    <t>RF-43638</t>
  </si>
  <si>
    <t>RF-43637</t>
  </si>
  <si>
    <t>RF-43636</t>
  </si>
  <si>
    <t>RF-43634</t>
  </si>
  <si>
    <t>AS-59184</t>
  </si>
  <si>
    <t>AS-59183</t>
  </si>
  <si>
    <t>AS-59182</t>
  </si>
  <si>
    <t>AS-59181</t>
  </si>
  <si>
    <t>AS-59180</t>
  </si>
  <si>
    <t>AS-59179</t>
  </si>
  <si>
    <t>AS-59178</t>
  </si>
  <si>
    <t>AS-59177</t>
  </si>
  <si>
    <t>AS-59176</t>
  </si>
  <si>
    <t>AS-59175</t>
  </si>
  <si>
    <t>AS-59173</t>
  </si>
  <si>
    <t>AS-59172</t>
  </si>
  <si>
    <t>AS-59170</t>
  </si>
  <si>
    <t>AS-59168</t>
  </si>
  <si>
    <t>AS-59167</t>
  </si>
  <si>
    <t>AS-59166</t>
  </si>
  <si>
    <t>AS-59165</t>
  </si>
  <si>
    <t>AS-59164</t>
  </si>
  <si>
    <t>AR-16132</t>
  </si>
  <si>
    <t>RF-43633</t>
  </si>
  <si>
    <t>RF-43632</t>
  </si>
  <si>
    <t>RF-43631</t>
  </si>
  <si>
    <t>RF-43630</t>
  </si>
  <si>
    <t>RF-43629</t>
  </si>
  <si>
    <t>RF-43628</t>
  </si>
  <si>
    <t>RF-43627</t>
  </si>
  <si>
    <t>RF-43626</t>
  </si>
  <si>
    <t>RF-43625</t>
  </si>
  <si>
    <t>RF-43624</t>
  </si>
  <si>
    <t>RF-43623</t>
  </si>
  <si>
    <t>RF-43622</t>
  </si>
  <si>
    <t>RF-43621</t>
  </si>
  <si>
    <t>RF-43620</t>
  </si>
  <si>
    <t>AR-16131</t>
  </si>
  <si>
    <t>AR-16130</t>
  </si>
  <si>
    <t>AS-59154</t>
  </si>
  <si>
    <t>AS-59151</t>
  </si>
  <si>
    <t>AS-59150</t>
  </si>
  <si>
    <t>AS-59149</t>
  </si>
  <si>
    <t>AS-59148</t>
  </si>
  <si>
    <t>AS-59147</t>
  </si>
  <si>
    <t>AS-59144</t>
  </si>
  <si>
    <t>RF-43669</t>
  </si>
  <si>
    <t>RF-43668</t>
  </si>
  <si>
    <t>RF-43670</t>
  </si>
  <si>
    <t>RF-43667</t>
  </si>
  <si>
    <t>RF-43666</t>
  </si>
  <si>
    <t>RF-43665</t>
  </si>
  <si>
    <t>RF-43664</t>
  </si>
  <si>
    <t>RF-43663</t>
  </si>
  <si>
    <t>RF-43662</t>
  </si>
  <si>
    <t>RF-43661</t>
  </si>
  <si>
    <t>AS-59276</t>
  </si>
  <si>
    <t>AS-59275</t>
  </si>
  <si>
    <t>AS-59274</t>
  </si>
  <si>
    <t>AS-59273</t>
  </si>
  <si>
    <t>AS-59272</t>
  </si>
  <si>
    <t>AS-59571</t>
  </si>
  <si>
    <t>AS-59270</t>
  </si>
  <si>
    <t>AS-59269</t>
  </si>
  <si>
    <t>AS-59268</t>
  </si>
  <si>
    <t>AS-59267</t>
  </si>
  <si>
    <t>AS-59265</t>
  </si>
  <si>
    <t>AS-59264</t>
  </si>
  <si>
    <t>AS-59263</t>
  </si>
  <si>
    <t>AS-59262</t>
  </si>
  <si>
    <t>AS-59261</t>
  </si>
  <si>
    <t>AS-59260</t>
  </si>
  <si>
    <t>AS-59259</t>
  </si>
  <si>
    <t>AS-59258</t>
  </si>
  <si>
    <t>AS-59257</t>
  </si>
  <si>
    <t>AS-59256</t>
  </si>
  <si>
    <t>AS-59255</t>
  </si>
  <si>
    <t>AS-59254</t>
  </si>
  <si>
    <t>AS-59253</t>
  </si>
  <si>
    <t>AS-59251</t>
  </si>
  <si>
    <t>AS-59250</t>
  </si>
  <si>
    <t>AS-59249</t>
  </si>
  <si>
    <t>AS-59248</t>
  </si>
  <si>
    <t>AR-16137</t>
  </si>
  <si>
    <t>RF-43660</t>
  </si>
  <si>
    <t>RF-43659</t>
  </si>
  <si>
    <t>RF-43658</t>
  </si>
  <si>
    <t>RF-43657</t>
  </si>
  <si>
    <t>RF-43656</t>
  </si>
  <si>
    <t>RF-43655</t>
  </si>
  <si>
    <t>RF-43654</t>
  </si>
  <si>
    <t>RF-43653</t>
  </si>
  <si>
    <t>RF-43652</t>
  </si>
  <si>
    <t>AR-16136</t>
  </si>
  <si>
    <t>AR-16134</t>
  </si>
  <si>
    <t>AR-16133</t>
  </si>
  <si>
    <t>AS-59222</t>
  </si>
  <si>
    <t>AS-59204</t>
  </si>
  <si>
    <t>AS-59203</t>
  </si>
  <si>
    <t>AS-59202</t>
  </si>
  <si>
    <t>AS-59201</t>
  </si>
  <si>
    <t>AS-59200</t>
  </si>
  <si>
    <t>AS-59119</t>
  </si>
  <si>
    <t>AS-59208</t>
  </si>
  <si>
    <t>RF-43696</t>
  </si>
  <si>
    <t>RF-43695</t>
  </si>
  <si>
    <t>RF-43694</t>
  </si>
  <si>
    <t>RF-43693</t>
  </si>
  <si>
    <t>RF-43692</t>
  </si>
  <si>
    <t>RF-43691</t>
  </si>
  <si>
    <t>RF-43690</t>
  </si>
  <si>
    <t>RF-43689</t>
  </si>
  <si>
    <t>RF-43688</t>
  </si>
  <si>
    <t>RF-43687</t>
  </si>
  <si>
    <t>RF-43685</t>
  </si>
  <si>
    <t>RF-43684</t>
  </si>
  <si>
    <t>RF-43683</t>
  </si>
  <si>
    <t>RF-43682</t>
  </si>
  <si>
    <t>RF-43681</t>
  </si>
  <si>
    <t>RF-43680</t>
  </si>
  <si>
    <t>RF-43679</t>
  </si>
  <si>
    <t>RF-43678</t>
  </si>
  <si>
    <t>RF-43677</t>
  </si>
  <si>
    <t>RF-43676</t>
  </si>
  <si>
    <t>RF-43675</t>
  </si>
  <si>
    <t>RF-43674</t>
  </si>
  <si>
    <t>RF-43673</t>
  </si>
  <si>
    <t>AS-59330</t>
  </si>
  <si>
    <t>AS-59328</t>
  </si>
  <si>
    <t>AS-59327</t>
  </si>
  <si>
    <t>AS-59326</t>
  </si>
  <si>
    <t>AS-59325</t>
  </si>
  <si>
    <t>AS-59324</t>
  </si>
  <si>
    <t>AS-59323</t>
  </si>
  <si>
    <t>AS-59320</t>
  </si>
  <si>
    <t>AS-59319</t>
  </si>
  <si>
    <t>AS-59318</t>
  </si>
  <si>
    <t>AS-59314</t>
  </si>
  <si>
    <t>AS-59313</t>
  </si>
  <si>
    <t>AS-59312</t>
  </si>
  <si>
    <t>AS-59311</t>
  </si>
  <si>
    <t>AS-59310</t>
  </si>
  <si>
    <t>AS-59309</t>
  </si>
  <si>
    <t>AR-16149</t>
  </si>
  <si>
    <t>AR-16147</t>
  </si>
  <si>
    <t>AR-16146</t>
  </si>
  <si>
    <t>RF-43672</t>
  </si>
  <si>
    <t>RF-43671</t>
  </si>
  <si>
    <t>AR-16143</t>
  </si>
  <si>
    <t>AR-16141</t>
  </si>
  <si>
    <t>AR-16140</t>
  </si>
  <si>
    <t>AS-59308</t>
  </si>
  <si>
    <t>AS-59307</t>
  </si>
  <si>
    <t>AS-59306</t>
  </si>
  <si>
    <t>AS-59305</t>
  </si>
  <si>
    <t>AS-59304</t>
  </si>
  <si>
    <t>AS-59289</t>
  </si>
  <si>
    <t>AS-59278</t>
  </si>
  <si>
    <t>AS-59277</t>
  </si>
  <si>
    <t>RF-43715</t>
  </si>
  <si>
    <t>RF-43713</t>
  </si>
  <si>
    <t>RF-43711</t>
  </si>
  <si>
    <t>RF-43710</t>
  </si>
  <si>
    <t>RF-43709</t>
  </si>
  <si>
    <t>RF-43708</t>
  </si>
  <si>
    <t>RF-43706</t>
  </si>
  <si>
    <t>RF-43705</t>
  </si>
  <si>
    <t>RF-43704</t>
  </si>
  <si>
    <t>RF-43703</t>
  </si>
  <si>
    <t>RF-43702</t>
  </si>
  <si>
    <t>RF-43701</t>
  </si>
  <si>
    <t>RF-43700</t>
  </si>
  <si>
    <t>RF-43699</t>
  </si>
  <si>
    <t>RF-43698</t>
  </si>
  <si>
    <t>RF-43697</t>
  </si>
  <si>
    <t>AS-59361</t>
  </si>
  <si>
    <t>AS-59360</t>
  </si>
  <si>
    <t>AS-59359</t>
  </si>
  <si>
    <t>AS-59358</t>
  </si>
  <si>
    <t>AS-59357</t>
  </si>
  <si>
    <t>AS-59356</t>
  </si>
  <si>
    <t>AS-59355</t>
  </si>
  <si>
    <t>AS-59354</t>
  </si>
  <si>
    <t>AS-59353</t>
  </si>
  <si>
    <t>AS-59352</t>
  </si>
  <si>
    <t>AS-59350</t>
  </si>
  <si>
    <t>AS-59349</t>
  </si>
  <si>
    <t>AS-59348</t>
  </si>
  <si>
    <t>AS-59347</t>
  </si>
  <si>
    <t>AS-59346</t>
  </si>
  <si>
    <t>AS-59345</t>
  </si>
  <si>
    <t>AS-59344</t>
  </si>
  <si>
    <t>AS-59343</t>
  </si>
  <si>
    <t>AS-59342</t>
  </si>
  <si>
    <t>AS-59341</t>
  </si>
  <si>
    <t>AS-59340</t>
  </si>
  <si>
    <t>AS-59339</t>
  </si>
  <si>
    <t>AS-59338</t>
  </si>
  <si>
    <t>AS-59337</t>
  </si>
  <si>
    <t>AS-59336</t>
  </si>
  <si>
    <t>AS-59335</t>
  </si>
  <si>
    <t>AS-59334</t>
  </si>
  <si>
    <t>AS-59333</t>
  </si>
  <si>
    <t>AS-59331</t>
  </si>
  <si>
    <t>AR-16160</t>
  </si>
  <si>
    <t>AR-16157</t>
  </si>
  <si>
    <t>AR-16156</t>
  </si>
  <si>
    <t>AR-16150</t>
  </si>
  <si>
    <t>RF-43716</t>
  </si>
  <si>
    <t>RF-43727</t>
  </si>
  <si>
    <t>RF-43726</t>
  </si>
  <si>
    <t>RF-43725</t>
  </si>
  <si>
    <t>RF-43724</t>
  </si>
  <si>
    <t>RF-43723</t>
  </si>
  <si>
    <t>RF-43722</t>
  </si>
  <si>
    <t>RF-43721</t>
  </si>
  <si>
    <t>RF-43720</t>
  </si>
  <si>
    <t>RF-43719</t>
  </si>
  <si>
    <t>RF-43718</t>
  </si>
  <si>
    <t>AS-59422</t>
  </si>
  <si>
    <t>AS-59421</t>
  </si>
  <si>
    <t>AS-59420</t>
  </si>
  <si>
    <t>AS-59419</t>
  </si>
  <si>
    <t>AR-16165</t>
  </si>
  <si>
    <t>AR-16164</t>
  </si>
  <si>
    <t>AR-16163</t>
  </si>
  <si>
    <t>AR-16162</t>
  </si>
  <si>
    <t>AR-16161</t>
  </si>
  <si>
    <t>RF-43740</t>
  </si>
  <si>
    <t>RF-43739</t>
  </si>
  <si>
    <t>RF-43738</t>
  </si>
  <si>
    <t>RF-43737</t>
  </si>
  <si>
    <t>RF-43736</t>
  </si>
  <si>
    <t>RF-43735</t>
  </si>
  <si>
    <t>RF-43734</t>
  </si>
  <si>
    <t>RF-43733</t>
  </si>
  <si>
    <t>RF-43732</t>
  </si>
  <si>
    <t>RF-43731</t>
  </si>
  <si>
    <t>RF-43729</t>
  </si>
  <si>
    <t>RF-43728</t>
  </si>
  <si>
    <t>AR-16170</t>
  </si>
  <si>
    <t>AR-16169</t>
  </si>
  <si>
    <t>AR-16168</t>
  </si>
  <si>
    <t>AR-16167</t>
  </si>
  <si>
    <t>AS-59453</t>
  </si>
  <si>
    <t>AS-59452</t>
  </si>
  <si>
    <t>AS-59451</t>
  </si>
  <si>
    <t>AS-59450</t>
  </si>
  <si>
    <t>AS-59449</t>
  </si>
  <si>
    <t>AS-59448</t>
  </si>
  <si>
    <t>AS-59447</t>
  </si>
  <si>
    <t>AS-59446</t>
  </si>
  <si>
    <t>AS-59445</t>
  </si>
  <si>
    <t>AS-59444</t>
  </si>
  <si>
    <t>AS-59443</t>
  </si>
  <si>
    <t>AS-59442</t>
  </si>
  <si>
    <t>AS-59441</t>
  </si>
  <si>
    <t>AS-59440</t>
  </si>
  <si>
    <t>AS-59439</t>
  </si>
  <si>
    <t>AS-59438</t>
  </si>
  <si>
    <t>AS-59437</t>
  </si>
  <si>
    <t>AS-59436</t>
  </si>
  <si>
    <t>AS-59435</t>
  </si>
  <si>
    <t>AS-59434</t>
  </si>
  <si>
    <t>AS-59433</t>
  </si>
  <si>
    <t>AS-59432</t>
  </si>
  <si>
    <t>AS-594313</t>
  </si>
  <si>
    <t>AS-59430</t>
  </si>
  <si>
    <t>AS-59429</t>
  </si>
  <si>
    <t>AS-59428</t>
  </si>
  <si>
    <t>AS-59427</t>
  </si>
  <si>
    <t>RF-43750</t>
  </si>
  <si>
    <t>RF-43749</t>
  </si>
  <si>
    <t>RF-43748</t>
  </si>
  <si>
    <t>RF-43747</t>
  </si>
  <si>
    <t>RF-43746</t>
  </si>
  <si>
    <t>RF-43745</t>
  </si>
  <si>
    <t>RF-43743</t>
  </si>
  <si>
    <t>RF-43742</t>
  </si>
  <si>
    <t>RF-43741</t>
  </si>
  <si>
    <t>AS-59465</t>
  </si>
  <si>
    <t>AS-59464</t>
  </si>
  <si>
    <t>AS-59463</t>
  </si>
  <si>
    <t>AS-59462</t>
  </si>
  <si>
    <t>AS-59461</t>
  </si>
  <si>
    <t>AS-59457</t>
  </si>
  <si>
    <t>AS-59456</t>
  </si>
  <si>
    <t>AS-59454</t>
  </si>
  <si>
    <t>AR-16175</t>
  </si>
  <si>
    <t>RF-43802</t>
  </si>
  <si>
    <t>RF-43801</t>
  </si>
  <si>
    <t>RF-43800</t>
  </si>
  <si>
    <t>RF-43799</t>
  </si>
  <si>
    <t>RF-43798</t>
  </si>
  <si>
    <t>RF-43796</t>
  </si>
  <si>
    <t>RF-43794</t>
  </si>
  <si>
    <t>RF-43793</t>
  </si>
  <si>
    <t>RF-43792</t>
  </si>
  <si>
    <t>RF-43789</t>
  </si>
  <si>
    <t>RF-43788</t>
  </si>
  <si>
    <t>RF-43783</t>
  </si>
  <si>
    <t>RF-43780</t>
  </si>
  <si>
    <t>AS-59507</t>
  </si>
  <si>
    <t>AS-59506</t>
  </si>
  <si>
    <t>AS-59505</t>
  </si>
  <si>
    <t>AS-59504</t>
  </si>
  <si>
    <t>AS-59503</t>
  </si>
  <si>
    <t>AS-59493</t>
  </si>
  <si>
    <t>AR-16182</t>
  </si>
  <si>
    <t>AR-16180</t>
  </si>
  <si>
    <t>AR-16179</t>
  </si>
  <si>
    <t>RF-43795</t>
  </si>
  <si>
    <t>RF-43847</t>
  </si>
  <si>
    <t>RF-43846</t>
  </si>
  <si>
    <t>RF-43845</t>
  </si>
  <si>
    <t>RF-43844</t>
  </si>
  <si>
    <t>RF-43843</t>
  </si>
  <si>
    <t>RF-43842</t>
  </si>
  <si>
    <t>RF-43841</t>
  </si>
  <si>
    <t>RF-43838</t>
  </si>
  <si>
    <t>RF-43837</t>
  </si>
  <si>
    <t>RF-43836</t>
  </si>
  <si>
    <t>RF-43835</t>
  </si>
  <si>
    <t>RF-43831</t>
  </si>
  <si>
    <t>RF-43833</t>
  </si>
  <si>
    <t>RF-43830</t>
  </si>
  <si>
    <t>AS-59551</t>
  </si>
  <si>
    <t>AS-59550</t>
  </si>
  <si>
    <t>AS-59534</t>
  </si>
  <si>
    <t>AS-59532</t>
  </si>
  <si>
    <t>AS-59530</t>
  </si>
  <si>
    <t>AS-59538</t>
  </si>
  <si>
    <t>AS-59527</t>
  </si>
  <si>
    <t>AS-59525</t>
  </si>
  <si>
    <t>AS-59522</t>
  </si>
  <si>
    <t>AR-16204</t>
  </si>
  <si>
    <t>AR-16203</t>
  </si>
  <si>
    <t>RF-43906</t>
  </si>
  <si>
    <t>RF-43904</t>
  </si>
  <si>
    <t>RF-43903</t>
  </si>
  <si>
    <t>RF-43902</t>
  </si>
  <si>
    <t>RF-43901</t>
  </si>
  <si>
    <t>AS-59665</t>
  </si>
  <si>
    <t>AS-59664</t>
  </si>
  <si>
    <t>AS-59663</t>
  </si>
  <si>
    <t>AS-59662</t>
  </si>
  <si>
    <t>AS-59661</t>
  </si>
  <si>
    <t>RF-43778</t>
  </si>
  <si>
    <t>RF-43777</t>
  </si>
  <si>
    <t>RF-43776</t>
  </si>
  <si>
    <t>RF-43775</t>
  </si>
  <si>
    <t>RF-43774</t>
  </si>
  <si>
    <t>RF-43773</t>
  </si>
  <si>
    <t>RF-43772</t>
  </si>
  <si>
    <t>RF-43771</t>
  </si>
  <si>
    <t>RF-43770</t>
  </si>
  <si>
    <t>RF-43769</t>
  </si>
  <si>
    <t>RF-43768</t>
  </si>
  <si>
    <t>RF-43767</t>
  </si>
  <si>
    <t>RF-43766</t>
  </si>
  <si>
    <t>RF-43765</t>
  </si>
  <si>
    <t>RF-43764</t>
  </si>
  <si>
    <t>RF-43763</t>
  </si>
  <si>
    <t>RF-43762</t>
  </si>
  <si>
    <t>RF-43761</t>
  </si>
  <si>
    <t>RF-43760</t>
  </si>
  <si>
    <t>RF-43759</t>
  </si>
  <si>
    <t>RF-43758</t>
  </si>
  <si>
    <t>RF-43757</t>
  </si>
  <si>
    <t>RF-43756</t>
  </si>
  <si>
    <t>RF-43755</t>
  </si>
  <si>
    <t>RF-43754</t>
  </si>
  <si>
    <t>RF-43753</t>
  </si>
  <si>
    <t>RF-43752</t>
  </si>
  <si>
    <t>RF-43751</t>
  </si>
  <si>
    <t>AR-16178</t>
  </si>
  <si>
    <t>AR-16177</t>
  </si>
  <si>
    <t>AS-59491</t>
  </si>
  <si>
    <t>AS-59490</t>
  </si>
  <si>
    <t>AS-59489</t>
  </si>
  <si>
    <t>AS-59488</t>
  </si>
  <si>
    <t>AS-59483</t>
  </si>
  <si>
    <t>AS-59482</t>
  </si>
  <si>
    <t>AS-59481</t>
  </si>
  <si>
    <t>AS-59480</t>
  </si>
  <si>
    <t>AS-59479</t>
  </si>
  <si>
    <t>AS-59478</t>
  </si>
  <si>
    <t>AS-59477</t>
  </si>
  <si>
    <t>AS-59476</t>
  </si>
  <si>
    <t>AS-59475</t>
  </si>
  <si>
    <t>AS-59474</t>
  </si>
  <si>
    <t>AS-59473</t>
  </si>
  <si>
    <t>AS-59472</t>
  </si>
  <si>
    <t>AS-59471</t>
  </si>
  <si>
    <t>AS-59470</t>
  </si>
  <si>
    <t>AS-59469</t>
  </si>
  <si>
    <t>AS-59468</t>
  </si>
  <si>
    <t>AS-59467</t>
  </si>
  <si>
    <t>AS-59466</t>
  </si>
  <si>
    <t>AS-43779</t>
  </si>
  <si>
    <t>RF-43828</t>
  </si>
  <si>
    <t>RF-43827</t>
  </si>
  <si>
    <t>RF-43826</t>
  </si>
  <si>
    <t>RF-43823</t>
  </si>
  <si>
    <t>RF-43822</t>
  </si>
  <si>
    <t>RF-43821</t>
  </si>
  <si>
    <t>RF-43820</t>
  </si>
  <si>
    <t>RF-43819</t>
  </si>
  <si>
    <t>RF-43818</t>
  </si>
  <si>
    <t>RF-43817</t>
  </si>
  <si>
    <t>RF-43815</t>
  </si>
  <si>
    <t>RF-43814</t>
  </si>
  <si>
    <t>RF-43813</t>
  </si>
  <si>
    <t>RF-43812</t>
  </si>
  <si>
    <t>RF-43811</t>
  </si>
  <si>
    <t>RF-43810</t>
  </si>
  <si>
    <t>RF-43809</t>
  </si>
  <si>
    <t>RF-43808</t>
  </si>
  <si>
    <t>RF-43807</t>
  </si>
  <si>
    <t>RF-43806</t>
  </si>
  <si>
    <t>RF-43805</t>
  </si>
  <si>
    <t>RF-43803</t>
  </si>
  <si>
    <t>AS-59519</t>
  </si>
  <si>
    <t>AS-59517</t>
  </si>
  <si>
    <t>AS-59515</t>
  </si>
  <si>
    <t>AS-59514</t>
  </si>
  <si>
    <t>AS-59513</t>
  </si>
  <si>
    <t>AS-59512</t>
  </si>
  <si>
    <t>AS-59511</t>
  </si>
  <si>
    <t>AS-59510</t>
  </si>
  <si>
    <t>RF-43860</t>
  </si>
  <si>
    <t>RF-43859</t>
  </si>
  <si>
    <t>RF-43858</t>
  </si>
  <si>
    <t>RF-43857</t>
  </si>
  <si>
    <t>RF-43856</t>
  </si>
  <si>
    <t>RF-43855</t>
  </si>
  <si>
    <t>RF-43854</t>
  </si>
  <si>
    <t>RF-43853</t>
  </si>
  <si>
    <t>RF-43852</t>
  </si>
  <si>
    <t>RF-43850</t>
  </si>
  <si>
    <t>RF-43849</t>
  </si>
  <si>
    <t>RF-43848</t>
  </si>
  <si>
    <t>AR-16207</t>
  </si>
  <si>
    <t>AR-16206</t>
  </si>
  <si>
    <t>AS-59601</t>
  </si>
  <si>
    <t>AS-59600</t>
  </si>
  <si>
    <t>AS-59598</t>
  </si>
  <si>
    <t>AS-59594</t>
  </si>
  <si>
    <t>AS-59593</t>
  </si>
  <si>
    <t>AS-59591</t>
  </si>
  <si>
    <t>AS-59590</t>
  </si>
  <si>
    <t>AS-59589</t>
  </si>
  <si>
    <t>AS-59588</t>
  </si>
  <si>
    <t>AS-59587</t>
  </si>
  <si>
    <t>AS-59586</t>
  </si>
  <si>
    <t>AS-59583</t>
  </si>
  <si>
    <t>AS-59582</t>
  </si>
  <si>
    <t>AS-59581</t>
  </si>
  <si>
    <t>AS-59579</t>
  </si>
  <si>
    <t>AS-59577</t>
  </si>
  <si>
    <t>AS-59552</t>
  </si>
  <si>
    <t>RF-43851</t>
  </si>
  <si>
    <t>RF-43929</t>
  </si>
  <si>
    <t>rf-43919</t>
  </si>
  <si>
    <t>RF-43918</t>
  </si>
  <si>
    <t>RF-43917</t>
  </si>
  <si>
    <t>RF-43916</t>
  </si>
  <si>
    <t>RF-43915</t>
  </si>
  <si>
    <t>RF-43914</t>
  </si>
  <si>
    <t>RF-43913</t>
  </si>
  <si>
    <t>RF-43912</t>
  </si>
  <si>
    <t>RF-43911</t>
  </si>
  <si>
    <t>RF-43907</t>
  </si>
  <si>
    <t>AR-16210</t>
  </si>
  <si>
    <t>AR-16209</t>
  </si>
  <si>
    <t>AS-59681</t>
  </si>
  <si>
    <t>AS-59680</t>
  </si>
  <si>
    <t>AS-59679</t>
  </si>
  <si>
    <t>AS-59678</t>
  </si>
  <si>
    <t>AS-59677</t>
  </si>
  <si>
    <t>AS-59676</t>
  </si>
  <si>
    <t>AS-59675</t>
  </si>
  <si>
    <t>AS-59674</t>
  </si>
  <si>
    <t>AS-59673</t>
  </si>
  <si>
    <t>AS-59672</t>
  </si>
  <si>
    <t>AS-59671</t>
  </si>
  <si>
    <t>AS-59670</t>
  </si>
  <si>
    <t>AS-59669</t>
  </si>
  <si>
    <t>AS-59668</t>
  </si>
  <si>
    <t>AS-59667</t>
  </si>
  <si>
    <t>AS-59666</t>
  </si>
  <si>
    <t>RF-43928</t>
  </si>
  <si>
    <t>RF-43927</t>
  </si>
  <si>
    <t>RF-43926</t>
  </si>
  <si>
    <t>RF-43925</t>
  </si>
  <si>
    <t>RF-43924</t>
  </si>
  <si>
    <t>RF-43922</t>
  </si>
  <si>
    <t>RF-43921</t>
  </si>
  <si>
    <t>RF-43920</t>
  </si>
  <si>
    <t>AR-16217</t>
  </si>
  <si>
    <t>AR-16215</t>
  </si>
  <si>
    <t>AS-16214</t>
  </si>
  <si>
    <t>AR-16213</t>
  </si>
  <si>
    <t>AR-16212</t>
  </si>
  <si>
    <t>AS-59701</t>
  </si>
  <si>
    <t>AS-59700</t>
  </si>
  <si>
    <t>AS-59699</t>
  </si>
  <si>
    <t>AS-59698</t>
  </si>
  <si>
    <t>AS-59697</t>
  </si>
  <si>
    <t>AS-59696</t>
  </si>
  <si>
    <t>AS-59695</t>
  </si>
  <si>
    <t>AS-59694</t>
  </si>
  <si>
    <t>AS-59693</t>
  </si>
  <si>
    <t>AS-59692</t>
  </si>
  <si>
    <t>AS-59691</t>
  </si>
  <si>
    <t>AS-59690</t>
  </si>
  <si>
    <t>AS-59689</t>
  </si>
  <si>
    <t>AS-59688</t>
  </si>
  <si>
    <t>AS-59687</t>
  </si>
  <si>
    <t>AS-59686</t>
  </si>
  <si>
    <t>AS-59685</t>
  </si>
  <si>
    <t>AS-59684</t>
  </si>
  <si>
    <t>AS-59683</t>
  </si>
  <si>
    <t>AS-59682</t>
  </si>
  <si>
    <t>RF-43954</t>
  </si>
  <si>
    <t>RF-43953</t>
  </si>
  <si>
    <t>RF-43951</t>
  </si>
  <si>
    <t>RF-43950</t>
  </si>
  <si>
    <t>RF-43949</t>
  </si>
  <si>
    <t>RF-43948</t>
  </si>
  <si>
    <t>RF-43947</t>
  </si>
  <si>
    <t>RF-43946</t>
  </si>
  <si>
    <t>RF-43944</t>
  </si>
  <si>
    <t>AR-16223</t>
  </si>
  <si>
    <t>AR-16222</t>
  </si>
  <si>
    <t>AS-59734</t>
  </si>
  <si>
    <t>AS-59733</t>
  </si>
  <si>
    <t>AS-59731</t>
  </si>
  <si>
    <t>AS-59730</t>
  </si>
  <si>
    <t>AS-59729</t>
  </si>
  <si>
    <t>AS-59728</t>
  </si>
  <si>
    <t>AS-59727</t>
  </si>
  <si>
    <t>AS-59726</t>
  </si>
  <si>
    <t>AS-59723</t>
  </si>
  <si>
    <t>AS-59721</t>
  </si>
  <si>
    <t>AS-59720</t>
  </si>
  <si>
    <t>AS-59719</t>
  </si>
  <si>
    <t>AS-59718</t>
  </si>
  <si>
    <t>AS-59717</t>
  </si>
  <si>
    <t>AS-59716</t>
  </si>
  <si>
    <t>AS-59715</t>
  </si>
  <si>
    <t>RF-43943</t>
  </si>
  <si>
    <t>RF-43942</t>
  </si>
  <si>
    <t>RF-43941</t>
  </si>
  <si>
    <t>RF-43940</t>
  </si>
  <si>
    <t>RF-43939</t>
  </si>
  <si>
    <t>RF-43938</t>
  </si>
  <si>
    <t>RF-43936</t>
  </si>
  <si>
    <t>RF-43935</t>
  </si>
  <si>
    <t>RF-43934</t>
  </si>
  <si>
    <t>RF-43933</t>
  </si>
  <si>
    <t>RF-43932</t>
  </si>
  <si>
    <t>RF-43931</t>
  </si>
  <si>
    <t>RF-43930</t>
  </si>
  <si>
    <t>AS-59714</t>
  </si>
  <si>
    <t>AS-59713</t>
  </si>
  <si>
    <t>AS-59712</t>
  </si>
  <si>
    <t>AS-59711</t>
  </si>
  <si>
    <t>AS-59710</t>
  </si>
  <si>
    <t>AS-59709</t>
  </si>
  <si>
    <t>AS-59708</t>
  </si>
  <si>
    <t>AS-59706</t>
  </si>
  <si>
    <t>AS-59704</t>
  </si>
  <si>
    <t>AR-16220</t>
  </si>
  <si>
    <t>AR-16219</t>
  </si>
  <si>
    <t>AR-16218</t>
  </si>
  <si>
    <t>RF-43979</t>
  </si>
  <si>
    <t>RF-43978</t>
  </si>
  <si>
    <t>RF-43976</t>
  </si>
  <si>
    <t>RF-43975</t>
  </si>
  <si>
    <t>RF-43974</t>
  </si>
  <si>
    <t>RF-43973</t>
  </si>
  <si>
    <t>RF-43972</t>
  </si>
  <si>
    <t>RF-43971</t>
  </si>
  <si>
    <t>RF-43970</t>
  </si>
  <si>
    <t>RF-43969</t>
  </si>
  <si>
    <t>RF-43968</t>
  </si>
  <si>
    <t>RF-43967</t>
  </si>
  <si>
    <t>RF-43966</t>
  </si>
  <si>
    <t>AR-16233</t>
  </si>
  <si>
    <t>AR-16231</t>
  </si>
  <si>
    <t>AR-16230</t>
  </si>
  <si>
    <t>AR-16229</t>
  </si>
  <si>
    <t>AR-16228</t>
  </si>
  <si>
    <t>AS-59776</t>
  </si>
  <si>
    <t>AS-59775</t>
  </si>
  <si>
    <t>AS-59774</t>
  </si>
  <si>
    <t>AS-59772</t>
  </si>
  <si>
    <t>AS-59771</t>
  </si>
  <si>
    <t>AS-59769</t>
  </si>
  <si>
    <t>AS-59768</t>
  </si>
  <si>
    <t>AS-59767</t>
  </si>
  <si>
    <t>AS-59766</t>
  </si>
  <si>
    <t>AS-59765</t>
  </si>
  <si>
    <t>AS-59764</t>
  </si>
  <si>
    <t>AS-59763</t>
  </si>
  <si>
    <t>AS-59762</t>
  </si>
  <si>
    <t>AS-59761</t>
  </si>
  <si>
    <t>AS-59760</t>
  </si>
  <si>
    <t>AS-59759</t>
  </si>
  <si>
    <t>AS-59758</t>
  </si>
  <si>
    <t>RF-43990</t>
  </si>
  <si>
    <t>RF-43989</t>
  </si>
  <si>
    <t>RF-43988</t>
  </si>
  <si>
    <t>RF-43987</t>
  </si>
  <si>
    <t>RF-43986</t>
  </si>
  <si>
    <t>RF-43985</t>
  </si>
  <si>
    <t>RF-43984</t>
  </si>
  <si>
    <t>RF-43983</t>
  </si>
  <si>
    <t>RF-43981</t>
  </si>
  <si>
    <t>RF-43980</t>
  </si>
  <si>
    <t>AR-16236</t>
  </si>
  <si>
    <t>AR-16235</t>
  </si>
  <si>
    <t>AR-16234</t>
  </si>
  <si>
    <t>AS-59811</t>
  </si>
  <si>
    <t>AS-59810</t>
  </si>
  <si>
    <t>AS-59808</t>
  </si>
  <si>
    <t>AS-59807</t>
  </si>
  <si>
    <t>AS-59806</t>
  </si>
  <si>
    <t>AS-59805</t>
  </si>
  <si>
    <t>AS-59804</t>
  </si>
  <si>
    <t>AS-59801</t>
  </si>
  <si>
    <t>AS-59779</t>
  </si>
  <si>
    <t>AS-59778</t>
  </si>
  <si>
    <t>AS-43982</t>
  </si>
  <si>
    <t>RF-43965</t>
  </si>
  <si>
    <t>RF-43964</t>
  </si>
  <si>
    <t>RF-43963</t>
  </si>
  <si>
    <t>RF-43962</t>
  </si>
  <si>
    <t>RF-43961</t>
  </si>
  <si>
    <t>RF-43960</t>
  </si>
  <si>
    <t>RF-43958</t>
  </si>
  <si>
    <t>RF-43957</t>
  </si>
  <si>
    <t>RF-43956</t>
  </si>
  <si>
    <t>AS-59757</t>
  </si>
  <si>
    <t>AS-59756</t>
  </si>
  <si>
    <t>AS-59748</t>
  </si>
  <si>
    <t>AS-59740</t>
  </si>
  <si>
    <t>AS-59739</t>
  </si>
  <si>
    <t>AS-59738</t>
  </si>
  <si>
    <t>AS-59737</t>
  </si>
  <si>
    <t>AS-59736</t>
  </si>
  <si>
    <t>AS-59735</t>
  </si>
  <si>
    <t>AR-16224</t>
  </si>
  <si>
    <t>RF-44002</t>
  </si>
  <si>
    <t>RF-44001</t>
  </si>
  <si>
    <t>RF-44000.</t>
  </si>
  <si>
    <t>RF-43999</t>
  </si>
  <si>
    <t>RF-43998</t>
  </si>
  <si>
    <t>RF-43997</t>
  </si>
  <si>
    <t>RF-43996</t>
  </si>
  <si>
    <t>RF-43995</t>
  </si>
  <si>
    <t>RF-43994</t>
  </si>
  <si>
    <t>RF-43993</t>
  </si>
  <si>
    <t>RF-43992</t>
  </si>
  <si>
    <t>RF-43991</t>
  </si>
  <si>
    <t>AS-59851</t>
  </si>
  <si>
    <t>AS-59850</t>
  </si>
  <si>
    <t>AS-59849</t>
  </si>
  <si>
    <t>AS-59847</t>
  </si>
  <si>
    <t>AS-59846</t>
  </si>
  <si>
    <t>AS-59845</t>
  </si>
  <si>
    <t>AS-59844</t>
  </si>
  <si>
    <t>AS-59843</t>
  </si>
  <si>
    <t>AS-59842</t>
  </si>
  <si>
    <t>AS59841</t>
  </si>
  <si>
    <t>AS-59840</t>
  </si>
  <si>
    <t>AS-59839</t>
  </si>
  <si>
    <t>AS-59838</t>
  </si>
  <si>
    <t>AS-59837</t>
  </si>
  <si>
    <t>AS-59836</t>
  </si>
  <si>
    <t>AS-59825</t>
  </si>
  <si>
    <t>AS-59834</t>
  </si>
  <si>
    <t>AS-59833</t>
  </si>
  <si>
    <t>AS-59832</t>
  </si>
  <si>
    <t>AS-59830</t>
  </si>
  <si>
    <t>AS-59829</t>
  </si>
  <si>
    <t>AS-59828</t>
  </si>
  <si>
    <t>AS-59827</t>
  </si>
  <si>
    <t>AS-58826</t>
  </si>
  <si>
    <t>AR-16239</t>
  </si>
  <si>
    <t>AR-16238</t>
  </si>
  <si>
    <t>AR-16237</t>
  </si>
  <si>
    <t>RF-44041</t>
  </si>
  <si>
    <t>RF-44040</t>
  </si>
  <si>
    <t>RF-44039</t>
  </si>
  <si>
    <t>RF-44038</t>
  </si>
  <si>
    <t>RF-44037</t>
  </si>
  <si>
    <t>RF-44036</t>
  </si>
  <si>
    <t>RF-44035</t>
  </si>
  <si>
    <t>RF-44034</t>
  </si>
  <si>
    <t>RF-44033</t>
  </si>
  <si>
    <t>RF-44032</t>
  </si>
  <si>
    <t>RF-44031</t>
  </si>
  <si>
    <t>RF-44030</t>
  </si>
  <si>
    <t>RF-44029</t>
  </si>
  <si>
    <t>AS-59953</t>
  </si>
  <si>
    <t>AS-59951</t>
  </si>
  <si>
    <t>AS-59949</t>
  </si>
  <si>
    <t>AS-59947</t>
  </si>
  <si>
    <t>AS-59946</t>
  </si>
  <si>
    <t>AS-59945</t>
  </si>
  <si>
    <t>AS-59943</t>
  </si>
  <si>
    <t>AS-59942</t>
  </si>
  <si>
    <t>AS-59940</t>
  </si>
  <si>
    <t>AS-59939</t>
  </si>
  <si>
    <t>AS-59938</t>
  </si>
  <si>
    <t>AS-59937</t>
  </si>
  <si>
    <t>AS-59936</t>
  </si>
  <si>
    <t>AS-59935</t>
  </si>
  <si>
    <t>AR-16260</t>
  </si>
  <si>
    <t>RF-44022</t>
  </si>
  <si>
    <t>RF-44021</t>
  </si>
  <si>
    <t>RF-44020</t>
  </si>
  <si>
    <t>RF-44019</t>
  </si>
  <si>
    <t>RF-44018</t>
  </si>
  <si>
    <t>RF-44017</t>
  </si>
  <si>
    <t>RF-44016</t>
  </si>
  <si>
    <t>RF-44015</t>
  </si>
  <si>
    <t>RF-44014</t>
  </si>
  <si>
    <t>AS-59920</t>
  </si>
  <si>
    <t>AS-59919</t>
  </si>
  <si>
    <t>AS-59918</t>
  </si>
  <si>
    <t>AS-59917</t>
  </si>
  <si>
    <t>AS-59916</t>
  </si>
  <si>
    <t>AS-59915</t>
  </si>
  <si>
    <t>AS-59914</t>
  </si>
  <si>
    <t>AS-59913</t>
  </si>
  <si>
    <t>AS-59912</t>
  </si>
  <si>
    <t>AS-59911</t>
  </si>
  <si>
    <t>AS-59910</t>
  </si>
  <si>
    <t>AS-59909</t>
  </si>
  <si>
    <t>AS-59908</t>
  </si>
  <si>
    <t>AS-59907</t>
  </si>
  <si>
    <t>AS-59906</t>
  </si>
  <si>
    <t>AS-59905</t>
  </si>
  <si>
    <t>AS-59904</t>
  </si>
  <si>
    <t>AS-59903</t>
  </si>
  <si>
    <t>AS-59902</t>
  </si>
  <si>
    <t>AS-59901</t>
  </si>
  <si>
    <t>AS-59900</t>
  </si>
  <si>
    <t>AS-59898</t>
  </si>
  <si>
    <t>AS-59897</t>
  </si>
  <si>
    <t>AS-59890</t>
  </si>
  <si>
    <t>AS-59889</t>
  </si>
  <si>
    <t>AS-59888</t>
  </si>
  <si>
    <t>AR-16249</t>
  </si>
  <si>
    <t>AR-16248</t>
  </si>
  <si>
    <t>AR-16247</t>
  </si>
  <si>
    <t>RF-44055</t>
  </si>
  <si>
    <t>RF-44054</t>
  </si>
  <si>
    <t>RF-44053</t>
  </si>
  <si>
    <t>RF-44052</t>
  </si>
  <si>
    <t>RF-44051</t>
  </si>
  <si>
    <t>RF-44050</t>
  </si>
  <si>
    <t>RF-44049</t>
  </si>
  <si>
    <t>RF-44048</t>
  </si>
  <si>
    <t>RF-44046</t>
  </si>
  <si>
    <t>RF-44045</t>
  </si>
  <si>
    <t>RF-44044</t>
  </si>
  <si>
    <t>RF-44043</t>
  </si>
  <si>
    <t>RF-44042</t>
  </si>
  <si>
    <t>AS-59986</t>
  </si>
  <si>
    <t>AS-59985</t>
  </si>
  <si>
    <t>AS-59984</t>
  </si>
  <si>
    <t>AS-59983</t>
  </si>
  <si>
    <t>AS-59982</t>
  </si>
  <si>
    <t>AS-59981</t>
  </si>
  <si>
    <t>AS-59980</t>
  </si>
  <si>
    <t>AS-59979</t>
  </si>
  <si>
    <t>AS-59978</t>
  </si>
  <si>
    <t>AS-59977</t>
  </si>
  <si>
    <t>AS-59976</t>
  </si>
  <si>
    <t>AS-59975</t>
  </si>
  <si>
    <t>AS-59974</t>
  </si>
  <si>
    <t>AS-59973</t>
  </si>
  <si>
    <t>AS-59972</t>
  </si>
  <si>
    <t>AS-59971</t>
  </si>
  <si>
    <t>AS-59970</t>
  </si>
  <si>
    <t>AS-59969</t>
  </si>
  <si>
    <t>AS-59968</t>
  </si>
  <si>
    <t>AS-59967</t>
  </si>
  <si>
    <t>AS-59966</t>
  </si>
  <si>
    <t>AS-59965</t>
  </si>
  <si>
    <t>AS-59964</t>
  </si>
  <si>
    <t>AS-59963</t>
  </si>
  <si>
    <t>AS-59962</t>
  </si>
  <si>
    <t>AS-59961</t>
  </si>
  <si>
    <t>AS-59960</t>
  </si>
  <si>
    <t>AS-59958</t>
  </si>
  <si>
    <t>AS-59957</t>
  </si>
  <si>
    <t>AS-59956</t>
  </si>
  <si>
    <t>AS-59955</t>
  </si>
  <si>
    <t>AS-59954</t>
  </si>
  <si>
    <t>AR-16268</t>
  </si>
  <si>
    <t>AR-16266</t>
  </si>
  <si>
    <t>RF-44013</t>
  </si>
  <si>
    <t>RF-44012</t>
  </si>
  <si>
    <t>RF-44011</t>
  </si>
  <si>
    <t>RF-44010</t>
  </si>
  <si>
    <t>RF-44009</t>
  </si>
  <si>
    <t>RF-44008</t>
  </si>
  <si>
    <t>RF-44007</t>
  </si>
  <si>
    <t>RF-44005</t>
  </si>
  <si>
    <t>RF-44004</t>
  </si>
  <si>
    <t>AR-16245</t>
  </si>
  <si>
    <t>AR-16241</t>
  </si>
  <si>
    <t>AS-59860</t>
  </si>
  <si>
    <t>AS-59859</t>
  </si>
  <si>
    <t>AS-59858</t>
  </si>
  <si>
    <t>AS-59857</t>
  </si>
  <si>
    <t>AS-59856</t>
  </si>
  <si>
    <t>AS-59855</t>
  </si>
  <si>
    <t>AS-59854</t>
  </si>
  <si>
    <t>AS-59853</t>
  </si>
  <si>
    <t>AS-59852</t>
  </si>
  <si>
    <t>RF-44028</t>
  </si>
  <si>
    <t>RF-44027</t>
  </si>
  <si>
    <t>RF-44026</t>
  </si>
  <si>
    <t>RF-44025</t>
  </si>
  <si>
    <t>RF-44024</t>
  </si>
  <si>
    <t>RF-44023</t>
  </si>
  <si>
    <t>AR-16256</t>
  </si>
  <si>
    <t>AR-16255</t>
  </si>
  <si>
    <t>AR-16251</t>
  </si>
  <si>
    <t>AS-59934</t>
  </si>
  <si>
    <t>AS-59933</t>
  </si>
  <si>
    <t>AS-59932</t>
  </si>
  <si>
    <t>AS-59931</t>
  </si>
  <si>
    <t>AS-59930</t>
  </si>
  <si>
    <t>AS-59929</t>
  </si>
  <si>
    <t>AS-59928</t>
  </si>
  <si>
    <t>AS-59925</t>
  </si>
  <si>
    <t>AS-59924</t>
  </si>
  <si>
    <t>AS-59923</t>
  </si>
  <si>
    <t>AS-59922</t>
  </si>
  <si>
    <t>AS-59921</t>
  </si>
  <si>
    <t>RF-44075</t>
  </si>
  <si>
    <t>RF-44074</t>
  </si>
  <si>
    <t>RF-44072</t>
  </si>
  <si>
    <t>RF-44071</t>
  </si>
  <si>
    <t>RF-44069</t>
  </si>
  <si>
    <t>RF-44068</t>
  </si>
  <si>
    <t>RF-44067</t>
  </si>
  <si>
    <t>RF-44066</t>
  </si>
  <si>
    <t>RF-44065</t>
  </si>
  <si>
    <t>AR-16273</t>
  </si>
  <si>
    <t>AS-60031</t>
  </si>
  <si>
    <t>AS-60030</t>
  </si>
  <si>
    <t>AS-60029</t>
  </si>
  <si>
    <t>AS-60028</t>
  </si>
  <si>
    <t>AS-60027</t>
  </si>
  <si>
    <t>AS-60026</t>
  </si>
  <si>
    <t>AS-60025</t>
  </si>
  <si>
    <t>AS-60023</t>
  </si>
  <si>
    <t>AS-60022</t>
  </si>
  <si>
    <t>AS-60021</t>
  </si>
  <si>
    <t>AS-60020</t>
  </si>
  <si>
    <t>AS-60019</t>
  </si>
  <si>
    <t>AS-60018</t>
  </si>
  <si>
    <t>AS-60017</t>
  </si>
  <si>
    <t>AS-60016</t>
  </si>
  <si>
    <t>AS-60015</t>
  </si>
  <si>
    <t>AS-60014</t>
  </si>
  <si>
    <t>AS-60013</t>
  </si>
  <si>
    <t>AS-60011</t>
  </si>
  <si>
    <t>AS-60010</t>
  </si>
  <si>
    <t>RF-44063</t>
  </si>
  <si>
    <t>RF-44062</t>
  </si>
  <si>
    <t>RF-44061</t>
  </si>
  <si>
    <t>RF-44060</t>
  </si>
  <si>
    <t>RF-44059</t>
  </si>
  <si>
    <t>RF-44058</t>
  </si>
  <si>
    <t>RF-44057</t>
  </si>
  <si>
    <t>RF-44056</t>
  </si>
  <si>
    <t>AS-60009</t>
  </si>
  <si>
    <t>AS-60008</t>
  </si>
  <si>
    <t>AS-60007</t>
  </si>
  <si>
    <t>AS-60006</t>
  </si>
  <si>
    <t>AS-60005</t>
  </si>
  <si>
    <t>AS-60001</t>
  </si>
  <si>
    <t>AS-60000</t>
  </si>
  <si>
    <t>AR-16272</t>
  </si>
  <si>
    <t>AR-16271</t>
  </si>
  <si>
    <t>RF-44080</t>
  </si>
  <si>
    <t>RF-44079</t>
  </si>
  <si>
    <t>RF-44078</t>
  </si>
  <si>
    <t>RF-44077</t>
  </si>
  <si>
    <t>RF-44076</t>
  </si>
  <si>
    <t>AS-60032</t>
  </si>
  <si>
    <t>RF-44082</t>
  </si>
  <si>
    <t>RF-44081</t>
  </si>
  <si>
    <t>RF-44099</t>
  </si>
  <si>
    <t>RF-44098</t>
  </si>
  <si>
    <t>RF-44097</t>
  </si>
  <si>
    <t>RF-44096</t>
  </si>
  <si>
    <t>RF-44095</t>
  </si>
  <si>
    <t>RF-44094</t>
  </si>
  <si>
    <t>RF-44093</t>
  </si>
  <si>
    <t>AR-16285</t>
  </si>
  <si>
    <t>AR-16284</t>
  </si>
  <si>
    <t>AR-16283</t>
  </si>
  <si>
    <t>AR-16282</t>
  </si>
  <si>
    <t>AS-60074</t>
  </si>
  <si>
    <t>AS-60073</t>
  </si>
  <si>
    <t>AS-60072</t>
  </si>
  <si>
    <t>AS-60071</t>
  </si>
  <si>
    <t>AS-60070</t>
  </si>
  <si>
    <t>AS-60069</t>
  </si>
  <si>
    <t>AS-60068</t>
  </si>
  <si>
    <t>AS-60067</t>
  </si>
  <si>
    <t>AS-60066</t>
  </si>
  <si>
    <t>AS-60065</t>
  </si>
  <si>
    <t>AS-60064</t>
  </si>
  <si>
    <t>AS-60057</t>
  </si>
  <si>
    <t>AS-60049</t>
  </si>
  <si>
    <t>AS-60048</t>
  </si>
  <si>
    <t>AS-60047</t>
  </si>
  <si>
    <t>AS-60046</t>
  </si>
  <si>
    <t>AS-60045</t>
  </si>
  <si>
    <t>AS-60076</t>
  </si>
  <si>
    <t>RF-44092</t>
  </si>
  <si>
    <t>RF-44091</t>
  </si>
  <si>
    <t>RF-44090</t>
  </si>
  <si>
    <t>RF-44089</t>
  </si>
  <si>
    <t>RF-44088</t>
  </si>
  <si>
    <t>RF-44087</t>
  </si>
  <si>
    <t>RF-44086</t>
  </si>
  <si>
    <t>RF-44085</t>
  </si>
  <si>
    <t>RF-44084</t>
  </si>
  <si>
    <t>RF-44083</t>
  </si>
  <si>
    <t>AS-60044</t>
  </si>
  <si>
    <t>AS-60043</t>
  </si>
  <si>
    <t>AS-60042</t>
  </si>
  <si>
    <t>AS-60041</t>
  </si>
  <si>
    <t>AS-60040</t>
  </si>
  <si>
    <t>AS-60039</t>
  </si>
  <si>
    <t>AS-60038</t>
  </si>
  <si>
    <t>AS-60033</t>
  </si>
  <si>
    <t>AR-16281</t>
  </si>
  <si>
    <t>AR-16280</t>
  </si>
  <si>
    <t>AR-16278</t>
  </si>
  <si>
    <t>AR-16277</t>
  </si>
  <si>
    <t>AR-16275</t>
  </si>
  <si>
    <t>RF-44122</t>
  </si>
  <si>
    <t>RF-44121</t>
  </si>
  <si>
    <t>RF-44120</t>
  </si>
  <si>
    <t>RF-44119</t>
  </si>
  <si>
    <t>RF-44118</t>
  </si>
  <si>
    <t>RF-44117</t>
  </si>
  <si>
    <t>RF-44116</t>
  </si>
  <si>
    <t>RF-44115</t>
  </si>
  <si>
    <t>RF-44114</t>
  </si>
  <si>
    <t>RF-44113</t>
  </si>
  <si>
    <t>AR-16293</t>
  </si>
  <si>
    <t>AR-16291</t>
  </si>
  <si>
    <t>AR-16292</t>
  </si>
  <si>
    <t>AS-60129</t>
  </si>
  <si>
    <t>AS-60128</t>
  </si>
  <si>
    <t>AS-60127</t>
  </si>
  <si>
    <t>AS-60126</t>
  </si>
  <si>
    <t>AS-60125</t>
  </si>
  <si>
    <t>AS-60124</t>
  </si>
  <si>
    <t>AS-60121</t>
  </si>
  <si>
    <t>AS-60123</t>
  </si>
  <si>
    <t>AS-60122</t>
  </si>
  <si>
    <t>AS-60120</t>
  </si>
  <si>
    <t>AS-60118</t>
  </si>
  <si>
    <t>AS-60117</t>
  </si>
  <si>
    <t>AS-60116</t>
  </si>
  <si>
    <t>AS-60115</t>
  </si>
  <si>
    <t>AS-60114</t>
  </si>
  <si>
    <t>AS-60112</t>
  </si>
  <si>
    <t>AS-60111</t>
  </si>
  <si>
    <t>RF-44112</t>
  </si>
  <si>
    <t>RF-44111</t>
  </si>
  <si>
    <t>RF44110</t>
  </si>
  <si>
    <t>RF-44109</t>
  </si>
  <si>
    <t>RF-44108</t>
  </si>
  <si>
    <t>RF-44107</t>
  </si>
  <si>
    <t>RF-44106</t>
  </si>
  <si>
    <t>RF-44105</t>
  </si>
  <si>
    <t>RF-44104</t>
  </si>
  <si>
    <t>RF-44103</t>
  </si>
  <si>
    <t>RF-44102</t>
  </si>
  <si>
    <t>RF-44101</t>
  </si>
  <si>
    <t>RF-44100</t>
  </si>
  <si>
    <t>AS-60109</t>
  </si>
  <si>
    <t>AS60108</t>
  </si>
  <si>
    <t>AS-60107</t>
  </si>
  <si>
    <t>AS-60106</t>
  </si>
  <si>
    <t>AS-60105</t>
  </si>
  <si>
    <t>AS-60104</t>
  </si>
  <si>
    <t>AS-60103</t>
  </si>
  <si>
    <t>AS-60102</t>
  </si>
  <si>
    <t>AS-60101</t>
  </si>
  <si>
    <t>AR-16288</t>
  </si>
  <si>
    <t>AS-60100</t>
  </si>
  <si>
    <t>AR-16287</t>
  </si>
  <si>
    <t>RF-44154</t>
  </si>
  <si>
    <t>RF-44153</t>
  </si>
  <si>
    <t>RF-44152</t>
  </si>
  <si>
    <t>RF-44151</t>
  </si>
  <si>
    <t>RF-44150</t>
  </si>
  <si>
    <t>RF-44149</t>
  </si>
  <si>
    <t>RF-44148</t>
  </si>
  <si>
    <t>RF-44147</t>
  </si>
  <si>
    <t>RF-44146</t>
  </si>
  <si>
    <t>RF-44145</t>
  </si>
  <si>
    <t>RF-44144</t>
  </si>
  <si>
    <t>RF-44143</t>
  </si>
  <si>
    <t>RF-44142</t>
  </si>
  <si>
    <t>RF-44141</t>
  </si>
  <si>
    <t>RF-44140</t>
  </si>
  <si>
    <t>AS-60162</t>
  </si>
  <si>
    <t>AS60158</t>
  </si>
  <si>
    <t>AS-60157</t>
  </si>
  <si>
    <t>AS-60156</t>
  </si>
  <si>
    <t>AS-60155</t>
  </si>
  <si>
    <t>AS-60154</t>
  </si>
  <si>
    <t>AS-60153</t>
  </si>
  <si>
    <t>AS-60152</t>
  </si>
  <si>
    <t>AS-60151</t>
  </si>
  <si>
    <t>AS-60150</t>
  </si>
  <si>
    <t>AS-60149</t>
  </si>
  <si>
    <t>AS-60148</t>
  </si>
  <si>
    <t>AS-60147</t>
  </si>
  <si>
    <t>AS-60146</t>
  </si>
  <si>
    <t>AS-60145</t>
  </si>
  <si>
    <t>AS-60144</t>
  </si>
  <si>
    <t>AS-60143</t>
  </si>
  <si>
    <t>AS-60142</t>
  </si>
  <si>
    <t>AR-16299</t>
  </si>
  <si>
    <t>AR-16297</t>
  </si>
  <si>
    <t>RF-44139</t>
  </si>
  <si>
    <t>RF-44138</t>
  </si>
  <si>
    <t>RF-44137</t>
  </si>
  <si>
    <t>RF-44136</t>
  </si>
  <si>
    <t>RF-44135</t>
  </si>
  <si>
    <t>RF-44134</t>
  </si>
  <si>
    <t>RF-44133</t>
  </si>
  <si>
    <t>RF-44132</t>
  </si>
  <si>
    <t>RF-44131</t>
  </si>
  <si>
    <t>RF-44130</t>
  </si>
  <si>
    <t>RF-44129</t>
  </si>
  <si>
    <t>RF-44128</t>
  </si>
  <si>
    <t>RF-44127</t>
  </si>
  <si>
    <t>RF-44126</t>
  </si>
  <si>
    <t>RF-44125</t>
  </si>
  <si>
    <t>RF-44124</t>
  </si>
  <si>
    <t>AR-16296</t>
  </si>
  <si>
    <t>AR-16295</t>
  </si>
  <si>
    <t>AR-16294</t>
  </si>
  <si>
    <t>AS-60141</t>
  </si>
  <si>
    <t>AS-60140</t>
  </si>
  <si>
    <t>AS-60137</t>
  </si>
  <si>
    <t>AS-60136</t>
  </si>
  <si>
    <t>AS-60135</t>
  </si>
  <si>
    <t>AS-60134</t>
  </si>
  <si>
    <t>AS-60133</t>
  </si>
  <si>
    <t>RF-44167</t>
  </si>
  <si>
    <t>RF-44166</t>
  </si>
  <si>
    <t>RF-44165</t>
  </si>
  <si>
    <t>RF-44164</t>
  </si>
  <si>
    <t>RF-44163</t>
  </si>
  <si>
    <t>RF-44162</t>
  </si>
  <si>
    <t>RF-44161</t>
  </si>
  <si>
    <t>RF-44160</t>
  </si>
  <si>
    <t>RF-44159</t>
  </si>
  <si>
    <t>RF-44158</t>
  </si>
  <si>
    <t>RF-44157</t>
  </si>
  <si>
    <t>RF-44156</t>
  </si>
  <si>
    <t>RF-44155</t>
  </si>
  <si>
    <t>AR-16304</t>
  </si>
  <si>
    <t>AR-16302</t>
  </si>
  <si>
    <t>AR-16301</t>
  </si>
  <si>
    <t>AR-16300</t>
  </si>
  <si>
    <t>AS-60185</t>
  </si>
  <si>
    <t>AS-60184</t>
  </si>
  <si>
    <t>AS-60183</t>
  </si>
  <si>
    <t>AS-60182</t>
  </si>
  <si>
    <t>AS-60181</t>
  </si>
  <si>
    <t>AS-60180</t>
  </si>
  <si>
    <t>AS-60179</t>
  </si>
  <si>
    <t>AS-60178</t>
  </si>
  <si>
    <t>AS-60177</t>
  </si>
  <si>
    <t>AS-60176</t>
  </si>
  <si>
    <t>AS-60175</t>
  </si>
  <si>
    <t>AS-60174</t>
  </si>
  <si>
    <t>AS-60173</t>
  </si>
  <si>
    <t>AS-60171</t>
  </si>
  <si>
    <t>AS-60170</t>
  </si>
  <si>
    <t>AS-60169</t>
  </si>
  <si>
    <t>AS-60168</t>
  </si>
  <si>
    <t>AS-60167</t>
  </si>
  <si>
    <t>AS-60172</t>
  </si>
  <si>
    <t>AS-60166</t>
  </si>
  <si>
    <t>AS-60165</t>
  </si>
  <si>
    <t>AS-60164</t>
  </si>
  <si>
    <t>AS-60163</t>
  </si>
  <si>
    <t>RF-44168</t>
  </si>
  <si>
    <t>RF-44169</t>
  </si>
  <si>
    <t>RF-44176</t>
  </si>
  <si>
    <t>RF-44175</t>
  </si>
  <si>
    <t>RF-44174</t>
  </si>
  <si>
    <t>RF-44173</t>
  </si>
  <si>
    <t>RF-44172</t>
  </si>
  <si>
    <t>RF-44171</t>
  </si>
  <si>
    <t>RF-44170</t>
  </si>
  <si>
    <t>AR-16307</t>
  </si>
  <si>
    <t>AR-16306</t>
  </si>
  <si>
    <t>AS-60189</t>
  </si>
  <si>
    <t>AS-60188</t>
  </si>
  <si>
    <t>AS-60187</t>
  </si>
  <si>
    <t>AS-60186</t>
  </si>
  <si>
    <t>RF-44198</t>
  </si>
  <si>
    <t>RF-44197</t>
  </si>
  <si>
    <t>RF-44193</t>
  </si>
  <si>
    <t>RF-44190</t>
  </si>
  <si>
    <t>RF-44199</t>
  </si>
  <si>
    <t>RF-44196</t>
  </si>
  <si>
    <t>RF-44192</t>
  </si>
  <si>
    <t>RF-44191</t>
  </si>
  <si>
    <t>RF-44189</t>
  </si>
  <si>
    <t>rf-44188</t>
  </si>
  <si>
    <t>RF-44187</t>
  </si>
  <si>
    <t>RF-44186</t>
  </si>
  <si>
    <t>RF-44185</t>
  </si>
  <si>
    <t>RF-44184</t>
  </si>
  <si>
    <t>RF-44183</t>
  </si>
  <si>
    <t>RF-44182</t>
  </si>
  <si>
    <t>RF-44181</t>
  </si>
  <si>
    <t>RF-44180</t>
  </si>
  <si>
    <t>RF-44179</t>
  </si>
  <si>
    <t>RF-44177</t>
  </si>
  <si>
    <t>AS-60213</t>
  </si>
  <si>
    <t>AS-60211</t>
  </si>
  <si>
    <t>AS-60210</t>
  </si>
  <si>
    <t>AS-60209</t>
  </si>
  <si>
    <t>AS-60208</t>
  </si>
  <si>
    <t>AS-60207</t>
  </si>
  <si>
    <t>AS-60206</t>
  </si>
  <si>
    <t>AS-60204</t>
  </si>
  <si>
    <t>AS-60203</t>
  </si>
  <si>
    <t>AS-60202</t>
  </si>
  <si>
    <t>AS-60201</t>
  </si>
  <si>
    <t>AS-60200</t>
  </si>
  <si>
    <t>AS-60198</t>
  </si>
  <si>
    <t>AS-60197</t>
  </si>
  <si>
    <t>AS-60196</t>
  </si>
  <si>
    <t>AS-60195</t>
  </si>
  <si>
    <t>AS-60194</t>
  </si>
  <si>
    <t>AS-60193</t>
  </si>
  <si>
    <t>AS-60192</t>
  </si>
  <si>
    <t>AS-60190</t>
  </si>
  <si>
    <t>AR-16314</t>
  </si>
  <si>
    <t>AR-16312</t>
  </si>
  <si>
    <t>AR-16311</t>
  </si>
  <si>
    <t>AR-16310</t>
  </si>
  <si>
    <t>AR-16309</t>
  </si>
  <si>
    <t>AR-16308</t>
  </si>
  <si>
    <t>RF-44210</t>
  </si>
  <si>
    <t>RF-44209</t>
  </si>
  <si>
    <t>RF-44208</t>
  </si>
  <si>
    <t>RF-44207</t>
  </si>
  <si>
    <t>RF-44206</t>
  </si>
  <si>
    <t>RF-44205</t>
  </si>
  <si>
    <t>RF-44203</t>
  </si>
  <si>
    <t>RF44202</t>
  </si>
  <si>
    <t>RF-44201</t>
  </si>
  <si>
    <t>RF-44200</t>
  </si>
  <si>
    <t>AR-16320</t>
  </si>
  <si>
    <t>AR-16316</t>
  </si>
  <si>
    <t>AR-16315</t>
  </si>
  <si>
    <t>AS-60230</t>
  </si>
  <si>
    <t>AS-60229</t>
  </si>
  <si>
    <t>AS-60224</t>
  </si>
  <si>
    <t>AS-60223</t>
  </si>
  <si>
    <t>AS-60222</t>
  </si>
  <si>
    <t>AS-60221</t>
  </si>
  <si>
    <t>AS-60220</t>
  </si>
  <si>
    <t>AS-60219</t>
  </si>
  <si>
    <t>AS-60218</t>
  </si>
  <si>
    <t>AS-60217</t>
  </si>
  <si>
    <t>AS-60216</t>
  </si>
  <si>
    <t>AS-60215</t>
  </si>
  <si>
    <t>RF-44226</t>
  </si>
  <si>
    <t>RF-44225</t>
  </si>
  <si>
    <t>RF-44223</t>
  </si>
  <si>
    <t>RFG-44222</t>
  </si>
  <si>
    <t>RF-44221</t>
  </si>
  <si>
    <t>RF-44220</t>
  </si>
  <si>
    <t>RF-44217</t>
  </si>
  <si>
    <t>RF-44216</t>
  </si>
  <si>
    <t>RF-44215</t>
  </si>
  <si>
    <t>RF-44213</t>
  </si>
  <si>
    <t>RF-44212</t>
  </si>
  <si>
    <t>RF-44211</t>
  </si>
  <si>
    <t>AS-60260</t>
  </si>
  <si>
    <t>AS-60259</t>
  </si>
  <si>
    <t>AS-60258</t>
  </si>
  <si>
    <t>AS-60257</t>
  </si>
  <si>
    <t>AS-60256</t>
  </si>
  <si>
    <t>AS-60254</t>
  </si>
  <si>
    <t>AS-60253</t>
  </si>
  <si>
    <t>AS60252</t>
  </si>
  <si>
    <t>AS-60251</t>
  </si>
  <si>
    <t>AS-60250</t>
  </si>
  <si>
    <t>AS-60249</t>
  </si>
  <si>
    <t>AS-60248</t>
  </si>
  <si>
    <t>AS-60247</t>
  </si>
  <si>
    <t>AS-60246</t>
  </si>
  <si>
    <t>AS-60245</t>
  </si>
  <si>
    <t>AS-60244</t>
  </si>
  <si>
    <t>AS-60243</t>
  </si>
  <si>
    <t>AS-60242</t>
  </si>
  <si>
    <t>AS-60241</t>
  </si>
  <si>
    <t>AS-60240</t>
  </si>
  <si>
    <t>AS-60239</t>
  </si>
  <si>
    <t>AS-60238</t>
  </si>
  <si>
    <t>AS-60237</t>
  </si>
  <si>
    <t>AS-60236</t>
  </si>
  <si>
    <t>AS-60235</t>
  </si>
  <si>
    <t>AS-60234</t>
  </si>
  <si>
    <t>AS-60233</t>
  </si>
  <si>
    <t>AS-60232</t>
  </si>
  <si>
    <t>AS-60231</t>
  </si>
  <si>
    <t>AR-16323</t>
  </si>
  <si>
    <t>AR-16322</t>
  </si>
  <si>
    <t>AS-60281</t>
  </si>
  <si>
    <t>AS-60289</t>
  </si>
  <si>
    <t>AS-60291</t>
  </si>
  <si>
    <t>AS-60292</t>
  </si>
  <si>
    <t>AS-60294</t>
  </si>
  <si>
    <t>RF-44247</t>
  </si>
  <si>
    <t>RF-44249</t>
  </si>
  <si>
    <t>RF-44251</t>
  </si>
  <si>
    <t>AS-60280</t>
  </si>
  <si>
    <t>AS-60283</t>
  </si>
  <si>
    <t>AS-60284</t>
  </si>
  <si>
    <t>RF-44242</t>
  </si>
  <si>
    <t>AS-60290</t>
  </si>
  <si>
    <t>AS-60293</t>
  </si>
  <si>
    <t>AS-60296</t>
  </si>
  <si>
    <t>AS-60297</t>
  </si>
  <si>
    <t>AR-16338</t>
  </si>
  <si>
    <t>AR-16335</t>
  </si>
  <si>
    <t>AR-16339</t>
  </si>
  <si>
    <t>AS-60300</t>
  </si>
  <si>
    <t>RF-44252</t>
  </si>
  <si>
    <t>AR-16334</t>
  </si>
  <si>
    <t>AS-60282</t>
  </si>
  <si>
    <t>AS-60295</t>
  </si>
  <si>
    <t>AS-60298</t>
  </si>
  <si>
    <t>AS-60299</t>
  </si>
  <si>
    <t>AS-60301</t>
  </si>
  <si>
    <t>AS-60285</t>
  </si>
  <si>
    <t>AS-60286</t>
  </si>
  <si>
    <t>AS-60287</t>
  </si>
  <si>
    <t>AS-60288</t>
  </si>
  <si>
    <t>RF-44243</t>
  </si>
  <si>
    <t>RF-44244</t>
  </si>
  <si>
    <t>RF-44246</t>
  </si>
  <si>
    <t>RF-44248</t>
  </si>
  <si>
    <t>AR-16325</t>
  </si>
  <si>
    <t>AS-60263</t>
  </si>
  <si>
    <t>AS-60262</t>
  </si>
  <si>
    <t>RF-44230</t>
  </si>
  <si>
    <t>RF-44231</t>
  </si>
  <si>
    <t>AS-60267</t>
  </si>
  <si>
    <t>RF-44232</t>
  </si>
  <si>
    <t>AR-16327</t>
  </si>
  <si>
    <t>AR-16329</t>
  </si>
  <si>
    <t>RF-44236</t>
  </si>
  <si>
    <t>RF-44237</t>
  </si>
  <si>
    <t>RF-44241</t>
  </si>
  <si>
    <t>AR-16331</t>
  </si>
  <si>
    <t>RF-44238</t>
  </si>
  <si>
    <t>RF-44234</t>
  </si>
  <si>
    <t>RF44235</t>
  </si>
  <si>
    <t>AS-60265</t>
  </si>
  <si>
    <t>AS-60269</t>
  </si>
  <si>
    <t>RF-44240</t>
  </si>
  <si>
    <t>RF-44239</t>
  </si>
  <si>
    <t>AS-60272</t>
  </si>
  <si>
    <t>AR-16332</t>
  </si>
  <si>
    <t>AS-60264</t>
  </si>
  <si>
    <t>RF-44229</t>
  </si>
  <si>
    <t>AS-60271</t>
  </si>
  <si>
    <t>AR-16330</t>
  </si>
  <si>
    <t>AS-60270</t>
  </si>
  <si>
    <t>RF-44233</t>
  </si>
  <si>
    <t>AR-16350</t>
  </si>
  <si>
    <t>AS-60375</t>
  </si>
  <si>
    <t>RF-44266</t>
  </si>
  <si>
    <t>AS-60381</t>
  </si>
  <si>
    <t>AS-60382</t>
  </si>
  <si>
    <t>AS-60383</t>
  </si>
  <si>
    <t>AS-60384</t>
  </si>
  <si>
    <t>AS-60391</t>
  </si>
  <si>
    <t>RF-44275</t>
  </si>
  <si>
    <t>AR-16349</t>
  </si>
  <si>
    <t>AS-60399</t>
  </si>
  <si>
    <t>AS-60400</t>
  </si>
  <si>
    <t>AS-60402</t>
  </si>
  <si>
    <t>AS-60404</t>
  </si>
  <si>
    <t>AS-60405</t>
  </si>
  <si>
    <t>AS-60406</t>
  </si>
  <si>
    <t>RF-44278</t>
  </si>
  <si>
    <t>RF-44282</t>
  </si>
  <si>
    <t>AS-60371</t>
  </si>
  <si>
    <t>AS-60372</t>
  </si>
  <si>
    <t>AS-60373</t>
  </si>
  <si>
    <t>AS-60374</t>
  </si>
  <si>
    <t>RF-44265</t>
  </si>
  <si>
    <t>RF-44270</t>
  </si>
  <si>
    <t>AS-60394</t>
  </si>
  <si>
    <t>AS-60395</t>
  </si>
  <si>
    <t>AS-60401</t>
  </si>
  <si>
    <t>AS-60369</t>
  </si>
  <si>
    <t>AS-60370</t>
  </si>
  <si>
    <t>AS-60376</t>
  </si>
  <si>
    <t>AS-60378</t>
  </si>
  <si>
    <t>AS-60392</t>
  </si>
  <si>
    <t>AS-60396</t>
  </si>
  <si>
    <t>AS-60397</t>
  </si>
  <si>
    <t>AS-60398</t>
  </si>
  <si>
    <t>AS-60403</t>
  </si>
  <si>
    <t>RF-44279</t>
  </si>
  <si>
    <t>RF-44280</t>
  </si>
  <si>
    <t>RF-44267</t>
  </si>
  <si>
    <t>RF-44269</t>
  </si>
  <si>
    <t>AS-60385</t>
  </si>
  <si>
    <t>RF-44271</t>
  </si>
  <si>
    <t>RF-44272</t>
  </si>
  <si>
    <t>RF-44273</t>
  </si>
  <si>
    <t>RF-44276</t>
  </si>
  <si>
    <t>RF-44277</t>
  </si>
  <si>
    <t>RF-44281</t>
  </si>
  <si>
    <t>AS-60407</t>
  </si>
  <si>
    <t>AS-60408</t>
  </si>
  <si>
    <t>RF-44255</t>
  </si>
  <si>
    <t>RF-44254</t>
  </si>
  <si>
    <t>RF-44253</t>
  </si>
  <si>
    <t>AS-60303</t>
  </si>
  <si>
    <t>AR-16347</t>
  </si>
  <si>
    <t>RF-44260</t>
  </si>
  <si>
    <t>RF-44261</t>
  </si>
  <si>
    <t>RF-44263</t>
  </si>
  <si>
    <t>RF-44259</t>
  </si>
  <si>
    <t>AS-60302</t>
  </si>
  <si>
    <t>AS-60305</t>
  </si>
  <si>
    <t>RF-44258</t>
  </si>
  <si>
    <t>AR-16340</t>
  </si>
  <si>
    <t>AS-60304</t>
  </si>
  <si>
    <t>AR-16345</t>
  </si>
  <si>
    <t>RF-44256</t>
  </si>
  <si>
    <t>RF-44257</t>
  </si>
  <si>
    <t>AS-60308</t>
  </si>
  <si>
    <t>AS-60306</t>
  </si>
  <si>
    <t>AR-16346</t>
  </si>
  <si>
    <t>RF-44264</t>
  </si>
  <si>
    <t>AR-16341</t>
  </si>
  <si>
    <t>AS-60307</t>
  </si>
  <si>
    <t>AS-60309</t>
  </si>
  <si>
    <t>RF-44262</t>
  </si>
  <si>
    <t>AS-60419</t>
  </si>
  <si>
    <t>AS-60421</t>
  </si>
  <si>
    <t>AR-16364</t>
  </si>
  <si>
    <t>RF-44295</t>
  </si>
  <si>
    <t>AS-60424</t>
  </si>
  <si>
    <t>AS-60426</t>
  </si>
  <si>
    <t>RF-44306</t>
  </si>
  <si>
    <t>RF-44307</t>
  </si>
  <si>
    <t>AS-60428</t>
  </si>
  <si>
    <t>AS-60429</t>
  </si>
  <si>
    <t>AS-60430</t>
  </si>
  <si>
    <t>AR16366</t>
  </si>
  <si>
    <t>AS-60434</t>
  </si>
  <si>
    <t>AS-60437</t>
  </si>
  <si>
    <t>RF-44311</t>
  </si>
  <si>
    <t>AS-60441</t>
  </si>
  <si>
    <t>RF-44313</t>
  </si>
  <si>
    <t>AS-60444</t>
  </si>
  <si>
    <t>AS-60440</t>
  </si>
  <si>
    <t>AS-60422</t>
  </si>
  <si>
    <t>AS-60420</t>
  </si>
  <si>
    <t>AR-16363</t>
  </si>
  <si>
    <t>RF-44298</t>
  </si>
  <si>
    <t>AS-60423</t>
  </si>
  <si>
    <t>RF-44303</t>
  </si>
  <si>
    <t>AS-60432</t>
  </si>
  <si>
    <t>AS-60438</t>
  </si>
  <si>
    <t>RF-44310</t>
  </si>
  <si>
    <t>AS-60439</t>
  </si>
  <si>
    <t>RF-44312</t>
  </si>
  <si>
    <t>AS-60442</t>
  </si>
  <si>
    <t>AS-60425</t>
  </si>
  <si>
    <t>AS-60435</t>
  </si>
  <si>
    <t>RF-44309</t>
  </si>
  <si>
    <t>AS-60443</t>
  </si>
  <si>
    <t>AS-60418</t>
  </si>
  <si>
    <t>RF-44294</t>
  </si>
  <si>
    <t>RF-44296</t>
  </si>
  <si>
    <t>RF-44297</t>
  </si>
  <si>
    <t>RF-44299</t>
  </si>
  <si>
    <t>RF-44300</t>
  </si>
  <si>
    <t>AR-16362</t>
  </si>
  <si>
    <t>RF-44304</t>
  </si>
  <si>
    <t>AS-60427</t>
  </si>
  <si>
    <t>RF-44305</t>
  </si>
  <si>
    <t>RF-44308</t>
  </si>
  <si>
    <t>AR-16365</t>
  </si>
  <si>
    <t>AS-60431</t>
  </si>
  <si>
    <t>AS-60433</t>
  </si>
  <si>
    <t>AS-60436</t>
  </si>
  <si>
    <t>AR-16369</t>
  </si>
  <si>
    <t>RF-44314</t>
  </si>
  <si>
    <t>AS-60445</t>
  </si>
  <si>
    <t>AS-60446</t>
  </si>
  <si>
    <t>AR-16378</t>
  </si>
  <si>
    <t>AS-60450</t>
  </si>
  <si>
    <t>AS-60451</t>
  </si>
  <si>
    <t>AS-60452</t>
  </si>
  <si>
    <t>RF-44318</t>
  </si>
  <si>
    <t>RF-44323</t>
  </si>
  <si>
    <t>RF-44327</t>
  </si>
  <si>
    <t>AS-60470</t>
  </si>
  <si>
    <t>AS-60471</t>
  </si>
  <si>
    <t>AS-60474</t>
  </si>
  <si>
    <t>AS-60447</t>
  </si>
  <si>
    <t>RF-44316</t>
  </si>
  <si>
    <t>AS-60449</t>
  </si>
  <si>
    <t>AS-60453</t>
  </si>
  <si>
    <t>AS-60456</t>
  </si>
  <si>
    <t>RF-44324</t>
  </si>
  <si>
    <t>AS-60464</t>
  </si>
  <si>
    <t>AS-60465</t>
  </si>
  <si>
    <t>AS-60466</t>
  </si>
  <si>
    <t>AS-60469</t>
  </si>
  <si>
    <t>AS-60473</t>
  </si>
  <si>
    <t>AS-60462</t>
  </si>
  <si>
    <t>RF-44315</t>
  </si>
  <si>
    <t>AS-60455</t>
  </si>
  <si>
    <t>RF-44321</t>
  </si>
  <si>
    <t>RF-44331</t>
  </si>
  <si>
    <t>AS-60463</t>
  </si>
  <si>
    <t>AS-60472</t>
  </si>
  <si>
    <t>AS-60448</t>
  </si>
  <si>
    <t>RF-44317</t>
  </si>
  <si>
    <t>RF-44319</t>
  </si>
  <si>
    <t>RF-44320</t>
  </si>
  <si>
    <t>RF-44322</t>
  </si>
  <si>
    <t>RF-44326</t>
  </si>
  <si>
    <t>RF-44328</t>
  </si>
  <si>
    <t>RF-44329</t>
  </si>
  <si>
    <t>AS-60467</t>
  </si>
  <si>
    <t>AS-60468</t>
  </si>
  <si>
    <t>AS-60478</t>
  </si>
  <si>
    <t>AS-60479</t>
  </si>
  <si>
    <t>AR-16353</t>
  </si>
  <si>
    <t>AR-16356</t>
  </si>
  <si>
    <t>RF-44290</t>
  </si>
  <si>
    <t>AR-16358</t>
  </si>
  <si>
    <t>AR-16360</t>
  </si>
  <si>
    <t>RF-44291</t>
  </si>
  <si>
    <t>RF-44292</t>
  </si>
  <si>
    <t>AS-16359</t>
  </si>
  <si>
    <t>AS-60414</t>
  </si>
  <si>
    <t>RF-44293</t>
  </si>
  <si>
    <t>RF-44285</t>
  </si>
  <si>
    <t>AS-16352</t>
  </si>
  <si>
    <t>RF-44289</t>
  </si>
  <si>
    <t>AS-60417</t>
  </si>
  <si>
    <t>AS-60416</t>
  </si>
  <si>
    <t>AS-60413</t>
  </si>
  <si>
    <t>AR-16351</t>
  </si>
  <si>
    <t>RF-44284</t>
  </si>
  <si>
    <t>AS-60410</t>
  </si>
  <si>
    <t>AS-60409</t>
  </si>
  <si>
    <t>AS-60412</t>
  </si>
  <si>
    <t>AR-16361</t>
  </si>
  <si>
    <t>RF-44332</t>
  </si>
  <si>
    <t>AS-60483</t>
  </si>
  <si>
    <t>AS-60481</t>
  </si>
  <si>
    <t>RF-44340</t>
  </si>
  <si>
    <t>RF-44335</t>
  </si>
  <si>
    <t>AR-16382</t>
  </si>
  <si>
    <t>AS-60485</t>
  </si>
  <si>
    <t>RF-44341</t>
  </si>
  <si>
    <t>AS-60484</t>
  </si>
  <si>
    <t>RF-44339</t>
  </si>
  <si>
    <t>AS-60482</t>
  </si>
  <si>
    <t>AS-60480</t>
  </si>
  <si>
    <t>AR-60383</t>
  </si>
  <si>
    <t>AS-60487</t>
  </si>
  <si>
    <t>RF-44338</t>
  </si>
  <si>
    <t>RF-44337</t>
  </si>
  <si>
    <t>RF-44336</t>
  </si>
  <si>
    <t>RF-44334</t>
  </si>
  <si>
    <t>RF-44343</t>
  </si>
  <si>
    <t>RF-44342</t>
  </si>
  <si>
    <t>RF-44374</t>
  </si>
  <si>
    <t>AS-60560</t>
  </si>
  <si>
    <t>RF-44376</t>
  </si>
  <si>
    <t>RF-44380</t>
  </si>
  <si>
    <t>AS-60558</t>
  </si>
  <si>
    <t>AS-60559</t>
  </si>
  <si>
    <t>RF-44375</t>
  </si>
  <si>
    <t>AR-16403</t>
  </si>
  <si>
    <t>AS-60623</t>
  </si>
  <si>
    <t>AS-60624</t>
  </si>
  <si>
    <t>AS-60625</t>
  </si>
  <si>
    <t>AS-60626</t>
  </si>
  <si>
    <t>RF-44371</t>
  </si>
  <si>
    <t>RF-44373</t>
  </si>
  <si>
    <t>AS-60593</t>
  </si>
  <si>
    <t>AS-60594</t>
  </si>
  <si>
    <t>AS-60615</t>
  </si>
  <si>
    <t>AS-60618</t>
  </si>
  <si>
    <t>AS-60621</t>
  </si>
  <si>
    <t>AR-16402</t>
  </si>
  <si>
    <t>RF-44378</t>
  </si>
  <si>
    <t>AS-60555</t>
  </si>
  <si>
    <t>AS-60556</t>
  </si>
  <si>
    <t>AS-60557</t>
  </si>
  <si>
    <t>AR-16397</t>
  </si>
  <si>
    <t>AR-16398</t>
  </si>
  <si>
    <t>AR-16400</t>
  </si>
  <si>
    <t>AS-60607</t>
  </si>
  <si>
    <t>AS-60616</t>
  </si>
  <si>
    <t>AS-60619</t>
  </si>
  <si>
    <t>RF-44377</t>
  </si>
  <si>
    <t>AS-60620</t>
  </si>
  <si>
    <t>AR-16399</t>
  </si>
  <si>
    <t>AS-60454</t>
  </si>
  <si>
    <t>RF-44379</t>
  </si>
  <si>
    <t>RF-44325</t>
  </si>
  <si>
    <t>RF-44283</t>
  </si>
  <si>
    <t>AS-60411</t>
  </si>
  <si>
    <t>RF-44345</t>
  </si>
  <si>
    <t>RF-44347</t>
  </si>
  <si>
    <t>RF-44348</t>
  </si>
  <si>
    <t>AS-60493</t>
  </si>
  <si>
    <t>AS-60496</t>
  </si>
  <si>
    <t>AR-16387</t>
  </si>
  <si>
    <t>AS-60499</t>
  </si>
  <si>
    <t>AS-60517</t>
  </si>
  <si>
    <t>AS-60518</t>
  </si>
  <si>
    <t>AS-60525</t>
  </si>
  <si>
    <t>RF-44351</t>
  </si>
  <si>
    <t>RF-44354</t>
  </si>
  <si>
    <t>RF-44356</t>
  </si>
  <si>
    <t>AS-60494</t>
  </si>
  <si>
    <t>AS-60495</t>
  </si>
  <si>
    <t>AS-60497</t>
  </si>
  <si>
    <t>AS-60498</t>
  </si>
  <si>
    <t>AS-60500</t>
  </si>
  <si>
    <t>AS-60524</t>
  </si>
  <si>
    <t>AS-60527</t>
  </si>
  <si>
    <t>AS-60528</t>
  </si>
  <si>
    <t>AS-60501</t>
  </si>
  <si>
    <t>A-16388</t>
  </si>
  <si>
    <t>AS-60516</t>
  </si>
  <si>
    <t>RF-44358</t>
  </si>
  <si>
    <t>AR-16384</t>
  </si>
  <si>
    <t>RF-44346</t>
  </si>
  <si>
    <t>AS-60526</t>
  </si>
  <si>
    <t>AS-60530</t>
  </si>
  <si>
    <t>RF-44349</t>
  </si>
  <si>
    <t>RF-44350</t>
  </si>
  <si>
    <t>RF-44352</t>
  </si>
  <si>
    <t>RF-44353</t>
  </si>
  <si>
    <t>RF-44355</t>
  </si>
  <si>
    <t>RF-44357</t>
  </si>
  <si>
    <t>RF-44359</t>
  </si>
  <si>
    <t>RF-44360</t>
  </si>
  <si>
    <t>RF-44361</t>
  </si>
  <si>
    <t>RF-44363</t>
  </si>
  <si>
    <t>RF-44364</t>
  </si>
  <si>
    <t>AS-60540</t>
  </si>
  <si>
    <t>AS-60541</t>
  </si>
  <si>
    <t>RF-44370</t>
  </si>
  <si>
    <t>AS-60536</t>
  </si>
  <si>
    <t>AS-60538</t>
  </si>
  <si>
    <t>RF-44365</t>
  </si>
  <si>
    <t>AR-16394</t>
  </si>
  <si>
    <t>RF-44368</t>
  </si>
  <si>
    <t>AS-60542</t>
  </si>
  <si>
    <t>AS-60543</t>
  </si>
  <si>
    <t>RF-44369</t>
  </si>
  <si>
    <t>AS-60537</t>
  </si>
  <si>
    <t>AR-16404</t>
  </si>
  <si>
    <t>AS-60629</t>
  </si>
  <si>
    <t>AS-60630</t>
  </si>
  <si>
    <t>RF-44384</t>
  </si>
  <si>
    <t>RF-44385</t>
  </si>
  <si>
    <t>AS-60631</t>
  </si>
  <si>
    <t>RF-44386</t>
  </si>
  <si>
    <t>AR-16406</t>
  </si>
  <si>
    <t>RF-44387</t>
  </si>
  <si>
    <t>RF-44389</t>
  </si>
  <si>
    <t>RF-44391</t>
  </si>
  <si>
    <t>AR-16410</t>
  </si>
  <si>
    <t>RF-44393</t>
  </si>
  <si>
    <t>RF-44392</t>
  </si>
  <si>
    <t>RF-44394</t>
  </si>
  <si>
    <t>AS-60645</t>
  </si>
  <si>
    <t>AS-60646</t>
  </si>
  <si>
    <t>AS-60632</t>
  </si>
  <si>
    <t>AS-60634</t>
  </si>
  <si>
    <t>AR-16409</t>
  </si>
  <si>
    <t>AR-16408</t>
  </si>
  <si>
    <t>AS-60641</t>
  </si>
  <si>
    <t>AS-60643</t>
  </si>
  <si>
    <t>AS-60633</t>
  </si>
  <si>
    <t>RF-44390</t>
  </si>
  <si>
    <t>RF-44381</t>
  </si>
  <si>
    <t>AS-60627</t>
  </si>
  <si>
    <t>AS-60628</t>
  </si>
  <si>
    <t>RF-44383</t>
  </si>
  <si>
    <t>RF-44395</t>
  </si>
  <si>
    <t>RF-44409</t>
  </si>
  <si>
    <t>RF44408</t>
  </si>
  <si>
    <t>RF44407</t>
  </si>
  <si>
    <t>RF-44405</t>
  </si>
  <si>
    <t>RF-44404</t>
  </si>
  <si>
    <t>AS-60657</t>
  </si>
  <si>
    <t>RF-44402</t>
  </si>
  <si>
    <t>RF-44401</t>
  </si>
  <si>
    <t>AS-60663</t>
  </si>
  <si>
    <t>RF-44406</t>
  </si>
  <si>
    <t>AS-60647</t>
  </si>
  <si>
    <t>AS-60648</t>
  </si>
  <si>
    <t>AS-60651</t>
  </si>
  <si>
    <t>AS-60654</t>
  </si>
  <si>
    <t>AS-60662</t>
  </si>
  <si>
    <t>AR-16412</t>
  </si>
  <si>
    <t>AS-60650</t>
  </si>
  <si>
    <t>AS-60652</t>
  </si>
  <si>
    <t>AS-60653</t>
  </si>
  <si>
    <t>AS-60655</t>
  </si>
  <si>
    <t>AS-60656</t>
  </si>
  <si>
    <t>AS-60658</t>
  </si>
  <si>
    <t>AR-16414</t>
  </si>
  <si>
    <t>RF-44403</t>
  </si>
  <si>
    <t>AS-60659</t>
  </si>
  <si>
    <t>AS-60661</t>
  </si>
  <si>
    <t>RF-44411</t>
  </si>
  <si>
    <t>AS-60664</t>
  </si>
  <si>
    <t>AS-60665</t>
  </si>
  <si>
    <t>RF-44398</t>
  </si>
  <si>
    <t>RF-44397</t>
  </si>
  <si>
    <t>RF-44399</t>
  </si>
  <si>
    <t>AS-60649</t>
  </si>
  <si>
    <t>AS-60660</t>
  </si>
  <si>
    <t>RF-44410</t>
  </si>
  <si>
    <t>AS-60666</t>
  </si>
  <si>
    <t>AS-60667</t>
  </si>
  <si>
    <t>TC0012</t>
  </si>
  <si>
    <t>AS-60679</t>
  </si>
  <si>
    <t>AS-60678</t>
  </si>
  <si>
    <t>TC0017</t>
  </si>
  <si>
    <t>AS-60693</t>
  </si>
  <si>
    <t>TC0025</t>
  </si>
  <si>
    <t>TC0027</t>
  </si>
  <si>
    <t>TC0021</t>
  </si>
  <si>
    <t>TC0019</t>
  </si>
  <si>
    <t>TC0020</t>
  </si>
  <si>
    <t>TC0011</t>
  </si>
  <si>
    <t>TC0031</t>
  </si>
  <si>
    <t>TC0022</t>
  </si>
  <si>
    <t>TC0016</t>
  </si>
  <si>
    <t>AS-60682</t>
  </si>
  <si>
    <t>AS-60683</t>
  </si>
  <si>
    <t>AS-60692</t>
  </si>
  <si>
    <t>AS-60691</t>
  </si>
  <si>
    <t>TC0023</t>
  </si>
  <si>
    <t>TC0029</t>
  </si>
  <si>
    <t>AS-60671</t>
  </si>
  <si>
    <t>TC0009</t>
  </si>
  <si>
    <t>AS-60685</t>
  </si>
  <si>
    <t>TC0010</t>
  </si>
  <si>
    <t>TC0014</t>
  </si>
  <si>
    <t>TC0015</t>
  </si>
  <si>
    <t>TC0018</t>
  </si>
  <si>
    <t>AS-60688</t>
  </si>
  <si>
    <t>AS-60687</t>
  </si>
  <si>
    <t>AS-60689</t>
  </si>
  <si>
    <t>TC0013</t>
  </si>
  <si>
    <t>TC0030</t>
  </si>
  <si>
    <t>TC0028</t>
  </si>
  <si>
    <t>AS-60668</t>
  </si>
  <si>
    <t>AS-60670</t>
  </si>
  <si>
    <t>TC0007</t>
  </si>
  <si>
    <t>TC0006</t>
  </si>
  <si>
    <t>TC0002</t>
  </si>
  <si>
    <t>TC0001</t>
  </si>
  <si>
    <t>RF-44413</t>
  </si>
  <si>
    <t>S84888</t>
  </si>
  <si>
    <t>S84893</t>
  </si>
  <si>
    <t>S84812</t>
  </si>
  <si>
    <t>TC0005</t>
  </si>
  <si>
    <t>TC0004</t>
  </si>
  <si>
    <t>TC0003</t>
  </si>
  <si>
    <t>RF-44414</t>
  </si>
  <si>
    <t>RF-44415</t>
  </si>
  <si>
    <t>RF-44417</t>
  </si>
  <si>
    <t>AS-60669</t>
  </si>
  <si>
    <t>TC0008</t>
  </si>
  <si>
    <t>AS-60686</t>
  </si>
  <si>
    <t>TC0024</t>
  </si>
  <si>
    <t>AS-60690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</si>
</sst>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000000"/>
    <numFmt numFmtId="165" formatCode="_-* #,##0.00_-;\-* #,##0.00_-;_-* &quot;-&quot;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36"/>
        <bgColor indexed="64"/>
      </patternFill>
    </fill>
    <fill>
      <patternFill patternType="solid">
        <fgColor indexed="46"/>
        <bgColor indexed="35"/>
      </patternFill>
    </fill>
    <fill>
      <patternFill patternType="solid">
        <fgColor indexed="46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800080"/>
        <bgColor indexed="35"/>
      </patternFill>
    </fill>
    <fill>
      <patternFill patternType="solid">
        <fgColor rgb="FFCC66FF"/>
        <bgColor indexed="35"/>
      </patternFill>
    </fill>
    <fill>
      <patternFill patternType="solid">
        <fgColor rgb="FFCC66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99FF"/>
        <bgColor indexed="35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49998474074526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49">
    <xf numFmtId="0" fontId="0" fillId="0" borderId="0" xfId="0"/>
    <xf numFmtId="0" fontId="3" fillId="2" borderId="0" xfId="2" applyFont="1" applyFill="1"/>
    <xf numFmtId="14" fontId="5" fillId="0" borderId="0" xfId="0" applyNumberFormat="1" applyFont="1"/>
    <xf numFmtId="4" fontId="4" fillId="3" borderId="0" xfId="2" applyNumberFormat="1" applyFont="1" applyFill="1"/>
    <xf numFmtId="0" fontId="4" fillId="0" borderId="0" xfId="2" applyFont="1"/>
    <xf numFmtId="4" fontId="4" fillId="4" borderId="0" xfId="2" applyNumberFormat="1" applyFont="1" applyFill="1"/>
    <xf numFmtId="0" fontId="5" fillId="0" borderId="0" xfId="0" applyFont="1"/>
    <xf numFmtId="4" fontId="6" fillId="0" borderId="0" xfId="2" applyNumberFormat="1" applyFont="1" applyBorder="1"/>
    <xf numFmtId="4" fontId="6" fillId="0" borderId="0" xfId="2" applyNumberFormat="1" applyFont="1"/>
    <xf numFmtId="4" fontId="6" fillId="0" borderId="0" xfId="2" applyNumberFormat="1" applyFont="1" applyFill="1" applyBorder="1"/>
    <xf numFmtId="0" fontId="6" fillId="0" borderId="0" xfId="0" applyFont="1" applyBorder="1"/>
    <xf numFmtId="0" fontId="6" fillId="0" borderId="0" xfId="0" applyFont="1" applyFill="1" applyBorder="1"/>
    <xf numFmtId="0" fontId="4" fillId="0" borderId="0" xfId="0" applyFont="1" applyBorder="1"/>
    <xf numFmtId="0" fontId="4" fillId="0" borderId="0" xfId="0" applyFont="1" applyFill="1" applyBorder="1"/>
    <xf numFmtId="4" fontId="6" fillId="0" borderId="0" xfId="0" applyNumberFormat="1" applyFont="1" applyFill="1" applyBorder="1"/>
    <xf numFmtId="4" fontId="4" fillId="0" borderId="0" xfId="2" applyNumberFormat="1" applyFont="1" applyFill="1" applyBorder="1"/>
    <xf numFmtId="4" fontId="4" fillId="0" borderId="0" xfId="2" applyNumberFormat="1" applyFont="1"/>
    <xf numFmtId="4" fontId="7" fillId="0" borderId="0" xfId="2" applyNumberFormat="1" applyFont="1"/>
    <xf numFmtId="0" fontId="5" fillId="0" borderId="0" xfId="0" applyFont="1" applyBorder="1"/>
    <xf numFmtId="14" fontId="6" fillId="0" borderId="0" xfId="0" applyNumberFormat="1" applyFont="1" applyBorder="1"/>
    <xf numFmtId="14" fontId="4" fillId="0" borderId="0" xfId="2" applyNumberFormat="1" applyFont="1" applyFill="1" applyBorder="1"/>
    <xf numFmtId="14" fontId="4" fillId="0" borderId="0" xfId="0" applyNumberFormat="1" applyFont="1" applyBorder="1"/>
    <xf numFmtId="14" fontId="4" fillId="0" borderId="0" xfId="2" applyNumberFormat="1" applyFont="1" applyBorder="1"/>
    <xf numFmtId="4" fontId="4" fillId="0" borderId="0" xfId="0" applyNumberFormat="1" applyFont="1" applyFill="1" applyBorder="1"/>
    <xf numFmtId="43" fontId="4" fillId="0" borderId="0" xfId="1" applyFont="1" applyFill="1" applyBorder="1"/>
    <xf numFmtId="0" fontId="9" fillId="0" borderId="0" xfId="0" applyFont="1" applyFill="1" applyBorder="1"/>
    <xf numFmtId="4" fontId="4" fillId="0" borderId="0" xfId="2" applyNumberFormat="1" applyFont="1" applyBorder="1"/>
    <xf numFmtId="43" fontId="4" fillId="0" borderId="0" xfId="1" applyFont="1"/>
    <xf numFmtId="43" fontId="7" fillId="0" borderId="0" xfId="1" applyFont="1"/>
    <xf numFmtId="43" fontId="6" fillId="3" borderId="0" xfId="1" applyFont="1" applyFill="1" applyBorder="1"/>
    <xf numFmtId="4" fontId="6" fillId="4" borderId="0" xfId="2" applyNumberFormat="1" applyFont="1" applyFill="1" applyBorder="1"/>
    <xf numFmtId="43" fontId="6" fillId="4" borderId="0" xfId="1" applyFont="1" applyFill="1" applyBorder="1"/>
    <xf numFmtId="43" fontId="4" fillId="4" borderId="0" xfId="1" applyFont="1" applyFill="1" applyBorder="1"/>
    <xf numFmtId="43" fontId="10" fillId="4" borderId="0" xfId="1" applyFont="1" applyFill="1" applyBorder="1"/>
    <xf numFmtId="43" fontId="11" fillId="4" borderId="0" xfId="1" applyFont="1" applyFill="1" applyBorder="1"/>
    <xf numFmtId="43" fontId="8" fillId="4" borderId="0" xfId="1" applyFont="1" applyFill="1" applyBorder="1"/>
    <xf numFmtId="0" fontId="6" fillId="4" borderId="0" xfId="0" applyFont="1" applyFill="1" applyBorder="1"/>
    <xf numFmtId="0" fontId="12" fillId="5" borderId="0" xfId="2" applyFont="1" applyFill="1"/>
    <xf numFmtId="4" fontId="12" fillId="6" borderId="0" xfId="2" applyNumberFormat="1" applyFont="1" applyFill="1"/>
    <xf numFmtId="4" fontId="12" fillId="5" borderId="0" xfId="2" applyNumberFormat="1" applyFont="1" applyFill="1"/>
    <xf numFmtId="14" fontId="12" fillId="5" borderId="0" xfId="2" applyNumberFormat="1" applyFont="1" applyFill="1" applyBorder="1"/>
    <xf numFmtId="4" fontId="12" fillId="5" borderId="0" xfId="2" applyNumberFormat="1" applyFont="1" applyFill="1" applyBorder="1"/>
    <xf numFmtId="4" fontId="12" fillId="5" borderId="0" xfId="0" applyNumberFormat="1" applyFont="1" applyFill="1" applyBorder="1"/>
    <xf numFmtId="0" fontId="12" fillId="5" borderId="0" xfId="0" applyFont="1" applyFill="1" applyBorder="1"/>
    <xf numFmtId="43" fontId="12" fillId="5" borderId="0" xfId="1" applyFont="1" applyFill="1"/>
    <xf numFmtId="43" fontId="12" fillId="6" borderId="0" xfId="1" applyFont="1" applyFill="1" applyBorder="1"/>
    <xf numFmtId="43" fontId="12" fillId="5" borderId="0" xfId="1" applyFont="1" applyFill="1" applyBorder="1"/>
    <xf numFmtId="14" fontId="12" fillId="5" borderId="0" xfId="0" applyNumberFormat="1" applyFont="1" applyFill="1"/>
    <xf numFmtId="0" fontId="12" fillId="5" borderId="0" xfId="0" applyFont="1" applyFill="1"/>
    <xf numFmtId="14" fontId="12" fillId="5" borderId="0" xfId="0" applyNumberFormat="1" applyFont="1" applyFill="1" applyBorder="1"/>
    <xf numFmtId="2" fontId="12" fillId="5" borderId="0" xfId="2" applyNumberFormat="1" applyFont="1" applyFill="1" applyBorder="1"/>
    <xf numFmtId="4" fontId="4" fillId="0" borderId="1" xfId="2" applyNumberFormat="1" applyFont="1" applyFill="1" applyBorder="1"/>
    <xf numFmtId="4" fontId="6" fillId="0" borderId="1" xfId="2" applyNumberFormat="1" applyFont="1" applyFill="1" applyBorder="1"/>
    <xf numFmtId="2" fontId="4" fillId="4" borderId="1" xfId="2" applyNumberFormat="1" applyFont="1" applyFill="1" applyBorder="1"/>
    <xf numFmtId="43" fontId="11" fillId="0" borderId="0" xfId="1" applyFont="1" applyFill="1" applyBorder="1"/>
    <xf numFmtId="14" fontId="9" fillId="0" borderId="0" xfId="0" applyNumberFormat="1" applyFont="1"/>
    <xf numFmtId="0" fontId="9" fillId="0" borderId="0" xfId="0" applyFont="1"/>
    <xf numFmtId="2" fontId="4" fillId="0" borderId="0" xfId="2" applyNumberFormat="1" applyFont="1" applyFill="1" applyBorder="1"/>
    <xf numFmtId="43" fontId="7" fillId="0" borderId="0" xfId="1" applyFont="1" applyFill="1" applyBorder="1"/>
    <xf numFmtId="0" fontId="9" fillId="0" borderId="0" xfId="0" applyFont="1" applyBorder="1"/>
    <xf numFmtId="4" fontId="4" fillId="0" borderId="0" xfId="2" applyNumberFormat="1" applyFont="1" applyFill="1"/>
    <xf numFmtId="43" fontId="4" fillId="4" borderId="1" xfId="1" applyFont="1" applyFill="1" applyBorder="1"/>
    <xf numFmtId="43" fontId="4" fillId="3" borderId="1" xfId="1" applyFont="1" applyFill="1" applyBorder="1"/>
    <xf numFmtId="2" fontId="4" fillId="4" borderId="0" xfId="2" applyNumberFormat="1" applyFont="1" applyFill="1" applyBorder="1"/>
    <xf numFmtId="0" fontId="3" fillId="0" borderId="0" xfId="2" applyFont="1" applyFill="1"/>
    <xf numFmtId="14" fontId="5" fillId="0" borderId="0" xfId="0" applyNumberFormat="1" applyFont="1" applyFill="1"/>
    <xf numFmtId="4" fontId="6" fillId="0" borderId="0" xfId="2" applyNumberFormat="1" applyFont="1" applyFill="1"/>
    <xf numFmtId="4" fontId="7" fillId="0" borderId="0" xfId="2" applyNumberFormat="1" applyFont="1" applyFill="1"/>
    <xf numFmtId="14" fontId="6" fillId="0" borderId="0" xfId="0" applyNumberFormat="1" applyFont="1" applyFill="1" applyBorder="1"/>
    <xf numFmtId="43" fontId="4" fillId="0" borderId="0" xfId="1" applyFont="1" applyFill="1"/>
    <xf numFmtId="43" fontId="7" fillId="0" borderId="0" xfId="1" applyFont="1" applyFill="1"/>
    <xf numFmtId="0" fontId="4" fillId="0" borderId="0" xfId="2" applyFont="1" applyFill="1"/>
    <xf numFmtId="43" fontId="6" fillId="0" borderId="0" xfId="1" applyFont="1" applyFill="1" applyBorder="1"/>
    <xf numFmtId="2" fontId="6" fillId="0" borderId="0" xfId="2" applyNumberFormat="1" applyFont="1" applyFill="1" applyBorder="1"/>
    <xf numFmtId="43" fontId="8" fillId="0" borderId="0" xfId="1" applyFont="1" applyFill="1" applyBorder="1"/>
    <xf numFmtId="0" fontId="5" fillId="0" borderId="0" xfId="0" applyFont="1" applyFill="1" applyBorder="1"/>
    <xf numFmtId="0" fontId="5" fillId="0" borderId="0" xfId="0" applyFont="1" applyFill="1"/>
    <xf numFmtId="43" fontId="9" fillId="4" borderId="1" xfId="1" applyFont="1" applyFill="1" applyBorder="1"/>
    <xf numFmtId="43" fontId="5" fillId="4" borderId="0" xfId="1" applyFont="1" applyFill="1" applyBorder="1"/>
    <xf numFmtId="4" fontId="4" fillId="4" borderId="1" xfId="2" applyNumberFormat="1" applyFont="1" applyFill="1" applyBorder="1"/>
    <xf numFmtId="4" fontId="4" fillId="0" borderId="1" xfId="0" applyNumberFormat="1" applyFont="1" applyFill="1" applyBorder="1"/>
    <xf numFmtId="4" fontId="4" fillId="0" borderId="1" xfId="2" applyNumberFormat="1" applyFont="1" applyBorder="1"/>
    <xf numFmtId="43" fontId="6" fillId="7" borderId="0" xfId="1" applyFont="1" applyFill="1" applyBorder="1"/>
    <xf numFmtId="4" fontId="6" fillId="8" borderId="0" xfId="2" applyNumberFormat="1" applyFont="1" applyFill="1" applyBorder="1"/>
    <xf numFmtId="43" fontId="4" fillId="4" borderId="2" xfId="1" applyFont="1" applyFill="1" applyBorder="1"/>
    <xf numFmtId="0" fontId="4" fillId="0" borderId="0" xfId="1" applyNumberFormat="1" applyFont="1" applyFill="1" applyBorder="1"/>
    <xf numFmtId="0" fontId="4" fillId="0" borderId="0" xfId="2" applyNumberFormat="1" applyFont="1" applyFill="1" applyBorder="1"/>
    <xf numFmtId="43" fontId="6" fillId="0" borderId="0" xfId="1" applyFont="1" applyBorder="1"/>
    <xf numFmtId="0" fontId="4" fillId="0" borderId="0" xfId="2" applyNumberFormat="1" applyFont="1" applyBorder="1"/>
    <xf numFmtId="43" fontId="6" fillId="0" borderId="2" xfId="1" applyFont="1" applyFill="1" applyBorder="1"/>
    <xf numFmtId="4" fontId="6" fillId="0" borderId="2" xfId="2" applyNumberFormat="1" applyFont="1" applyFill="1" applyBorder="1"/>
    <xf numFmtId="4" fontId="4" fillId="0" borderId="2" xfId="2" applyNumberFormat="1" applyFont="1" applyFill="1" applyBorder="1"/>
    <xf numFmtId="4" fontId="4" fillId="0" borderId="2" xfId="0" applyNumberFormat="1" applyFont="1" applyFill="1" applyBorder="1"/>
    <xf numFmtId="43" fontId="6" fillId="3" borderId="2" xfId="1" applyFont="1" applyFill="1" applyBorder="1"/>
    <xf numFmtId="43" fontId="4" fillId="3" borderId="0" xfId="1" applyFont="1" applyFill="1" applyBorder="1"/>
    <xf numFmtId="4" fontId="4" fillId="0" borderId="3" xfId="2" applyNumberFormat="1" applyFont="1" applyFill="1" applyBorder="1"/>
    <xf numFmtId="4" fontId="6" fillId="10" borderId="0" xfId="2" applyNumberFormat="1" applyFont="1" applyFill="1" applyBorder="1"/>
    <xf numFmtId="43" fontId="4" fillId="3" borderId="3" xfId="1" applyFont="1" applyFill="1" applyBorder="1"/>
    <xf numFmtId="4" fontId="4" fillId="4" borderId="0" xfId="2" applyNumberFormat="1" applyFont="1" applyFill="1" applyBorder="1"/>
    <xf numFmtId="43" fontId="4" fillId="0" borderId="3" xfId="1" applyFont="1" applyFill="1" applyBorder="1"/>
    <xf numFmtId="4" fontId="4" fillId="4" borderId="3" xfId="2" applyNumberFormat="1" applyFont="1" applyFill="1" applyBorder="1"/>
    <xf numFmtId="2" fontId="6" fillId="4" borderId="0" xfId="2" applyNumberFormat="1" applyFont="1" applyFill="1" applyBorder="1"/>
    <xf numFmtId="43" fontId="4" fillId="9" borderId="0" xfId="1" applyFont="1" applyFill="1" applyBorder="1"/>
    <xf numFmtId="4" fontId="4" fillId="9" borderId="0" xfId="2" applyNumberFormat="1" applyFont="1" applyFill="1" applyBorder="1"/>
    <xf numFmtId="43" fontId="6" fillId="10" borderId="0" xfId="1" applyFont="1" applyFill="1" applyBorder="1"/>
    <xf numFmtId="43" fontId="5" fillId="3" borderId="0" xfId="1" applyFont="1" applyFill="1" applyBorder="1"/>
    <xf numFmtId="43" fontId="9" fillId="0" borderId="0" xfId="1" applyFont="1" applyFill="1" applyBorder="1"/>
    <xf numFmtId="4" fontId="5" fillId="4" borderId="0" xfId="2" applyNumberFormat="1" applyFont="1" applyFill="1" applyBorder="1"/>
    <xf numFmtId="4" fontId="9" fillId="0" borderId="0" xfId="2" applyNumberFormat="1" applyFont="1" applyFill="1" applyBorder="1"/>
    <xf numFmtId="2" fontId="9" fillId="0" borderId="0" xfId="2" applyNumberFormat="1" applyFont="1" applyFill="1" applyBorder="1"/>
    <xf numFmtId="2" fontId="5" fillId="4" borderId="0" xfId="2" applyNumberFormat="1" applyFont="1" applyFill="1" applyBorder="1"/>
    <xf numFmtId="4" fontId="4" fillId="0" borderId="3" xfId="0" applyNumberFormat="1" applyFont="1" applyFill="1" applyBorder="1"/>
    <xf numFmtId="4" fontId="6" fillId="11" borderId="0" xfId="2" applyNumberFormat="1" applyFont="1" applyFill="1" applyBorder="1"/>
    <xf numFmtId="0" fontId="6" fillId="11" borderId="0" xfId="0" applyFont="1" applyFill="1" applyBorder="1"/>
    <xf numFmtId="0" fontId="6" fillId="10" borderId="0" xfId="0" applyFont="1" applyFill="1" applyBorder="1"/>
    <xf numFmtId="43" fontId="4" fillId="10" borderId="3" xfId="1" applyFont="1" applyFill="1" applyBorder="1"/>
    <xf numFmtId="43" fontId="4" fillId="10" borderId="0" xfId="1" applyFont="1" applyFill="1" applyBorder="1"/>
    <xf numFmtId="4" fontId="7" fillId="0" borderId="0" xfId="2" applyNumberFormat="1" applyFont="1" applyBorder="1"/>
    <xf numFmtId="0" fontId="4" fillId="0" borderId="0" xfId="2" applyFont="1" applyBorder="1"/>
    <xf numFmtId="0" fontId="4" fillId="0" borderId="0" xfId="2" applyFont="1" applyFill="1" applyBorder="1"/>
    <xf numFmtId="0" fontId="0" fillId="0" borderId="0" xfId="0" applyBorder="1"/>
    <xf numFmtId="4" fontId="6" fillId="0" borderId="0" xfId="2" applyNumberFormat="1" applyFont="1" applyFill="1" applyBorder="1" applyAlignment="1">
      <alignment horizontal="right"/>
    </xf>
    <xf numFmtId="43" fontId="6" fillId="12" borderId="0" xfId="1" applyFont="1" applyFill="1" applyBorder="1"/>
    <xf numFmtId="4" fontId="13" fillId="0" borderId="1" xfId="0" applyNumberFormat="1" applyFont="1" applyBorder="1"/>
    <xf numFmtId="43" fontId="0" fillId="0" borderId="0" xfId="0" applyNumberFormat="1" applyBorder="1"/>
    <xf numFmtId="43" fontId="4" fillId="0" borderId="1" xfId="1" applyFont="1" applyFill="1" applyBorder="1"/>
    <xf numFmtId="0" fontId="4" fillId="0" borderId="1" xfId="0" applyFont="1" applyFill="1" applyBorder="1"/>
    <xf numFmtId="0" fontId="0" fillId="0" borderId="0" xfId="0" applyFill="1" applyBorder="1"/>
    <xf numFmtId="0" fontId="0" fillId="10" borderId="0" xfId="0" applyFill="1" applyBorder="1"/>
    <xf numFmtId="43" fontId="13" fillId="10" borderId="1" xfId="0" applyNumberFormat="1" applyFont="1" applyFill="1" applyBorder="1"/>
    <xf numFmtId="43" fontId="4" fillId="0" borderId="3" xfId="1" applyFont="1" applyBorder="1"/>
    <xf numFmtId="43" fontId="9" fillId="3" borderId="3" xfId="1" applyFont="1" applyFill="1" applyBorder="1"/>
    <xf numFmtId="4" fontId="13" fillId="0" borderId="3" xfId="0" applyNumberFormat="1" applyFont="1" applyBorder="1"/>
    <xf numFmtId="4" fontId="13" fillId="0" borderId="0" xfId="0" applyNumberFormat="1" applyFont="1" applyBorder="1"/>
    <xf numFmtId="4" fontId="7" fillId="0" borderId="0" xfId="2" applyNumberFormat="1" applyFont="1" applyFill="1" applyBorder="1"/>
    <xf numFmtId="14" fontId="4" fillId="0" borderId="0" xfId="0" applyNumberFormat="1" applyFont="1" applyFill="1" applyBorder="1"/>
    <xf numFmtId="43" fontId="0" fillId="0" borderId="0" xfId="0" applyNumberFormat="1"/>
    <xf numFmtId="4" fontId="0" fillId="0" borderId="0" xfId="0" applyNumberFormat="1" applyFont="1" applyBorder="1"/>
    <xf numFmtId="0" fontId="0" fillId="10" borderId="0" xfId="0" applyFill="1"/>
    <xf numFmtId="0" fontId="0" fillId="0" borderId="0" xfId="0" applyFill="1"/>
    <xf numFmtId="43" fontId="0" fillId="10" borderId="0" xfId="0" applyNumberFormat="1" applyFill="1"/>
    <xf numFmtId="14" fontId="5" fillId="0" borderId="0" xfId="0" applyNumberFormat="1" applyFont="1" applyBorder="1"/>
    <xf numFmtId="14" fontId="9" fillId="0" borderId="0" xfId="0" applyNumberFormat="1" applyFont="1" applyBorder="1"/>
    <xf numFmtId="4" fontId="4" fillId="3" borderId="0" xfId="2" applyNumberFormat="1" applyFont="1" applyFill="1" applyBorder="1"/>
    <xf numFmtId="43" fontId="4" fillId="0" borderId="0" xfId="1" applyFont="1" applyBorder="1"/>
    <xf numFmtId="43" fontId="7" fillId="0" borderId="0" xfId="1" applyFont="1" applyBorder="1"/>
    <xf numFmtId="43" fontId="13" fillId="10" borderId="0" xfId="0" applyNumberFormat="1" applyFont="1" applyFill="1" applyBorder="1"/>
    <xf numFmtId="4" fontId="4" fillId="0" borderId="3" xfId="2" applyNumberFormat="1" applyFont="1" applyBorder="1"/>
    <xf numFmtId="43" fontId="4" fillId="4" borderId="3" xfId="1" applyFont="1" applyFill="1" applyBorder="1"/>
    <xf numFmtId="4" fontId="0" fillId="0" borderId="0" xfId="0" applyNumberFormat="1" applyBorder="1"/>
    <xf numFmtId="43" fontId="0" fillId="10" borderId="0" xfId="0" applyNumberFormat="1" applyFill="1" applyBorder="1"/>
    <xf numFmtId="43" fontId="13" fillId="10" borderId="3" xfId="0" applyNumberFormat="1" applyFont="1" applyFill="1" applyBorder="1"/>
    <xf numFmtId="4" fontId="4" fillId="0" borderId="3" xfId="0" applyNumberFormat="1" applyFont="1" applyBorder="1"/>
    <xf numFmtId="0" fontId="13" fillId="0" borderId="0" xfId="0" applyFont="1" applyBorder="1"/>
    <xf numFmtId="0" fontId="13" fillId="0" borderId="0" xfId="0" applyFont="1" applyFill="1" applyBorder="1"/>
    <xf numFmtId="4" fontId="4" fillId="11" borderId="3" xfId="2" applyNumberFormat="1" applyFont="1" applyFill="1" applyBorder="1"/>
    <xf numFmtId="4" fontId="13" fillId="10" borderId="3" xfId="0" applyNumberFormat="1" applyFont="1" applyFill="1" applyBorder="1"/>
    <xf numFmtId="4" fontId="6" fillId="13" borderId="0" xfId="2" applyNumberFormat="1" applyFont="1" applyFill="1" applyBorder="1"/>
    <xf numFmtId="43" fontId="4" fillId="13" borderId="0" xfId="1" applyFont="1" applyFill="1" applyBorder="1"/>
    <xf numFmtId="4" fontId="4" fillId="13" borderId="0" xfId="2" applyNumberFormat="1" applyFont="1" applyFill="1" applyBorder="1"/>
    <xf numFmtId="43" fontId="4" fillId="3" borderId="2" xfId="1" applyFont="1" applyFill="1" applyBorder="1"/>
    <xf numFmtId="4" fontId="4" fillId="0" borderId="0" xfId="0" applyNumberFormat="1" applyFont="1" applyBorder="1"/>
    <xf numFmtId="4" fontId="4" fillId="11" borderId="0" xfId="2" applyNumberFormat="1" applyFont="1" applyFill="1" applyBorder="1"/>
    <xf numFmtId="16" fontId="5" fillId="0" borderId="0" xfId="0" applyNumberFormat="1" applyFont="1" applyBorder="1"/>
    <xf numFmtId="16" fontId="4" fillId="0" borderId="0" xfId="2" applyNumberFormat="1" applyFont="1" applyBorder="1"/>
    <xf numFmtId="2" fontId="6" fillId="10" borderId="0" xfId="2" applyNumberFormat="1" applyFont="1" applyFill="1" applyBorder="1"/>
    <xf numFmtId="43" fontId="4" fillId="11" borderId="0" xfId="1" applyFont="1" applyFill="1" applyBorder="1"/>
    <xf numFmtId="4" fontId="4" fillId="0" borderId="3" xfId="2" applyNumberFormat="1" applyFont="1" applyFill="1" applyBorder="1" applyAlignment="1">
      <alignment horizontal="right"/>
    </xf>
    <xf numFmtId="43" fontId="6" fillId="11" borderId="0" xfId="1" applyFont="1" applyFill="1" applyBorder="1"/>
    <xf numFmtId="2" fontId="4" fillId="4" borderId="3" xfId="2" applyNumberFormat="1" applyFont="1" applyFill="1" applyBorder="1"/>
    <xf numFmtId="43" fontId="6" fillId="13" borderId="0" xfId="1" applyFont="1" applyFill="1" applyBorder="1"/>
    <xf numFmtId="43" fontId="4" fillId="14" borderId="0" xfId="1" applyFont="1" applyFill="1" applyBorder="1"/>
    <xf numFmtId="4" fontId="4" fillId="14" borderId="0" xfId="2" applyNumberFormat="1" applyFont="1" applyFill="1" applyBorder="1"/>
    <xf numFmtId="0" fontId="14" fillId="10" borderId="0" xfId="0" applyFont="1" applyFill="1" applyBorder="1"/>
    <xf numFmtId="4" fontId="15" fillId="10" borderId="3" xfId="0" applyNumberFormat="1" applyFont="1" applyFill="1" applyBorder="1"/>
    <xf numFmtId="16" fontId="13" fillId="0" borderId="0" xfId="0" applyNumberFormat="1" applyFont="1" applyBorder="1"/>
    <xf numFmtId="4" fontId="6" fillId="15" borderId="0" xfId="2" applyNumberFormat="1" applyFont="1" applyFill="1" applyBorder="1"/>
    <xf numFmtId="43" fontId="6" fillId="15" borderId="0" xfId="1" applyFont="1" applyFill="1" applyBorder="1"/>
    <xf numFmtId="0" fontId="6" fillId="15" borderId="0" xfId="0" applyFont="1" applyFill="1" applyBorder="1"/>
    <xf numFmtId="164" fontId="0" fillId="10" borderId="0" xfId="0" applyNumberFormat="1" applyFill="1" applyBorder="1"/>
    <xf numFmtId="43" fontId="4" fillId="16" borderId="0" xfId="1" applyFont="1" applyFill="1" applyBorder="1"/>
    <xf numFmtId="4" fontId="4" fillId="16" borderId="0" xfId="2" applyNumberFormat="1" applyFont="1" applyFill="1" applyBorder="1"/>
    <xf numFmtId="2" fontId="4" fillId="16" borderId="0" xfId="2" applyNumberFormat="1" applyFont="1" applyFill="1" applyBorder="1"/>
    <xf numFmtId="0" fontId="0" fillId="10" borderId="0" xfId="0" applyFont="1" applyFill="1" applyBorder="1"/>
    <xf numFmtId="43" fontId="4" fillId="0" borderId="0" xfId="1" applyFont="1" applyFill="1" applyBorder="1" applyAlignment="1">
      <alignment horizontal="left"/>
    </xf>
    <xf numFmtId="4" fontId="4" fillId="0" borderId="0" xfId="2" applyNumberFormat="1" applyFont="1" applyFill="1" applyBorder="1" applyAlignment="1">
      <alignment horizontal="left"/>
    </xf>
    <xf numFmtId="2" fontId="4" fillId="0" borderId="0" xfId="2" applyNumberFormat="1" applyFont="1" applyFill="1" applyBorder="1" applyAlignment="1">
      <alignment horizontal="left"/>
    </xf>
    <xf numFmtId="4" fontId="4" fillId="0" borderId="0" xfId="2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4" fontId="4" fillId="0" borderId="0" xfId="2" applyNumberFormat="1" applyFont="1" applyFill="1" applyBorder="1" applyAlignment="1">
      <alignment horizontal="right"/>
    </xf>
    <xf numFmtId="4" fontId="15" fillId="10" borderId="0" xfId="0" applyNumberFormat="1" applyFont="1" applyFill="1" applyBorder="1"/>
    <xf numFmtId="4" fontId="6" fillId="0" borderId="0" xfId="0" applyNumberFormat="1" applyFont="1" applyBorder="1"/>
    <xf numFmtId="4" fontId="0" fillId="0" borderId="0" xfId="0" applyNumberFormat="1" applyFont="1" applyFill="1" applyBorder="1"/>
    <xf numFmtId="0" fontId="4" fillId="0" borderId="3" xfId="0" applyFont="1" applyFill="1" applyBorder="1"/>
    <xf numFmtId="4" fontId="6" fillId="11" borderId="0" xfId="0" applyNumberFormat="1" applyFont="1" applyFill="1" applyBorder="1"/>
    <xf numFmtId="0" fontId="0" fillId="17" borderId="0" xfId="0" applyFill="1" applyBorder="1"/>
    <xf numFmtId="44" fontId="6" fillId="0" borderId="0" xfId="3" applyFont="1" applyBorder="1"/>
    <xf numFmtId="43" fontId="6" fillId="16" borderId="0" xfId="1" applyFont="1" applyFill="1" applyBorder="1"/>
    <xf numFmtId="43" fontId="0" fillId="10" borderId="0" xfId="0" applyNumberFormat="1" applyFont="1" applyFill="1" applyBorder="1"/>
    <xf numFmtId="43" fontId="4" fillId="12" borderId="3" xfId="1" applyFont="1" applyFill="1" applyBorder="1"/>
    <xf numFmtId="0" fontId="0" fillId="11" borderId="0" xfId="0" applyFill="1"/>
    <xf numFmtId="0" fontId="13" fillId="0" borderId="1" xfId="0" applyFont="1" applyBorder="1"/>
    <xf numFmtId="0" fontId="13" fillId="10" borderId="1" xfId="0" applyFont="1" applyFill="1" applyBorder="1"/>
    <xf numFmtId="0" fontId="13" fillId="0" borderId="0" xfId="0" applyFont="1"/>
    <xf numFmtId="4" fontId="4" fillId="11" borderId="0" xfId="0" applyNumberFormat="1" applyFont="1" applyFill="1" applyBorder="1"/>
    <xf numFmtId="43" fontId="4" fillId="12" borderId="0" xfId="1" applyFont="1" applyFill="1" applyBorder="1"/>
    <xf numFmtId="43" fontId="9" fillId="3" borderId="0" xfId="1" applyFont="1" applyFill="1" applyBorder="1"/>
    <xf numFmtId="4" fontId="13" fillId="10" borderId="0" xfId="0" applyNumberFormat="1" applyFont="1" applyFill="1" applyBorder="1"/>
    <xf numFmtId="43" fontId="4" fillId="17" borderId="0" xfId="1" applyFont="1" applyFill="1" applyBorder="1" applyAlignment="1">
      <alignment horizontal="left"/>
    </xf>
    <xf numFmtId="0" fontId="9" fillId="17" borderId="0" xfId="0" applyFont="1" applyFill="1" applyBorder="1" applyAlignment="1">
      <alignment horizontal="left"/>
    </xf>
    <xf numFmtId="4" fontId="4" fillId="17" borderId="0" xfId="2" applyNumberFormat="1" applyFont="1" applyFill="1" applyBorder="1" applyAlignment="1">
      <alignment horizontal="left"/>
    </xf>
    <xf numFmtId="2" fontId="4" fillId="17" borderId="0" xfId="2" applyNumberFormat="1" applyFont="1" applyFill="1" applyBorder="1" applyAlignment="1">
      <alignment horizontal="left"/>
    </xf>
    <xf numFmtId="4" fontId="6" fillId="17" borderId="0" xfId="2" applyNumberFormat="1" applyFont="1" applyFill="1" applyBorder="1"/>
    <xf numFmtId="43" fontId="6" fillId="17" borderId="0" xfId="1" applyFont="1" applyFill="1" applyBorder="1"/>
    <xf numFmtId="43" fontId="4" fillId="17" borderId="0" xfId="1" applyFont="1" applyFill="1" applyBorder="1"/>
    <xf numFmtId="2" fontId="4" fillId="17" borderId="0" xfId="2" applyNumberFormat="1" applyFont="1" applyFill="1" applyBorder="1"/>
    <xf numFmtId="4" fontId="4" fillId="17" borderId="0" xfId="2" applyNumberFormat="1" applyFont="1" applyFill="1" applyBorder="1"/>
    <xf numFmtId="0" fontId="6" fillId="17" borderId="0" xfId="0" applyFont="1" applyFill="1" applyBorder="1"/>
    <xf numFmtId="4" fontId="0" fillId="17" borderId="0" xfId="0" applyNumberFormat="1" applyFont="1" applyFill="1" applyBorder="1"/>
    <xf numFmtId="4" fontId="4" fillId="17" borderId="3" xfId="2" applyNumberFormat="1" applyFont="1" applyFill="1" applyBorder="1"/>
    <xf numFmtId="0" fontId="13" fillId="10" borderId="3" xfId="0" applyFont="1" applyFill="1" applyBorder="1"/>
    <xf numFmtId="43" fontId="5" fillId="0" borderId="0" xfId="1" applyFont="1" applyFill="1" applyBorder="1"/>
    <xf numFmtId="4" fontId="6" fillId="18" borderId="0" xfId="2" applyNumberFormat="1" applyFont="1" applyFill="1" applyBorder="1"/>
    <xf numFmtId="0" fontId="6" fillId="18" borderId="0" xfId="0" applyFont="1" applyFill="1" applyBorder="1"/>
    <xf numFmtId="4" fontId="4" fillId="18" borderId="0" xfId="0" applyNumberFormat="1" applyFont="1" applyFill="1" applyBorder="1"/>
    <xf numFmtId="43" fontId="0" fillId="11" borderId="0" xfId="0" applyNumberFormat="1" applyFill="1" applyBorder="1"/>
    <xf numFmtId="4" fontId="0" fillId="10" borderId="0" xfId="0" applyNumberFormat="1" applyFont="1" applyFill="1" applyBorder="1"/>
    <xf numFmtId="4" fontId="0" fillId="0" borderId="0" xfId="0" applyNumberFormat="1" applyFill="1" applyBorder="1"/>
    <xf numFmtId="4" fontId="13" fillId="0" borderId="0" xfId="0" applyNumberFormat="1" applyFont="1" applyFill="1" applyBorder="1"/>
    <xf numFmtId="4" fontId="13" fillId="0" borderId="3" xfId="0" applyNumberFormat="1" applyFont="1" applyFill="1" applyBorder="1"/>
    <xf numFmtId="14" fontId="5" fillId="0" borderId="0" xfId="0" applyNumberFormat="1" applyFont="1" applyFill="1" applyBorder="1"/>
    <xf numFmtId="14" fontId="9" fillId="0" borderId="0" xfId="0" applyNumberFormat="1" applyFont="1" applyFill="1" applyBorder="1"/>
    <xf numFmtId="14" fontId="9" fillId="0" borderId="0" xfId="0" applyNumberFormat="1" applyFont="1" applyFill="1"/>
    <xf numFmtId="0" fontId="9" fillId="0" borderId="0" xfId="0" applyFont="1" applyFill="1"/>
    <xf numFmtId="16" fontId="5" fillId="0" borderId="0" xfId="0" applyNumberFormat="1" applyFont="1" applyFill="1" applyBorder="1"/>
    <xf numFmtId="43" fontId="13" fillId="0" borderId="3" xfId="0" applyNumberFormat="1" applyFont="1" applyFill="1" applyBorder="1"/>
    <xf numFmtId="43" fontId="13" fillId="0" borderId="0" xfId="0" applyNumberFormat="1" applyFont="1" applyFill="1" applyBorder="1"/>
    <xf numFmtId="0" fontId="0" fillId="0" borderId="0" xfId="0" applyFont="1" applyFill="1" applyBorder="1"/>
    <xf numFmtId="43" fontId="0" fillId="0" borderId="0" xfId="0" applyNumberFormat="1" applyFill="1" applyBorder="1"/>
    <xf numFmtId="0" fontId="13" fillId="10" borderId="0" xfId="0" applyFont="1" applyFill="1" applyBorder="1"/>
    <xf numFmtId="43" fontId="15" fillId="10" borderId="3" xfId="0" applyNumberFormat="1" applyFont="1" applyFill="1" applyBorder="1"/>
    <xf numFmtId="4" fontId="4" fillId="10" borderId="3" xfId="2" applyNumberFormat="1" applyFont="1" applyFill="1" applyBorder="1"/>
    <xf numFmtId="4" fontId="6" fillId="14" borderId="0" xfId="2" applyNumberFormat="1" applyFont="1" applyFill="1" applyBorder="1"/>
    <xf numFmtId="0" fontId="16" fillId="10" borderId="0" xfId="0" applyFont="1" applyFill="1" applyBorder="1"/>
    <xf numFmtId="4" fontId="16" fillId="10" borderId="0" xfId="0" applyNumberFormat="1" applyFont="1" applyFill="1" applyBorder="1"/>
    <xf numFmtId="43" fontId="17" fillId="10" borderId="3" xfId="0" applyNumberFormat="1" applyFont="1" applyFill="1" applyBorder="1"/>
    <xf numFmtId="43" fontId="13" fillId="0" borderId="3" xfId="0" applyNumberFormat="1" applyFont="1" applyBorder="1"/>
    <xf numFmtId="4" fontId="6" fillId="9" borderId="0" xfId="2" applyNumberFormat="1" applyFont="1" applyFill="1" applyBorder="1"/>
    <xf numFmtId="43" fontId="15" fillId="10" borderId="0" xfId="0" applyNumberFormat="1" applyFont="1" applyFill="1" applyBorder="1"/>
    <xf numFmtId="0" fontId="18" fillId="10" borderId="0" xfId="0" applyFont="1" applyFill="1" applyBorder="1"/>
    <xf numFmtId="43" fontId="19" fillId="10" borderId="3" xfId="0" applyNumberFormat="1" applyFont="1" applyFill="1" applyBorder="1"/>
    <xf numFmtId="4" fontId="18" fillId="0" borderId="0" xfId="0" applyNumberFormat="1" applyFont="1" applyBorder="1"/>
    <xf numFmtId="0" fontId="6" fillId="14" borderId="0" xfId="0" applyFont="1" applyFill="1" applyBorder="1"/>
    <xf numFmtId="4" fontId="4" fillId="14" borderId="3" xfId="2" applyNumberFormat="1" applyFont="1" applyFill="1" applyBorder="1"/>
    <xf numFmtId="4" fontId="0" fillId="14" borderId="0" xfId="0" applyNumberFormat="1" applyFont="1" applyFill="1" applyBorder="1"/>
    <xf numFmtId="4" fontId="4" fillId="10" borderId="0" xfId="2" applyNumberFormat="1" applyFont="1" applyFill="1" applyBorder="1"/>
    <xf numFmtId="43" fontId="17" fillId="10" borderId="0" xfId="0" applyNumberFormat="1" applyFont="1" applyFill="1" applyBorder="1"/>
    <xf numFmtId="43" fontId="19" fillId="10" borderId="0" xfId="0" applyNumberFormat="1" applyFont="1" applyFill="1" applyBorder="1"/>
    <xf numFmtId="43" fontId="13" fillId="0" borderId="0" xfId="0" applyNumberFormat="1" applyFont="1" applyBorder="1"/>
    <xf numFmtId="12" fontId="6" fillId="3" borderId="0" xfId="1" applyNumberFormat="1" applyFont="1" applyFill="1" applyBorder="1"/>
    <xf numFmtId="12" fontId="4" fillId="4" borderId="3" xfId="1" applyNumberFormat="1" applyFont="1" applyFill="1" applyBorder="1"/>
    <xf numFmtId="4" fontId="17" fillId="10" borderId="3" xfId="0" applyNumberFormat="1" applyFont="1" applyFill="1" applyBorder="1"/>
    <xf numFmtId="43" fontId="7" fillId="0" borderId="0" xfId="1" applyNumberFormat="1" applyFont="1" applyFill="1" applyBorder="1"/>
    <xf numFmtId="12" fontId="4" fillId="4" borderId="0" xfId="1" applyNumberFormat="1" applyFont="1" applyFill="1" applyBorder="1"/>
    <xf numFmtId="4" fontId="6" fillId="19" borderId="0" xfId="2" applyNumberFormat="1" applyFont="1" applyFill="1" applyBorder="1"/>
    <xf numFmtId="0" fontId="6" fillId="19" borderId="0" xfId="0" applyFont="1" applyFill="1" applyBorder="1"/>
    <xf numFmtId="4" fontId="10" fillId="10" borderId="0" xfId="2" applyNumberFormat="1" applyFont="1" applyFill="1" applyBorder="1"/>
    <xf numFmtId="4" fontId="10" fillId="19" borderId="0" xfId="2" applyNumberFormat="1" applyFont="1" applyFill="1" applyBorder="1"/>
    <xf numFmtId="4" fontId="11" fillId="0" borderId="0" xfId="2" applyNumberFormat="1" applyFont="1" applyBorder="1"/>
    <xf numFmtId="43" fontId="14" fillId="10" borderId="0" xfId="0" applyNumberFormat="1" applyFont="1" applyFill="1" applyBorder="1"/>
    <xf numFmtId="0" fontId="15" fillId="10" borderId="3" xfId="0" applyFont="1" applyFill="1" applyBorder="1"/>
    <xf numFmtId="4" fontId="5" fillId="0" borderId="0" xfId="2" applyNumberFormat="1" applyFont="1" applyFill="1" applyBorder="1"/>
    <xf numFmtId="14" fontId="9" fillId="10" borderId="0" xfId="0" applyNumberFormat="1" applyFont="1" applyFill="1" applyBorder="1"/>
    <xf numFmtId="16" fontId="0" fillId="0" borderId="0" xfId="0" applyNumberFormat="1"/>
    <xf numFmtId="16" fontId="9" fillId="0" borderId="0" xfId="0" applyNumberFormat="1" applyFont="1" applyBorder="1"/>
    <xf numFmtId="2" fontId="4" fillId="10" borderId="0" xfId="2" applyNumberFormat="1" applyFont="1" applyFill="1" applyBorder="1"/>
    <xf numFmtId="4" fontId="17" fillId="10" borderId="0" xfId="0" applyNumberFormat="1" applyFont="1" applyFill="1" applyBorder="1"/>
    <xf numFmtId="16" fontId="6" fillId="0" borderId="0" xfId="0" applyNumberFormat="1" applyFont="1" applyBorder="1"/>
    <xf numFmtId="12" fontId="4" fillId="3" borderId="3" xfId="1" applyNumberFormat="1" applyFont="1" applyFill="1" applyBorder="1"/>
    <xf numFmtId="43" fontId="18" fillId="10" borderId="0" xfId="0" applyNumberFormat="1" applyFont="1" applyFill="1" applyBorder="1"/>
    <xf numFmtId="2" fontId="4" fillId="11" borderId="0" xfId="2" applyNumberFormat="1" applyFont="1" applyFill="1" applyBorder="1"/>
    <xf numFmtId="16" fontId="4" fillId="0" borderId="0" xfId="0" applyNumberFormat="1" applyFont="1" applyBorder="1"/>
    <xf numFmtId="1" fontId="9" fillId="10" borderId="0" xfId="0" applyNumberFormat="1" applyFont="1" applyFill="1" applyBorder="1"/>
    <xf numFmtId="43" fontId="4" fillId="19" borderId="0" xfId="1" applyFont="1" applyFill="1" applyBorder="1" applyAlignment="1">
      <alignment horizontal="left"/>
    </xf>
    <xf numFmtId="4" fontId="0" fillId="11" borderId="0" xfId="0" applyNumberFormat="1" applyFont="1" applyFill="1" applyBorder="1"/>
    <xf numFmtId="16" fontId="6" fillId="0" borderId="0" xfId="0" applyNumberFormat="1" applyFont="1" applyFill="1" applyBorder="1"/>
    <xf numFmtId="12" fontId="4" fillId="3" borderId="0" xfId="1" applyNumberFormat="1" applyFont="1" applyFill="1" applyBorder="1"/>
    <xf numFmtId="4" fontId="4" fillId="0" borderId="4" xfId="2" applyNumberFormat="1" applyFont="1" applyFill="1" applyBorder="1"/>
    <xf numFmtId="16" fontId="3" fillId="2" borderId="0" xfId="2" applyNumberFormat="1" applyFont="1" applyFill="1"/>
    <xf numFmtId="4" fontId="6" fillId="4" borderId="2" xfId="2" applyNumberFormat="1" applyFont="1" applyFill="1" applyBorder="1"/>
    <xf numFmtId="165" fontId="6" fillId="3" borderId="0" xfId="4" applyNumberFormat="1" applyFont="1" applyFill="1" applyBorder="1"/>
    <xf numFmtId="165" fontId="6" fillId="4" borderId="0" xfId="4" applyNumberFormat="1" applyFont="1" applyFill="1" applyBorder="1"/>
    <xf numFmtId="165" fontId="6" fillId="10" borderId="0" xfId="4" applyNumberFormat="1" applyFont="1" applyFill="1" applyBorder="1"/>
    <xf numFmtId="165" fontId="5" fillId="10" borderId="0" xfId="4" applyNumberFormat="1" applyFont="1" applyFill="1" applyBorder="1"/>
    <xf numFmtId="4" fontId="9" fillId="10" borderId="0" xfId="0" applyNumberFormat="1" applyFont="1" applyFill="1" applyBorder="1"/>
    <xf numFmtId="4" fontId="5" fillId="10" borderId="0" xfId="0" applyNumberFormat="1" applyFont="1" applyFill="1" applyBorder="1"/>
    <xf numFmtId="43" fontId="9" fillId="1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Border="1"/>
    <xf numFmtId="4" fontId="9" fillId="0" borderId="0" xfId="0" applyNumberFormat="1" applyFont="1" applyFill="1" applyBorder="1"/>
    <xf numFmtId="4" fontId="9" fillId="0" borderId="0" xfId="0" applyNumberFormat="1" applyFont="1"/>
    <xf numFmtId="0" fontId="5" fillId="10" borderId="0" xfId="0" applyFont="1" applyFill="1" applyBorder="1"/>
    <xf numFmtId="0" fontId="9" fillId="10" borderId="3" xfId="0" applyFont="1" applyFill="1" applyBorder="1"/>
    <xf numFmtId="43" fontId="5" fillId="10" borderId="0" xfId="0" applyNumberFormat="1" applyFont="1" applyFill="1" applyBorder="1"/>
    <xf numFmtId="4" fontId="9" fillId="10" borderId="3" xfId="0" applyNumberFormat="1" applyFont="1" applyFill="1" applyBorder="1"/>
    <xf numFmtId="43" fontId="9" fillId="10" borderId="3" xfId="0" applyNumberFormat="1" applyFont="1" applyFill="1" applyBorder="1"/>
    <xf numFmtId="0" fontId="9" fillId="10" borderId="0" xfId="0" applyFont="1" applyFill="1" applyBorder="1"/>
    <xf numFmtId="43" fontId="4" fillId="10" borderId="0" xfId="0" applyNumberFormat="1" applyFont="1" applyFill="1" applyBorder="1"/>
    <xf numFmtId="4" fontId="4" fillId="10" borderId="0" xfId="0" applyNumberFormat="1" applyFont="1" applyFill="1" applyBorder="1"/>
    <xf numFmtId="43" fontId="5" fillId="0" borderId="0" xfId="0" applyNumberFormat="1" applyFont="1" applyBorder="1"/>
    <xf numFmtId="43" fontId="9" fillId="0" borderId="0" xfId="0" applyNumberFormat="1" applyFont="1" applyFill="1" applyBorder="1"/>
    <xf numFmtId="43" fontId="5" fillId="0" borderId="0" xfId="0" applyNumberFormat="1" applyFont="1" applyFill="1" applyBorder="1"/>
    <xf numFmtId="0" fontId="5" fillId="10" borderId="2" xfId="0" applyFont="1" applyFill="1" applyBorder="1"/>
    <xf numFmtId="164" fontId="5" fillId="10" borderId="0" xfId="0" applyNumberFormat="1" applyFont="1" applyFill="1" applyBorder="1"/>
    <xf numFmtId="2" fontId="9" fillId="10" borderId="0" xfId="0" applyNumberFormat="1" applyFont="1" applyFill="1" applyBorder="1"/>
    <xf numFmtId="165" fontId="9" fillId="10" borderId="3" xfId="0" applyNumberFormat="1" applyFont="1" applyFill="1" applyBorder="1"/>
    <xf numFmtId="43" fontId="9" fillId="0" borderId="0" xfId="0" applyNumberFormat="1" applyFont="1" applyBorder="1"/>
    <xf numFmtId="0" fontId="3" fillId="2" borderId="0" xfId="2" applyNumberFormat="1" applyFont="1" applyFill="1"/>
    <xf numFmtId="0" fontId="9" fillId="0" borderId="0" xfId="0" applyNumberFormat="1" applyFont="1" applyBorder="1"/>
    <xf numFmtId="0" fontId="9" fillId="0" borderId="0" xfId="0" applyNumberFormat="1" applyFont="1"/>
    <xf numFmtId="0" fontId="4" fillId="0" borderId="0" xfId="0" applyNumberFormat="1" applyFont="1" applyBorder="1"/>
    <xf numFmtId="0" fontId="6" fillId="0" borderId="0" xfId="2" applyNumberFormat="1" applyFont="1" applyBorder="1"/>
    <xf numFmtId="0" fontId="7" fillId="0" borderId="0" xfId="2" applyNumberFormat="1" applyFont="1" applyBorder="1"/>
    <xf numFmtId="0" fontId="4" fillId="0" borderId="0" xfId="0" applyNumberFormat="1" applyFont="1" applyFill="1" applyBorder="1"/>
    <xf numFmtId="0" fontId="7" fillId="0" borderId="0" xfId="1" applyNumberFormat="1" applyFont="1" applyFill="1" applyBorder="1"/>
    <xf numFmtId="0" fontId="5" fillId="0" borderId="0" xfId="0" applyNumberFormat="1" applyFont="1" applyBorder="1"/>
    <xf numFmtId="0" fontId="5" fillId="0" borderId="0" xfId="0" applyNumberFormat="1" applyFont="1"/>
    <xf numFmtId="0" fontId="12" fillId="5" borderId="2" xfId="0" applyFont="1" applyFill="1" applyBorder="1"/>
    <xf numFmtId="0" fontId="4" fillId="0" borderId="2" xfId="0" applyFont="1" applyFill="1" applyBorder="1"/>
    <xf numFmtId="0" fontId="5" fillId="0" borderId="2" xfId="0" applyFont="1" applyBorder="1"/>
    <xf numFmtId="0" fontId="4" fillId="0" borderId="2" xfId="0" applyNumberFormat="1" applyFont="1" applyFill="1" applyBorder="1"/>
    <xf numFmtId="4" fontId="6" fillId="0" borderId="2" xfId="0" applyNumberFormat="1" applyFont="1" applyFill="1" applyBorder="1"/>
    <xf numFmtId="0" fontId="6" fillId="0" borderId="2" xfId="0" applyFont="1" applyFill="1" applyBorder="1"/>
    <xf numFmtId="4" fontId="12" fillId="5" borderId="0" xfId="2" applyNumberFormat="1" applyFont="1" applyFill="1" applyBorder="1" applyAlignment="1">
      <alignment horizontal="left"/>
    </xf>
    <xf numFmtId="16" fontId="4" fillId="0" borderId="0" xfId="2" applyNumberFormat="1" applyFont="1" applyFill="1" applyBorder="1"/>
    <xf numFmtId="16" fontId="9" fillId="0" borderId="0" xfId="0" applyNumberFormat="1" applyFont="1" applyFill="1" applyBorder="1"/>
    <xf numFmtId="14" fontId="12" fillId="5" borderId="2" xfId="0" applyNumberFormat="1" applyFont="1" applyFill="1" applyBorder="1"/>
    <xf numFmtId="14" fontId="6" fillId="0" borderId="2" xfId="0" applyNumberFormat="1" applyFont="1" applyFill="1" applyBorder="1"/>
    <xf numFmtId="14" fontId="4" fillId="0" borderId="2" xfId="0" applyNumberFormat="1" applyFont="1" applyFill="1" applyBorder="1"/>
    <xf numFmtId="14" fontId="6" fillId="0" borderId="2" xfId="0" applyNumberFormat="1" applyFont="1" applyBorder="1"/>
    <xf numFmtId="14" fontId="4" fillId="0" borderId="2" xfId="0" applyNumberFormat="1" applyFont="1" applyBorder="1"/>
    <xf numFmtId="0" fontId="4" fillId="0" borderId="2" xfId="0" applyNumberFormat="1" applyFont="1" applyBorder="1"/>
    <xf numFmtId="4" fontId="9" fillId="0" borderId="3" xfId="0" applyNumberFormat="1" applyFont="1" applyBorder="1"/>
    <xf numFmtId="43" fontId="9" fillId="4" borderId="3" xfId="1" applyFont="1" applyFill="1" applyBorder="1"/>
    <xf numFmtId="0" fontId="5" fillId="0" borderId="2" xfId="0" applyFont="1" applyFill="1" applyBorder="1"/>
    <xf numFmtId="43" fontId="6" fillId="0" borderId="0" xfId="0" applyNumberFormat="1" applyFont="1" applyFill="1" applyBorder="1"/>
    <xf numFmtId="44" fontId="5" fillId="0" borderId="0" xfId="3" applyFont="1" applyFill="1"/>
    <xf numFmtId="0" fontId="5" fillId="10" borderId="0" xfId="0" applyFont="1" applyFill="1"/>
  </cellXfs>
  <cellStyles count="5">
    <cellStyle name="Millares" xfId="1" builtinId="3"/>
    <cellStyle name="Millares [0]" xfId="4" builtinId="6"/>
    <cellStyle name="Moneda" xfId="3" builtinId="4"/>
    <cellStyle name="Normal" xfId="0" builtinId="0"/>
    <cellStyle name="Normal_Hoja1" xfId="2"/>
  </cellStyles>
  <dxfs count="0"/>
  <tableStyles count="0" defaultTableStyle="TableStyleMedium2" defaultPivotStyle="PivotStyleLight16"/>
  <colors>
    <mruColors>
      <color rgb="FFCC99FF"/>
      <color rgb="FF800080"/>
      <color rgb="FF964A98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226"/>
  <sheetViews>
    <sheetView workbookViewId="0">
      <pane xSplit="1" ySplit="1" topLeftCell="BA128" activePane="bottomRight" state="frozen"/>
      <selection pane="topRight" activeCell="B1" sqref="B1"/>
      <selection pane="bottomLeft" activeCell="A2" sqref="A2"/>
      <selection pane="bottomRight" activeCell="AV32" sqref="AV32"/>
    </sheetView>
  </sheetViews>
  <sheetFormatPr baseColWidth="10" defaultColWidth="12.28515625" defaultRowHeight="11.25" x14ac:dyDescent="0.2"/>
  <cols>
    <col min="1" max="1" width="12.28515625" style="48" customWidth="1"/>
    <col min="2" max="2" width="12.28515625" style="6" customWidth="1"/>
    <col min="3" max="3" width="12.28515625" style="56" customWidth="1"/>
    <col min="4" max="4" width="12.28515625" style="6" customWidth="1"/>
    <col min="5" max="5" width="12.28515625" style="56" customWidth="1"/>
    <col min="6" max="6" width="12.28515625" style="6" customWidth="1"/>
    <col min="7" max="7" width="12.28515625" style="56" customWidth="1"/>
    <col min="8" max="8" width="12.28515625" style="6" customWidth="1"/>
    <col min="9" max="9" width="12.28515625" style="56" customWidth="1"/>
    <col min="10" max="10" width="12.28515625" style="6" customWidth="1"/>
    <col min="11" max="11" width="12.28515625" style="56" customWidth="1"/>
    <col min="12" max="12" width="12.28515625" style="6" customWidth="1"/>
    <col min="13" max="13" width="12.28515625" style="56" customWidth="1"/>
    <col min="14" max="14" width="12.28515625" style="6" customWidth="1"/>
    <col min="15" max="15" width="12.28515625" style="56" customWidth="1"/>
    <col min="16" max="16" width="12.28515625" style="6" customWidth="1"/>
    <col min="17" max="17" width="12.28515625" style="56" customWidth="1"/>
    <col min="18" max="18" width="12.28515625" style="6" customWidth="1"/>
    <col min="19" max="19" width="12.28515625" style="56" customWidth="1"/>
    <col min="20" max="20" width="12.28515625" style="6" customWidth="1"/>
    <col min="21" max="21" width="12.28515625" style="56" customWidth="1"/>
    <col min="22" max="22" width="12.28515625" style="6" customWidth="1"/>
    <col min="23" max="23" width="12.28515625" style="56" customWidth="1"/>
    <col min="24" max="24" width="12.28515625" style="6" customWidth="1"/>
    <col min="25" max="25" width="12.28515625" style="56" customWidth="1"/>
    <col min="26" max="26" width="12.28515625" style="6" customWidth="1"/>
    <col min="27" max="27" width="12.28515625" style="56" customWidth="1"/>
    <col min="28" max="28" width="12.28515625" style="6" customWidth="1"/>
    <col min="29" max="29" width="9.85546875" style="56" customWidth="1"/>
    <col min="30" max="30" width="12.28515625" style="6" customWidth="1"/>
    <col min="31" max="31" width="12.28515625" style="56" customWidth="1"/>
    <col min="32" max="32" width="12.28515625" style="6" customWidth="1"/>
    <col min="33" max="33" width="12.28515625" style="56" customWidth="1"/>
    <col min="34" max="34" width="12.28515625" style="6" customWidth="1"/>
    <col min="35" max="35" width="12.28515625" style="56" customWidth="1"/>
    <col min="36" max="36" width="12.28515625" style="6" customWidth="1"/>
    <col min="37" max="37" width="12.28515625" style="56" customWidth="1"/>
    <col min="38" max="38" width="12.28515625" style="6" customWidth="1"/>
    <col min="39" max="39" width="12.28515625" style="56" customWidth="1"/>
    <col min="40" max="40" width="12.28515625" style="6" customWidth="1"/>
    <col min="41" max="41" width="12.28515625" style="56" customWidth="1"/>
    <col min="42" max="42" width="12.28515625" style="6" customWidth="1"/>
    <col min="43" max="43" width="12.28515625" style="56" customWidth="1"/>
    <col min="44" max="44" width="12.28515625" style="6" customWidth="1"/>
    <col min="45" max="45" width="12.28515625" style="56" customWidth="1"/>
    <col min="46" max="46" width="12.28515625" style="6" customWidth="1"/>
    <col min="47" max="47" width="12.28515625" style="56" customWidth="1"/>
    <col min="48" max="48" width="12.28515625" style="6" customWidth="1"/>
    <col min="49" max="49" width="12.28515625" style="56" customWidth="1"/>
    <col min="50" max="50" width="12.28515625" style="6" customWidth="1"/>
    <col min="51" max="51" width="12.28515625" style="56" customWidth="1"/>
    <col min="52" max="52" width="12.28515625" style="6" customWidth="1"/>
    <col min="53" max="53" width="12.28515625" style="56" customWidth="1"/>
    <col min="54" max="54" width="12.28515625" style="6" customWidth="1"/>
    <col min="55" max="55" width="12.28515625" style="56" customWidth="1"/>
    <col min="56" max="56" width="12.28515625" style="6" customWidth="1"/>
    <col min="57" max="57" width="12.28515625" style="56" customWidth="1"/>
    <col min="58" max="58" width="12.28515625" style="6" customWidth="1"/>
    <col min="59" max="59" width="12.28515625" style="56" customWidth="1"/>
    <col min="60" max="60" width="12.28515625" style="6" customWidth="1"/>
    <col min="61" max="61" width="12.28515625" style="56" customWidth="1"/>
    <col min="62" max="62" width="12.28515625" style="6" customWidth="1"/>
    <col min="63" max="63" width="12.28515625" style="56" customWidth="1"/>
    <col min="64" max="64" width="12.28515625" style="6" customWidth="1"/>
    <col min="65" max="65" width="12.28515625" style="56" customWidth="1"/>
    <col min="66" max="66" width="12.28515625" style="6" customWidth="1"/>
    <col min="67" max="67" width="12.28515625" style="56" customWidth="1"/>
    <col min="68" max="68" width="12.28515625" style="6" customWidth="1"/>
    <col min="69" max="69" width="12.28515625" style="56" customWidth="1"/>
    <col min="70" max="70" width="12.28515625" style="6" customWidth="1"/>
    <col min="71" max="71" width="12.28515625" style="56" customWidth="1"/>
    <col min="72" max="72" width="12.28515625" style="6" customWidth="1"/>
    <col min="73" max="73" width="12.28515625" style="56" customWidth="1"/>
    <col min="74" max="74" width="12.28515625" style="6" customWidth="1"/>
    <col min="75" max="75" width="12.28515625" style="56" customWidth="1"/>
    <col min="76" max="76" width="12.28515625" style="6" customWidth="1"/>
    <col min="77" max="77" width="12.28515625" style="56" customWidth="1"/>
    <col min="78" max="78" width="12.28515625" style="6" customWidth="1"/>
    <col min="79" max="79" width="12.28515625" style="56" customWidth="1"/>
    <col min="80" max="80" width="12.28515625" style="6" customWidth="1"/>
    <col min="81" max="81" width="12.28515625" style="56" customWidth="1"/>
    <col min="82" max="82" width="12.28515625" style="6" customWidth="1"/>
    <col min="83" max="83" width="12.28515625" style="56" customWidth="1"/>
    <col min="84" max="84" width="12.28515625" style="6" customWidth="1"/>
    <col min="85" max="85" width="12.28515625" style="56" customWidth="1"/>
    <col min="86" max="86" width="12.28515625" style="6" customWidth="1"/>
    <col min="87" max="87" width="12.28515625" style="56" customWidth="1"/>
    <col min="88" max="88" width="12.28515625" style="6" customWidth="1"/>
    <col min="89" max="89" width="12.28515625" style="56" customWidth="1"/>
    <col min="90" max="90" width="12.28515625" style="6" customWidth="1"/>
    <col min="91" max="91" width="12.28515625" style="56" customWidth="1"/>
    <col min="92" max="92" width="12.28515625" style="6" customWidth="1"/>
    <col min="93" max="93" width="12.28515625" style="56" customWidth="1"/>
    <col min="94" max="94" width="12.28515625" style="6" customWidth="1"/>
    <col min="95" max="95" width="12.28515625" style="56" customWidth="1"/>
    <col min="96" max="96" width="12.28515625" style="6" customWidth="1"/>
    <col min="97" max="97" width="12.28515625" style="56" customWidth="1"/>
    <col min="98" max="98" width="12.28515625" style="6" customWidth="1"/>
    <col min="99" max="99" width="12.28515625" style="56" customWidth="1"/>
    <col min="100" max="100" width="12.28515625" style="6" customWidth="1"/>
    <col min="101" max="101" width="12.28515625" style="56" customWidth="1"/>
    <col min="102" max="102" width="12.28515625" style="6" customWidth="1"/>
    <col min="103" max="103" width="12.28515625" style="56" customWidth="1"/>
    <col min="104" max="104" width="12.28515625" style="6" customWidth="1"/>
    <col min="105" max="105" width="12.28515625" style="56" customWidth="1"/>
    <col min="106" max="106" width="12.28515625" style="6" customWidth="1"/>
    <col min="107" max="107" width="12.28515625" style="56" customWidth="1"/>
    <col min="108" max="108" width="12.28515625" style="6" customWidth="1"/>
    <col min="109" max="109" width="12.28515625" style="56" customWidth="1"/>
    <col min="110" max="110" width="12.28515625" style="6" customWidth="1"/>
    <col min="111" max="111" width="12.28515625" style="56" customWidth="1"/>
    <col min="112" max="112" width="12.28515625" style="6" customWidth="1"/>
    <col min="113" max="113" width="12.28515625" style="56" customWidth="1"/>
    <col min="114" max="114" width="12.28515625" style="6" customWidth="1"/>
    <col min="115" max="115" width="12.28515625" style="56" customWidth="1"/>
    <col min="116" max="116" width="12.28515625" style="6" customWidth="1"/>
    <col min="117" max="117" width="12.28515625" style="56" customWidth="1"/>
    <col min="118" max="118" width="12.28515625" style="6" customWidth="1"/>
    <col min="119" max="119" width="12.28515625" style="56" customWidth="1"/>
    <col min="120" max="120" width="12.28515625" style="6" customWidth="1"/>
    <col min="121" max="121" width="12.28515625" style="56" customWidth="1"/>
    <col min="122" max="122" width="12.28515625" style="6" customWidth="1"/>
    <col min="123" max="123" width="12.28515625" style="56" customWidth="1"/>
    <col min="124" max="124" width="12.28515625" style="6" customWidth="1"/>
    <col min="125" max="125" width="12.28515625" style="56" customWidth="1"/>
    <col min="126" max="126" width="12.28515625" style="6" customWidth="1"/>
    <col min="127" max="127" width="12.28515625" style="56" customWidth="1"/>
    <col min="128" max="128" width="12.28515625" style="6" customWidth="1"/>
    <col min="129" max="129" width="12.28515625" style="56" customWidth="1"/>
    <col min="130" max="130" width="12.28515625" style="6" customWidth="1"/>
    <col min="131" max="131" width="12.28515625" style="56" customWidth="1"/>
    <col min="132" max="132" width="12.28515625" style="6" customWidth="1"/>
    <col min="133" max="133" width="12.28515625" style="56" customWidth="1"/>
    <col min="134" max="134" width="12.28515625" style="6" customWidth="1"/>
    <col min="135" max="135" width="12.28515625" style="56" customWidth="1"/>
    <col min="136" max="136" width="12.28515625" style="6" customWidth="1"/>
    <col min="137" max="137" width="12.28515625" style="56" customWidth="1"/>
    <col min="138" max="138" width="12.28515625" style="6" customWidth="1"/>
    <col min="139" max="139" width="12.28515625" style="56" customWidth="1"/>
    <col min="140" max="140" width="12.28515625" style="6" customWidth="1"/>
    <col min="141" max="141" width="12.28515625" style="56" customWidth="1"/>
    <col min="142" max="142" width="12.28515625" style="6" customWidth="1"/>
    <col min="143" max="16384" width="12.28515625" style="76"/>
  </cols>
  <sheetData>
    <row r="1" spans="1:142" s="64" customFormat="1" x14ac:dyDescent="0.2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</row>
    <row r="2" spans="1:142" s="65" customFormat="1" x14ac:dyDescent="0.2">
      <c r="A2" s="47"/>
      <c r="B2" s="2">
        <v>42737</v>
      </c>
      <c r="C2" s="55"/>
      <c r="D2" s="2">
        <v>42738</v>
      </c>
      <c r="E2" s="55"/>
      <c r="F2" s="2">
        <v>42739</v>
      </c>
      <c r="G2" s="55"/>
      <c r="H2" s="2">
        <v>42740</v>
      </c>
      <c r="I2" s="55"/>
      <c r="J2" s="2">
        <v>42741</v>
      </c>
      <c r="K2" s="55"/>
      <c r="L2" s="2">
        <v>42742</v>
      </c>
      <c r="M2" s="55"/>
      <c r="N2" s="2">
        <v>42744</v>
      </c>
      <c r="O2" s="55"/>
      <c r="P2" s="2">
        <v>42745</v>
      </c>
      <c r="Q2" s="55"/>
      <c r="R2" s="2">
        <v>42746</v>
      </c>
      <c r="S2" s="55"/>
      <c r="T2" s="2">
        <v>42747</v>
      </c>
      <c r="U2" s="55"/>
      <c r="V2" s="2">
        <v>42748</v>
      </c>
      <c r="W2" s="55"/>
      <c r="X2" s="2">
        <v>42383</v>
      </c>
      <c r="Y2" s="55"/>
      <c r="Z2" s="2"/>
      <c r="AA2" s="55"/>
      <c r="AB2" s="2" t="s">
        <v>637</v>
      </c>
      <c r="AC2" s="55"/>
      <c r="AD2" s="2">
        <v>42386</v>
      </c>
      <c r="AE2" s="55"/>
      <c r="AF2" s="2">
        <v>42753</v>
      </c>
      <c r="AG2" s="55"/>
      <c r="AH2" s="2">
        <v>42388</v>
      </c>
      <c r="AI2" s="55"/>
      <c r="AJ2" s="2">
        <v>42755</v>
      </c>
      <c r="AK2" s="55"/>
      <c r="AL2" s="2">
        <v>42756</v>
      </c>
      <c r="AM2" s="55"/>
      <c r="AN2" s="2">
        <v>42757</v>
      </c>
      <c r="AO2" s="55"/>
      <c r="AP2" s="2">
        <v>42758</v>
      </c>
      <c r="AQ2" s="55"/>
      <c r="AR2" s="2">
        <v>42759</v>
      </c>
      <c r="AS2" s="55"/>
      <c r="AT2" s="2">
        <v>42760</v>
      </c>
      <c r="AU2" s="55"/>
      <c r="AV2" s="2">
        <v>42761</v>
      </c>
      <c r="AW2" s="55"/>
      <c r="AX2" s="2">
        <v>42762</v>
      </c>
      <c r="AY2" s="55"/>
      <c r="AZ2" s="2">
        <v>42763</v>
      </c>
      <c r="BA2" s="55"/>
      <c r="BB2" s="2">
        <v>42764</v>
      </c>
      <c r="BC2" s="55"/>
      <c r="BD2" s="2">
        <v>42765</v>
      </c>
      <c r="BE2" s="55"/>
      <c r="BF2" s="2">
        <v>42766</v>
      </c>
      <c r="BG2" s="55"/>
      <c r="BH2" s="2"/>
      <c r="BI2" s="55"/>
      <c r="BJ2" s="2"/>
      <c r="BK2" s="55"/>
      <c r="BL2" s="2"/>
      <c r="BM2" s="55"/>
      <c r="BN2" s="2"/>
      <c r="BO2" s="55"/>
      <c r="BP2" s="2"/>
      <c r="BQ2" s="55"/>
      <c r="BR2" s="2"/>
      <c r="BS2" s="55"/>
      <c r="BT2" s="2"/>
      <c r="BU2" s="55"/>
      <c r="BV2" s="2"/>
      <c r="BW2" s="55"/>
      <c r="BX2" s="2"/>
      <c r="BY2" s="55"/>
      <c r="BZ2" s="2"/>
      <c r="CA2" s="55"/>
      <c r="CB2" s="2"/>
      <c r="CC2" s="55"/>
      <c r="CD2" s="2"/>
      <c r="CE2" s="55"/>
      <c r="CF2" s="2"/>
      <c r="CG2" s="55"/>
      <c r="CH2" s="2"/>
      <c r="CI2" s="55"/>
      <c r="CJ2" s="2"/>
      <c r="CK2" s="55"/>
      <c r="CL2" s="2"/>
      <c r="CM2" s="55"/>
      <c r="CN2" s="2"/>
      <c r="CO2" s="55"/>
      <c r="CP2" s="2"/>
      <c r="CQ2" s="55"/>
      <c r="CR2" s="2"/>
      <c r="CS2" s="55"/>
      <c r="CT2" s="2"/>
      <c r="CU2" s="55"/>
      <c r="CV2" s="2"/>
      <c r="CW2" s="55"/>
      <c r="CX2" s="2"/>
      <c r="CY2" s="55"/>
      <c r="CZ2" s="2"/>
      <c r="DA2" s="55"/>
      <c r="DB2" s="2"/>
      <c r="DC2" s="55"/>
      <c r="DD2" s="2"/>
      <c r="DE2" s="55"/>
      <c r="DF2" s="2"/>
      <c r="DG2" s="55"/>
      <c r="DH2" s="2"/>
      <c r="DI2" s="55"/>
      <c r="DJ2" s="2"/>
      <c r="DK2" s="55"/>
      <c r="DL2" s="2"/>
      <c r="DM2" s="55"/>
      <c r="DN2" s="2"/>
      <c r="DO2" s="55"/>
      <c r="DP2" s="2"/>
      <c r="DQ2" s="55"/>
      <c r="DR2" s="2"/>
      <c r="DS2" s="55"/>
      <c r="DT2" s="2"/>
      <c r="DU2" s="55"/>
      <c r="DV2" s="2"/>
      <c r="DW2" s="55"/>
      <c r="DX2" s="2"/>
      <c r="DY2" s="55"/>
      <c r="DZ2" s="2"/>
      <c r="EA2" s="55"/>
      <c r="EB2" s="2"/>
      <c r="EC2" s="55"/>
      <c r="ED2" s="2"/>
      <c r="EE2" s="55"/>
      <c r="EF2" s="2"/>
      <c r="EG2" s="55"/>
      <c r="EH2" s="2"/>
      <c r="EI2" s="55"/>
      <c r="EJ2" s="2"/>
      <c r="EK2" s="55"/>
      <c r="EL2" s="2"/>
    </row>
    <row r="3" spans="1:142" s="60" customFormat="1" x14ac:dyDescent="0.2">
      <c r="A3" s="38" t="s">
        <v>0</v>
      </c>
      <c r="B3" s="3">
        <v>50980</v>
      </c>
      <c r="D3" s="3">
        <v>298527.89</v>
      </c>
      <c r="F3" s="3">
        <v>292267.78000000003</v>
      </c>
      <c r="H3" s="3">
        <v>45851.98</v>
      </c>
      <c r="J3" s="3">
        <v>152367.71</v>
      </c>
      <c r="L3" s="3">
        <v>19110.21</v>
      </c>
      <c r="N3" s="3">
        <v>213938.88</v>
      </c>
      <c r="P3" s="3">
        <v>62330.3</v>
      </c>
      <c r="R3" s="3">
        <v>336633.27</v>
      </c>
      <c r="T3" s="3">
        <v>30705.32</v>
      </c>
      <c r="V3" s="3">
        <v>178154.05</v>
      </c>
      <c r="X3" s="3">
        <v>223003.91</v>
      </c>
      <c r="Z3" s="3"/>
      <c r="AB3" s="3"/>
      <c r="AD3" s="3"/>
      <c r="AF3" s="3">
        <v>39993.74</v>
      </c>
      <c r="AH3" s="3"/>
      <c r="AJ3" s="3">
        <v>36730.07</v>
      </c>
      <c r="AL3" s="3">
        <v>227491.43</v>
      </c>
      <c r="AN3" s="3">
        <v>0</v>
      </c>
      <c r="AP3" s="3">
        <v>84681.42</v>
      </c>
      <c r="AR3" s="3">
        <v>74692.350000000006</v>
      </c>
      <c r="AT3" s="3">
        <v>460033.48</v>
      </c>
      <c r="AV3" s="3">
        <v>338442.02</v>
      </c>
      <c r="AX3" s="3">
        <v>203003</v>
      </c>
      <c r="AZ3" s="3">
        <v>37489.14</v>
      </c>
      <c r="BB3" s="3"/>
      <c r="BD3" s="3">
        <v>481638.71</v>
      </c>
      <c r="BF3" s="3">
        <v>356373.99</v>
      </c>
      <c r="BH3" s="3"/>
      <c r="BJ3" s="3"/>
      <c r="BL3" s="3"/>
      <c r="BN3" s="3"/>
      <c r="BP3" s="3"/>
      <c r="BR3" s="3"/>
      <c r="BT3" s="3"/>
      <c r="BV3" s="3"/>
      <c r="BX3" s="3"/>
      <c r="BZ3" s="3"/>
      <c r="CB3" s="3"/>
      <c r="CD3" s="3"/>
      <c r="CF3" s="3"/>
      <c r="CH3" s="3"/>
      <c r="CJ3" s="3"/>
      <c r="CL3" s="3"/>
      <c r="CN3" s="3"/>
      <c r="CP3" s="3"/>
      <c r="CR3" s="3"/>
      <c r="CT3" s="3"/>
      <c r="CV3" s="3"/>
      <c r="CX3" s="3"/>
      <c r="CZ3" s="3"/>
      <c r="DB3" s="3"/>
      <c r="DD3" s="3"/>
      <c r="DF3" s="3"/>
      <c r="DH3" s="3"/>
      <c r="DJ3" s="3"/>
      <c r="DL3" s="3"/>
      <c r="DN3" s="3"/>
      <c r="DP3" s="3"/>
      <c r="DR3" s="3"/>
      <c r="DT3" s="3"/>
      <c r="DV3" s="3"/>
      <c r="DX3" s="3"/>
      <c r="DZ3" s="3"/>
      <c r="EB3" s="3"/>
      <c r="ED3" s="3"/>
      <c r="EF3" s="3"/>
      <c r="EH3" s="3"/>
      <c r="EJ3" s="3"/>
      <c r="EL3" s="3"/>
    </row>
    <row r="4" spans="1:142" s="60" customFormat="1" ht="11.25" customHeight="1" x14ac:dyDescent="0.2">
      <c r="A4" s="39"/>
      <c r="B4" s="5"/>
      <c r="D4" s="5"/>
      <c r="F4" s="5"/>
      <c r="H4" s="5"/>
      <c r="J4" s="5"/>
      <c r="L4" s="5"/>
      <c r="N4" s="5"/>
      <c r="P4" s="5"/>
      <c r="R4" s="5"/>
      <c r="T4" s="5"/>
      <c r="V4" s="5"/>
      <c r="X4" s="5"/>
      <c r="Z4" s="5"/>
      <c r="AB4" s="5"/>
      <c r="AD4" s="5"/>
      <c r="AF4" s="5"/>
      <c r="AH4" s="5"/>
      <c r="AJ4" s="5"/>
      <c r="AL4" s="5"/>
      <c r="AN4" s="5"/>
      <c r="AP4" s="5"/>
      <c r="AR4" s="5"/>
      <c r="AT4" s="5"/>
      <c r="AV4" s="5"/>
      <c r="AX4" s="5"/>
      <c r="AZ4" s="5"/>
      <c r="BB4" s="5"/>
      <c r="BD4" s="5"/>
      <c r="BF4" s="5"/>
      <c r="BH4" s="5"/>
      <c r="BJ4" s="5"/>
      <c r="BL4" s="5"/>
      <c r="BN4" s="5"/>
      <c r="BP4" s="5"/>
      <c r="BR4" s="5"/>
      <c r="BT4" s="5"/>
      <c r="BV4" s="5"/>
      <c r="BX4" s="5"/>
      <c r="BZ4" s="5"/>
      <c r="CB4" s="5"/>
      <c r="CD4" s="5"/>
      <c r="CF4" s="5"/>
      <c r="CH4" s="5"/>
      <c r="CJ4" s="5"/>
      <c r="CL4" s="5"/>
      <c r="CN4" s="5"/>
      <c r="CP4" s="5"/>
      <c r="CR4" s="5"/>
      <c r="CT4" s="5"/>
      <c r="CV4" s="5"/>
      <c r="CX4" s="5"/>
      <c r="CZ4" s="5"/>
      <c r="DB4" s="5"/>
      <c r="DD4" s="5"/>
      <c r="DF4" s="5"/>
      <c r="DH4" s="5"/>
      <c r="DJ4" s="5"/>
      <c r="DL4" s="5"/>
      <c r="DN4" s="5"/>
      <c r="DP4" s="5"/>
      <c r="DR4" s="5"/>
      <c r="DT4" s="5"/>
      <c r="DV4" s="5"/>
      <c r="DX4" s="5"/>
      <c r="DZ4" s="5"/>
      <c r="EB4" s="5"/>
      <c r="ED4" s="5"/>
      <c r="EF4" s="5"/>
      <c r="EH4" s="5"/>
      <c r="EJ4" s="5"/>
      <c r="EL4" s="5"/>
    </row>
    <row r="6" spans="1:142" s="9" customFormat="1" x14ac:dyDescent="0.2">
      <c r="A6" s="41"/>
      <c r="B6" s="9">
        <v>800</v>
      </c>
      <c r="C6" s="15" t="s">
        <v>12</v>
      </c>
      <c r="D6" s="9">
        <v>5000</v>
      </c>
      <c r="E6" s="15" t="s">
        <v>69</v>
      </c>
      <c r="F6" s="9">
        <v>115000</v>
      </c>
      <c r="G6" s="15" t="s">
        <v>143</v>
      </c>
      <c r="H6" s="9">
        <v>14586.01</v>
      </c>
      <c r="I6" s="15" t="s">
        <v>201</v>
      </c>
      <c r="J6" s="9">
        <v>5500</v>
      </c>
      <c r="K6" s="15" t="s">
        <v>252</v>
      </c>
      <c r="L6" s="9">
        <v>1000</v>
      </c>
      <c r="M6" s="15" t="s">
        <v>311</v>
      </c>
      <c r="N6" s="9">
        <v>3200</v>
      </c>
      <c r="O6" s="15" t="s">
        <v>352</v>
      </c>
      <c r="P6" s="9">
        <v>700</v>
      </c>
      <c r="Q6" s="15" t="s">
        <v>403</v>
      </c>
      <c r="R6" s="9">
        <v>214.36</v>
      </c>
      <c r="S6" s="15" t="s">
        <v>448</v>
      </c>
      <c r="T6" s="9">
        <v>535.15</v>
      </c>
      <c r="U6" s="15" t="s">
        <v>494</v>
      </c>
      <c r="W6" s="15"/>
      <c r="X6" s="9">
        <v>5000</v>
      </c>
      <c r="Y6" s="15" t="s">
        <v>547</v>
      </c>
      <c r="AA6" s="15"/>
      <c r="AB6" s="72">
        <v>875.23</v>
      </c>
      <c r="AC6" s="86" t="s">
        <v>638</v>
      </c>
      <c r="AD6" s="72">
        <v>459.8</v>
      </c>
      <c r="AE6" s="15" t="s">
        <v>691</v>
      </c>
      <c r="AF6" s="9">
        <v>327.68</v>
      </c>
      <c r="AG6" s="15" t="s">
        <v>815</v>
      </c>
      <c r="AH6" s="72">
        <v>96.8</v>
      </c>
      <c r="AI6" s="15" t="s">
        <v>745</v>
      </c>
      <c r="AJ6" s="9">
        <v>6658.6</v>
      </c>
      <c r="AK6" s="15" t="s">
        <v>874</v>
      </c>
      <c r="AL6" s="9">
        <v>1550.35</v>
      </c>
      <c r="AM6" s="15" t="s">
        <v>913</v>
      </c>
      <c r="AO6" s="15"/>
      <c r="AP6" s="9">
        <v>536</v>
      </c>
      <c r="AQ6" s="15" t="s">
        <v>973</v>
      </c>
      <c r="AR6" s="72">
        <v>3000</v>
      </c>
      <c r="AS6" s="24" t="s">
        <v>1036</v>
      </c>
      <c r="AT6" s="9">
        <v>5000</v>
      </c>
      <c r="AU6" s="15" t="s">
        <v>1097</v>
      </c>
      <c r="AV6" s="9">
        <v>680.82</v>
      </c>
      <c r="AW6" s="15" t="s">
        <v>1163</v>
      </c>
      <c r="AX6" s="9">
        <v>1000</v>
      </c>
      <c r="AY6" s="15" t="s">
        <v>1219</v>
      </c>
      <c r="AZ6" s="9">
        <v>131.49</v>
      </c>
      <c r="BA6" s="15" t="s">
        <v>1270</v>
      </c>
      <c r="BC6" s="15"/>
      <c r="BE6" s="15"/>
      <c r="BG6" s="15"/>
      <c r="BI6" s="15"/>
      <c r="BK6" s="15"/>
      <c r="BM6" s="15"/>
      <c r="BO6" s="15"/>
      <c r="BQ6" s="15"/>
      <c r="BS6" s="15"/>
      <c r="BU6" s="15"/>
      <c r="BW6" s="15"/>
      <c r="BY6" s="15"/>
      <c r="CA6" s="15"/>
      <c r="CC6" s="15"/>
      <c r="CE6" s="15"/>
      <c r="CG6" s="15"/>
      <c r="CI6" s="15"/>
      <c r="CK6" s="15"/>
      <c r="CM6" s="15"/>
      <c r="CO6" s="15"/>
      <c r="CQ6" s="15"/>
      <c r="CS6" s="15"/>
      <c r="CU6" s="15"/>
      <c r="CW6" s="15"/>
      <c r="CY6" s="15"/>
      <c r="DA6" s="15"/>
      <c r="DC6" s="15"/>
      <c r="DE6" s="15"/>
      <c r="DG6" s="15"/>
      <c r="DI6" s="15"/>
      <c r="DK6" s="15"/>
      <c r="DM6" s="15"/>
      <c r="DO6" s="15"/>
      <c r="DQ6" s="15"/>
      <c r="DS6" s="15"/>
      <c r="DU6" s="15"/>
      <c r="DW6" s="15"/>
      <c r="DY6" s="15"/>
      <c r="EA6" s="15"/>
      <c r="EC6" s="15"/>
      <c r="EE6" s="15"/>
      <c r="EG6" s="15"/>
      <c r="EI6" s="15"/>
      <c r="EK6" s="15"/>
    </row>
    <row r="7" spans="1:142" s="9" customFormat="1" x14ac:dyDescent="0.2">
      <c r="A7" s="41"/>
      <c r="B7" s="7">
        <v>3500</v>
      </c>
      <c r="C7" s="26" t="s">
        <v>20</v>
      </c>
      <c r="D7" s="7">
        <v>25000</v>
      </c>
      <c r="E7" s="26" t="s">
        <v>71</v>
      </c>
      <c r="F7" s="7">
        <v>321.20999999999998</v>
      </c>
      <c r="G7" s="26" t="s">
        <v>148</v>
      </c>
      <c r="H7" s="7">
        <v>137.24</v>
      </c>
      <c r="I7" s="26" t="s">
        <v>207</v>
      </c>
      <c r="J7" s="7">
        <v>445.97</v>
      </c>
      <c r="K7" s="26" t="s">
        <v>259</v>
      </c>
      <c r="L7" s="7">
        <v>555.44000000000005</v>
      </c>
      <c r="M7" s="26" t="s">
        <v>314</v>
      </c>
      <c r="N7" s="7">
        <v>1000</v>
      </c>
      <c r="O7" s="26" t="s">
        <v>356</v>
      </c>
      <c r="P7" s="7">
        <v>441.18</v>
      </c>
      <c r="Q7" s="26" t="s">
        <v>411</v>
      </c>
      <c r="R7" s="7">
        <v>17.8</v>
      </c>
      <c r="S7" s="26" t="s">
        <v>449</v>
      </c>
      <c r="T7" s="7">
        <v>3001.2</v>
      </c>
      <c r="U7" s="26" t="s">
        <v>497</v>
      </c>
      <c r="V7" s="7">
        <v>3400</v>
      </c>
      <c r="W7" s="26" t="s">
        <v>581</v>
      </c>
      <c r="X7" s="7">
        <v>475.82</v>
      </c>
      <c r="Y7" s="26" t="s">
        <v>548</v>
      </c>
      <c r="Z7" s="7"/>
      <c r="AA7" s="26"/>
      <c r="AB7" s="87">
        <v>73141.42</v>
      </c>
      <c r="AC7" s="88" t="s">
        <v>639</v>
      </c>
      <c r="AD7" s="87">
        <v>597.99</v>
      </c>
      <c r="AE7" s="26" t="s">
        <v>692</v>
      </c>
      <c r="AF7" s="7">
        <v>5000</v>
      </c>
      <c r="AG7" s="26" t="s">
        <v>823</v>
      </c>
      <c r="AH7" s="87">
        <v>1341.64</v>
      </c>
      <c r="AI7" s="26" t="s">
        <v>746</v>
      </c>
      <c r="AJ7" s="7">
        <v>11455.61</v>
      </c>
      <c r="AK7" s="26" t="s">
        <v>877</v>
      </c>
      <c r="AL7" s="7">
        <v>152000</v>
      </c>
      <c r="AM7" s="26" t="s">
        <v>916</v>
      </c>
      <c r="AN7" s="7"/>
      <c r="AO7" s="26"/>
      <c r="AP7" s="7">
        <v>680</v>
      </c>
      <c r="AQ7" s="26" t="s">
        <v>974</v>
      </c>
      <c r="AR7" s="72">
        <v>40000</v>
      </c>
      <c r="AS7" s="24" t="s">
        <v>1037</v>
      </c>
      <c r="AT7" s="7">
        <v>209000</v>
      </c>
      <c r="AU7" s="26" t="s">
        <v>1098</v>
      </c>
      <c r="AV7" s="7">
        <v>190000</v>
      </c>
      <c r="AW7" s="26" t="s">
        <v>1164</v>
      </c>
      <c r="AX7" s="7">
        <v>6369.19</v>
      </c>
      <c r="AY7" s="26" t="s">
        <v>1220</v>
      </c>
      <c r="AZ7" s="7">
        <v>4941.5600000000004</v>
      </c>
      <c r="BA7" s="26" t="s">
        <v>1271</v>
      </c>
      <c r="BB7" s="7"/>
      <c r="BC7" s="26"/>
      <c r="BD7" s="9">
        <v>5800</v>
      </c>
      <c r="BE7" s="26" t="s">
        <v>1316</v>
      </c>
      <c r="BF7" s="7">
        <v>7.51</v>
      </c>
      <c r="BG7" s="26" t="s">
        <v>1412</v>
      </c>
      <c r="BH7" s="7"/>
      <c r="BI7" s="26"/>
      <c r="BJ7" s="7"/>
      <c r="BK7" s="26"/>
      <c r="BL7" s="7"/>
      <c r="BM7" s="26"/>
      <c r="BN7" s="7"/>
      <c r="BO7" s="26"/>
      <c r="BP7" s="7"/>
      <c r="BQ7" s="26"/>
      <c r="BR7" s="7"/>
      <c r="BS7" s="26"/>
      <c r="BT7" s="7"/>
      <c r="BU7" s="26"/>
      <c r="BV7" s="7"/>
      <c r="BW7" s="26"/>
      <c r="BX7" s="7"/>
      <c r="BY7" s="26"/>
      <c r="BZ7" s="7"/>
      <c r="CA7" s="26"/>
      <c r="CB7" s="7"/>
      <c r="CC7" s="26"/>
      <c r="CD7" s="7"/>
      <c r="CE7" s="26"/>
      <c r="CF7" s="7"/>
      <c r="CG7" s="26"/>
      <c r="CH7" s="7"/>
      <c r="CI7" s="26"/>
      <c r="CJ7" s="7"/>
      <c r="CK7" s="26"/>
      <c r="CL7" s="7"/>
      <c r="CM7" s="26"/>
      <c r="CN7" s="7"/>
      <c r="CO7" s="26"/>
      <c r="CP7" s="7"/>
      <c r="CQ7" s="26"/>
      <c r="CR7" s="7"/>
      <c r="CS7" s="26"/>
      <c r="CT7" s="7"/>
      <c r="CU7" s="26"/>
      <c r="CV7" s="7"/>
      <c r="CW7" s="26"/>
      <c r="CX7" s="7"/>
      <c r="CY7" s="26"/>
      <c r="CZ7" s="7"/>
      <c r="DA7" s="26"/>
      <c r="DB7" s="7"/>
      <c r="DC7" s="26"/>
      <c r="DD7" s="7"/>
      <c r="DE7" s="26"/>
      <c r="DF7" s="7"/>
      <c r="DG7" s="26"/>
      <c r="DH7" s="7"/>
      <c r="DI7" s="26"/>
      <c r="DJ7" s="7"/>
      <c r="DK7" s="26"/>
      <c r="DL7" s="7"/>
      <c r="DM7" s="26"/>
      <c r="DN7" s="7"/>
      <c r="DO7" s="26"/>
      <c r="DP7" s="7"/>
      <c r="DQ7" s="26"/>
      <c r="DR7" s="7"/>
      <c r="DS7" s="26"/>
      <c r="DT7" s="7"/>
      <c r="DU7" s="26"/>
      <c r="DV7" s="7"/>
      <c r="DW7" s="26"/>
      <c r="DX7" s="7"/>
      <c r="DY7" s="26"/>
      <c r="DZ7" s="7"/>
      <c r="EA7" s="26"/>
      <c r="EB7" s="7"/>
      <c r="EC7" s="26"/>
      <c r="ED7" s="7"/>
      <c r="EE7" s="26"/>
      <c r="EF7" s="7"/>
      <c r="EG7" s="26"/>
      <c r="EH7" s="7"/>
      <c r="EI7" s="26"/>
      <c r="EJ7" s="7"/>
      <c r="EK7" s="26"/>
      <c r="EL7" s="7"/>
    </row>
    <row r="8" spans="1:142" s="9" customFormat="1" x14ac:dyDescent="0.2">
      <c r="A8" s="41"/>
      <c r="B8" s="7">
        <v>892.11</v>
      </c>
      <c r="C8" s="26" t="s">
        <v>21</v>
      </c>
      <c r="D8" s="7">
        <v>15000</v>
      </c>
      <c r="E8" s="26" t="s">
        <v>72</v>
      </c>
      <c r="F8" s="7">
        <v>70000</v>
      </c>
      <c r="G8" s="26" t="s">
        <v>152</v>
      </c>
      <c r="H8" s="7">
        <v>5000</v>
      </c>
      <c r="I8" s="26" t="s">
        <v>213</v>
      </c>
      <c r="J8" s="7">
        <v>21300</v>
      </c>
      <c r="K8" s="26" t="s">
        <v>257</v>
      </c>
      <c r="L8" s="7">
        <v>1361.43</v>
      </c>
      <c r="M8" s="26" t="s">
        <v>315</v>
      </c>
      <c r="N8" s="7">
        <v>44019.74</v>
      </c>
      <c r="O8" s="26" t="s">
        <v>360</v>
      </c>
      <c r="P8" s="7">
        <v>629.52</v>
      </c>
      <c r="Q8" s="26" t="s">
        <v>414</v>
      </c>
      <c r="R8" s="7">
        <v>2199.7800000000002</v>
      </c>
      <c r="S8" s="26" t="s">
        <v>450</v>
      </c>
      <c r="T8" s="7">
        <v>2331.83</v>
      </c>
      <c r="U8" s="26" t="s">
        <v>499</v>
      </c>
      <c r="V8" s="7">
        <v>40000</v>
      </c>
      <c r="W8" s="26" t="s">
        <v>582</v>
      </c>
      <c r="X8" s="7">
        <v>40000</v>
      </c>
      <c r="Y8" s="26" t="s">
        <v>550</v>
      </c>
      <c r="Z8" s="7"/>
      <c r="AA8" s="26"/>
      <c r="AB8" s="87">
        <v>120.58</v>
      </c>
      <c r="AC8" s="88" t="s">
        <v>640</v>
      </c>
      <c r="AD8" s="87">
        <v>155.22999999999999</v>
      </c>
      <c r="AE8" s="26" t="s">
        <v>693</v>
      </c>
      <c r="AF8" s="7">
        <v>396.96</v>
      </c>
      <c r="AG8" s="26" t="s">
        <v>824</v>
      </c>
      <c r="AH8" s="87">
        <v>4395.01</v>
      </c>
      <c r="AI8" s="26" t="s">
        <v>747</v>
      </c>
      <c r="AJ8" s="7">
        <v>4000</v>
      </c>
      <c r="AK8" s="26" t="s">
        <v>879</v>
      </c>
      <c r="AL8" s="7">
        <v>57277.61</v>
      </c>
      <c r="AM8" s="26" t="s">
        <v>925</v>
      </c>
      <c r="AN8" s="7"/>
      <c r="AO8" s="26"/>
      <c r="AP8" s="7">
        <v>40000</v>
      </c>
      <c r="AQ8" s="26" t="s">
        <v>975</v>
      </c>
      <c r="AR8" s="7">
        <v>721.39</v>
      </c>
      <c r="AS8" s="26" t="s">
        <v>1048</v>
      </c>
      <c r="AT8" s="7">
        <v>203000</v>
      </c>
      <c r="AU8" s="26" t="s">
        <v>1105</v>
      </c>
      <c r="AV8" s="7">
        <v>114000</v>
      </c>
      <c r="AW8" s="26" t="s">
        <v>1165</v>
      </c>
      <c r="AX8" s="7">
        <v>1</v>
      </c>
      <c r="AY8" s="26" t="s">
        <v>1221</v>
      </c>
      <c r="AZ8" s="7">
        <v>50</v>
      </c>
      <c r="BA8" s="26" t="s">
        <v>1274</v>
      </c>
      <c r="BB8" s="7"/>
      <c r="BC8" s="26"/>
      <c r="BD8" s="9">
        <v>200000</v>
      </c>
      <c r="BE8" s="26" t="s">
        <v>1317</v>
      </c>
      <c r="BF8" s="7">
        <v>35000</v>
      </c>
      <c r="BG8" s="26" t="s">
        <v>1414</v>
      </c>
      <c r="BH8" s="7"/>
      <c r="BI8" s="26"/>
      <c r="BJ8" s="7"/>
      <c r="BK8" s="26"/>
      <c r="BL8" s="7"/>
      <c r="BM8" s="26"/>
      <c r="BN8" s="7"/>
      <c r="BO8" s="26"/>
      <c r="BP8" s="7"/>
      <c r="BQ8" s="26"/>
      <c r="BR8" s="7"/>
      <c r="BS8" s="26"/>
      <c r="BT8" s="7"/>
      <c r="BU8" s="26"/>
      <c r="BV8" s="7"/>
      <c r="BW8" s="26"/>
      <c r="BX8" s="7"/>
      <c r="BY8" s="26"/>
      <c r="BZ8" s="7"/>
      <c r="CA8" s="26"/>
      <c r="CB8" s="7"/>
      <c r="CC8" s="26"/>
      <c r="CD8" s="7"/>
      <c r="CE8" s="26"/>
      <c r="CF8" s="7"/>
      <c r="CG8" s="26"/>
      <c r="CH8" s="7"/>
      <c r="CI8" s="26"/>
      <c r="CJ8" s="7"/>
      <c r="CK8" s="26"/>
      <c r="CL8" s="7"/>
      <c r="CM8" s="26"/>
      <c r="CN8" s="7"/>
      <c r="CO8" s="26"/>
      <c r="CP8" s="7"/>
      <c r="CQ8" s="26"/>
      <c r="CR8" s="7"/>
      <c r="CS8" s="26"/>
      <c r="CT8" s="7"/>
      <c r="CU8" s="26"/>
      <c r="CV8" s="7"/>
      <c r="CW8" s="26"/>
      <c r="CX8" s="7"/>
      <c r="CY8" s="26"/>
      <c r="CZ8" s="7"/>
      <c r="DA8" s="26"/>
      <c r="DB8" s="7"/>
      <c r="DC8" s="26"/>
      <c r="DD8" s="7"/>
      <c r="DE8" s="26"/>
      <c r="DF8" s="7"/>
      <c r="DG8" s="26"/>
      <c r="DH8" s="7"/>
      <c r="DI8" s="26"/>
      <c r="DJ8" s="7"/>
      <c r="DK8" s="26"/>
      <c r="DL8" s="7"/>
      <c r="DM8" s="26"/>
      <c r="DN8" s="7"/>
      <c r="DO8" s="26"/>
      <c r="DP8" s="7"/>
      <c r="DQ8" s="26"/>
      <c r="DR8" s="7"/>
      <c r="DS8" s="26"/>
      <c r="DT8" s="7"/>
      <c r="DU8" s="26"/>
      <c r="DV8" s="7"/>
      <c r="DW8" s="26"/>
      <c r="DX8" s="7"/>
      <c r="DY8" s="26"/>
      <c r="DZ8" s="7"/>
      <c r="EA8" s="26"/>
      <c r="EB8" s="7"/>
      <c r="EC8" s="26"/>
      <c r="ED8" s="7"/>
      <c r="EE8" s="26"/>
      <c r="EF8" s="7"/>
      <c r="EG8" s="26"/>
      <c r="EH8" s="7"/>
      <c r="EI8" s="26"/>
      <c r="EJ8" s="7"/>
      <c r="EK8" s="26"/>
      <c r="EL8" s="7"/>
    </row>
    <row r="9" spans="1:142" s="9" customFormat="1" x14ac:dyDescent="0.2">
      <c r="A9" s="41"/>
      <c r="B9" s="9">
        <v>4000</v>
      </c>
      <c r="C9" s="15" t="s">
        <v>23</v>
      </c>
      <c r="D9" s="9">
        <v>800.7</v>
      </c>
      <c r="E9" s="15" t="s">
        <v>80</v>
      </c>
      <c r="F9" s="9">
        <v>8000</v>
      </c>
      <c r="G9" s="15" t="s">
        <v>153</v>
      </c>
      <c r="H9" s="9">
        <v>800</v>
      </c>
      <c r="I9" s="15" t="s">
        <v>215</v>
      </c>
      <c r="J9" s="9">
        <v>100</v>
      </c>
      <c r="K9" s="15" t="s">
        <v>260</v>
      </c>
      <c r="L9" s="9">
        <v>1871.9</v>
      </c>
      <c r="M9" s="15" t="s">
        <v>316</v>
      </c>
      <c r="N9" s="9">
        <v>135000</v>
      </c>
      <c r="O9" s="15" t="s">
        <v>363</v>
      </c>
      <c r="P9" s="9">
        <v>5000</v>
      </c>
      <c r="Q9" s="15" t="s">
        <v>415</v>
      </c>
      <c r="R9" s="9">
        <v>5000</v>
      </c>
      <c r="S9" s="15" t="s">
        <v>454</v>
      </c>
      <c r="T9" s="9">
        <v>57.23</v>
      </c>
      <c r="U9" s="9" t="s">
        <v>502</v>
      </c>
      <c r="V9" s="9">
        <v>44000</v>
      </c>
      <c r="W9" s="15" t="s">
        <v>585</v>
      </c>
      <c r="X9" s="9">
        <v>147000</v>
      </c>
      <c r="Y9" s="15" t="s">
        <v>551</v>
      </c>
      <c r="AA9" s="15"/>
      <c r="AB9" s="72">
        <v>528.84</v>
      </c>
      <c r="AC9" s="86" t="s">
        <v>641</v>
      </c>
      <c r="AD9" s="72">
        <v>1433.59</v>
      </c>
      <c r="AE9" s="15" t="s">
        <v>694</v>
      </c>
      <c r="AF9" s="9">
        <v>205.56</v>
      </c>
      <c r="AG9" s="15" t="s">
        <v>825</v>
      </c>
      <c r="AH9" s="72">
        <v>534.20000000000005</v>
      </c>
      <c r="AI9" s="15" t="s">
        <v>748</v>
      </c>
      <c r="AJ9" s="9">
        <v>1087.8</v>
      </c>
      <c r="AK9" s="15" t="s">
        <v>883</v>
      </c>
      <c r="AL9" s="9">
        <v>5000</v>
      </c>
      <c r="AM9" s="15" t="s">
        <v>927</v>
      </c>
      <c r="AO9" s="15"/>
      <c r="AP9" s="9">
        <v>623.19000000000005</v>
      </c>
      <c r="AQ9" s="15" t="s">
        <v>979</v>
      </c>
      <c r="AR9" s="9">
        <v>408.27</v>
      </c>
      <c r="AS9" s="15" t="s">
        <v>1051</v>
      </c>
      <c r="AT9" s="9">
        <v>2492.9899999999998</v>
      </c>
      <c r="AU9" s="15" t="s">
        <v>1111</v>
      </c>
      <c r="AV9" s="9">
        <v>636.79</v>
      </c>
      <c r="AW9" s="15" t="s">
        <v>1169</v>
      </c>
      <c r="AX9" s="9">
        <v>31271.5</v>
      </c>
      <c r="AY9" s="15" t="s">
        <v>1225</v>
      </c>
      <c r="AZ9" s="9">
        <v>19862</v>
      </c>
      <c r="BA9" s="15" t="s">
        <v>1275</v>
      </c>
      <c r="BC9" s="15"/>
      <c r="BD9" s="9">
        <v>10251.27</v>
      </c>
      <c r="BE9" s="15" t="s">
        <v>1319</v>
      </c>
      <c r="BF9" s="9">
        <v>70000</v>
      </c>
      <c r="BG9" s="15" t="s">
        <v>1417</v>
      </c>
      <c r="BI9" s="15"/>
      <c r="BK9" s="15"/>
      <c r="BM9" s="15"/>
      <c r="BO9" s="15"/>
      <c r="BQ9" s="15"/>
      <c r="BS9" s="15"/>
      <c r="BU9" s="15"/>
      <c r="BW9" s="15"/>
      <c r="BY9" s="15"/>
      <c r="CA9" s="15"/>
      <c r="CC9" s="15"/>
      <c r="CE9" s="15"/>
      <c r="CG9" s="15"/>
      <c r="CI9" s="15"/>
      <c r="CK9" s="15"/>
      <c r="CM9" s="15"/>
      <c r="CO9" s="15"/>
      <c r="CQ9" s="15"/>
      <c r="CS9" s="15"/>
      <c r="CU9" s="15"/>
      <c r="CW9" s="15"/>
      <c r="CY9" s="15"/>
      <c r="DA9" s="15"/>
      <c r="DC9" s="15"/>
      <c r="DE9" s="15"/>
      <c r="DG9" s="15"/>
      <c r="DI9" s="15"/>
      <c r="DK9" s="15"/>
      <c r="DM9" s="15"/>
      <c r="DO9" s="15"/>
      <c r="DQ9" s="15"/>
      <c r="DS9" s="15"/>
      <c r="DU9" s="15"/>
      <c r="DW9" s="15"/>
      <c r="DY9" s="15"/>
      <c r="EA9" s="15"/>
      <c r="EC9" s="15"/>
      <c r="EE9" s="15"/>
      <c r="EG9" s="15"/>
      <c r="EI9" s="15"/>
      <c r="EK9" s="15"/>
    </row>
    <row r="10" spans="1:142" s="9" customFormat="1" x14ac:dyDescent="0.2">
      <c r="A10" s="41"/>
      <c r="B10" s="7">
        <v>775.75</v>
      </c>
      <c r="C10" s="26" t="s">
        <v>25</v>
      </c>
      <c r="D10" s="7">
        <v>3000</v>
      </c>
      <c r="E10" s="26" t="s">
        <v>82</v>
      </c>
      <c r="F10" s="7">
        <v>582.76</v>
      </c>
      <c r="G10" s="26" t="s">
        <v>159</v>
      </c>
      <c r="H10" s="7">
        <v>650.5</v>
      </c>
      <c r="I10" s="26" t="s">
        <v>218</v>
      </c>
      <c r="J10" s="7">
        <v>34000</v>
      </c>
      <c r="K10" s="26" t="s">
        <v>262</v>
      </c>
      <c r="L10" s="7">
        <v>815.19</v>
      </c>
      <c r="M10" s="26" t="s">
        <v>317</v>
      </c>
      <c r="N10" s="7">
        <v>1300</v>
      </c>
      <c r="O10" s="26" t="s">
        <v>364</v>
      </c>
      <c r="P10" s="7">
        <v>1276.48</v>
      </c>
      <c r="Q10" s="26" t="s">
        <v>405</v>
      </c>
      <c r="R10" s="7">
        <v>905.9</v>
      </c>
      <c r="S10" s="26" t="s">
        <v>455</v>
      </c>
      <c r="T10" s="7">
        <v>50</v>
      </c>
      <c r="U10" s="26" t="s">
        <v>508</v>
      </c>
      <c r="V10" s="7">
        <v>23054</v>
      </c>
      <c r="W10" s="26" t="s">
        <v>589</v>
      </c>
      <c r="X10" s="7">
        <v>228.22</v>
      </c>
      <c r="Y10" s="26" t="s">
        <v>554</v>
      </c>
      <c r="Z10" s="7"/>
      <c r="AA10" s="26"/>
      <c r="AB10" s="87">
        <v>1099</v>
      </c>
      <c r="AC10" s="88" t="s">
        <v>642</v>
      </c>
      <c r="AD10" s="87">
        <v>1053.25</v>
      </c>
      <c r="AE10" s="26" t="s">
        <v>695</v>
      </c>
      <c r="AF10" s="7">
        <v>3000</v>
      </c>
      <c r="AG10" s="26" t="s">
        <v>826</v>
      </c>
      <c r="AH10" s="87">
        <v>866.29</v>
      </c>
      <c r="AI10" s="26" t="s">
        <v>749</v>
      </c>
      <c r="AJ10" s="7">
        <v>315</v>
      </c>
      <c r="AK10" s="26" t="s">
        <v>887</v>
      </c>
      <c r="AL10" s="7">
        <v>1099.01</v>
      </c>
      <c r="AM10" s="26" t="s">
        <v>938</v>
      </c>
      <c r="AN10" s="7"/>
      <c r="AO10" s="26"/>
      <c r="AP10" s="7">
        <v>1216.57</v>
      </c>
      <c r="AQ10" s="26" t="s">
        <v>984</v>
      </c>
      <c r="AR10" s="7">
        <v>4527</v>
      </c>
      <c r="AS10" s="26" t="s">
        <v>1052</v>
      </c>
      <c r="AT10" s="7">
        <v>1366.02</v>
      </c>
      <c r="AU10" s="26" t="s">
        <v>1112</v>
      </c>
      <c r="AV10" s="7">
        <v>1390.14</v>
      </c>
      <c r="AW10" s="26" t="s">
        <v>1170</v>
      </c>
      <c r="AX10" s="7">
        <v>4731.6400000000003</v>
      </c>
      <c r="AY10" s="26" t="s">
        <v>1228</v>
      </c>
      <c r="AZ10" s="7">
        <v>1837.77</v>
      </c>
      <c r="BA10" s="26" t="s">
        <v>1276</v>
      </c>
      <c r="BB10" s="7"/>
      <c r="BC10" s="26"/>
      <c r="BD10" s="9">
        <v>386.06</v>
      </c>
      <c r="BE10" s="26" t="s">
        <v>1323</v>
      </c>
      <c r="BF10" s="7">
        <v>44500</v>
      </c>
      <c r="BG10" s="26" t="s">
        <v>1419</v>
      </c>
      <c r="BH10" s="7"/>
      <c r="BI10" s="26"/>
      <c r="BJ10" s="7"/>
      <c r="BK10" s="26"/>
      <c r="BL10" s="7"/>
      <c r="BM10" s="26"/>
      <c r="BN10" s="7"/>
      <c r="BO10" s="26"/>
      <c r="BP10" s="7"/>
      <c r="BQ10" s="26"/>
      <c r="BR10" s="7"/>
      <c r="BS10" s="26"/>
      <c r="BT10" s="7"/>
      <c r="BU10" s="26"/>
      <c r="BV10" s="7"/>
      <c r="BW10" s="26"/>
      <c r="BX10" s="7"/>
      <c r="BY10" s="26"/>
      <c r="BZ10" s="7"/>
      <c r="CA10" s="26"/>
      <c r="CB10" s="7"/>
      <c r="CC10" s="26"/>
      <c r="CD10" s="7"/>
      <c r="CE10" s="26"/>
      <c r="CF10" s="7"/>
      <c r="CG10" s="26"/>
      <c r="CH10" s="7"/>
      <c r="CI10" s="26"/>
      <c r="CJ10" s="7"/>
      <c r="CK10" s="26"/>
      <c r="CL10" s="7"/>
      <c r="CM10" s="26"/>
      <c r="CN10" s="7"/>
      <c r="CO10" s="26"/>
      <c r="CP10" s="7"/>
      <c r="CQ10" s="26"/>
      <c r="CR10" s="7"/>
      <c r="CS10" s="26"/>
      <c r="CT10" s="7"/>
      <c r="CU10" s="26"/>
      <c r="CV10" s="7"/>
      <c r="CW10" s="26"/>
      <c r="CX10" s="7"/>
      <c r="CY10" s="26"/>
      <c r="CZ10" s="7"/>
      <c r="DA10" s="26"/>
      <c r="DB10" s="7"/>
      <c r="DC10" s="26"/>
      <c r="DD10" s="7"/>
      <c r="DE10" s="26"/>
      <c r="DF10" s="7"/>
      <c r="DG10" s="26"/>
      <c r="DH10" s="7"/>
      <c r="DI10" s="26"/>
      <c r="DJ10" s="7"/>
      <c r="DK10" s="26"/>
      <c r="DL10" s="7"/>
      <c r="DM10" s="26"/>
      <c r="DN10" s="7"/>
      <c r="DO10" s="26"/>
      <c r="DP10" s="7"/>
      <c r="DQ10" s="26"/>
      <c r="DR10" s="7"/>
      <c r="DS10" s="26"/>
      <c r="DT10" s="7"/>
      <c r="DU10" s="26"/>
      <c r="DV10" s="7"/>
      <c r="DW10" s="26"/>
      <c r="DX10" s="7"/>
      <c r="DY10" s="26"/>
      <c r="DZ10" s="7"/>
      <c r="EA10" s="26"/>
      <c r="EB10" s="7"/>
      <c r="EC10" s="26"/>
      <c r="ED10" s="7"/>
      <c r="EE10" s="26"/>
      <c r="EF10" s="7"/>
      <c r="EG10" s="26"/>
      <c r="EH10" s="7"/>
      <c r="EI10" s="26"/>
      <c r="EJ10" s="7"/>
      <c r="EK10" s="26"/>
      <c r="EL10" s="7"/>
    </row>
    <row r="11" spans="1:142" s="9" customFormat="1" x14ac:dyDescent="0.2">
      <c r="A11" s="41"/>
      <c r="B11" s="7">
        <v>251.89</v>
      </c>
      <c r="C11" s="26" t="s">
        <v>27</v>
      </c>
      <c r="D11" s="7">
        <v>214000</v>
      </c>
      <c r="E11" s="7" t="s">
        <v>93</v>
      </c>
      <c r="F11" s="7">
        <v>440.22</v>
      </c>
      <c r="G11" s="26" t="s">
        <v>160</v>
      </c>
      <c r="H11" s="7">
        <v>1287.82</v>
      </c>
      <c r="I11" s="26" t="s">
        <v>219</v>
      </c>
      <c r="J11" s="7">
        <v>50000</v>
      </c>
      <c r="K11" s="26" t="s">
        <v>265</v>
      </c>
      <c r="L11" s="7">
        <v>96.8</v>
      </c>
      <c r="M11" s="26" t="s">
        <v>318</v>
      </c>
      <c r="N11" s="7">
        <v>5000</v>
      </c>
      <c r="O11" s="26" t="s">
        <v>366</v>
      </c>
      <c r="P11" s="7">
        <v>611.95000000000005</v>
      </c>
      <c r="Q11" s="26" t="s">
        <v>419</v>
      </c>
      <c r="R11" s="7">
        <v>214000</v>
      </c>
      <c r="S11" s="26" t="s">
        <v>456</v>
      </c>
      <c r="T11" s="7">
        <v>167.28</v>
      </c>
      <c r="U11" s="26" t="s">
        <v>511</v>
      </c>
      <c r="V11" s="7">
        <v>1518.4</v>
      </c>
      <c r="W11" s="26" t="s">
        <v>591</v>
      </c>
      <c r="X11" s="7">
        <v>875.23</v>
      </c>
      <c r="Y11" s="26" t="s">
        <v>555</v>
      </c>
      <c r="Z11" s="7"/>
      <c r="AA11" s="26"/>
      <c r="AB11" s="87">
        <v>635</v>
      </c>
      <c r="AC11" s="86" t="s">
        <v>653</v>
      </c>
      <c r="AD11" s="87">
        <v>2047.05</v>
      </c>
      <c r="AE11" s="26" t="s">
        <v>696</v>
      </c>
      <c r="AF11" s="7">
        <v>1970</v>
      </c>
      <c r="AG11" s="26" t="s">
        <v>827</v>
      </c>
      <c r="AH11" s="87">
        <v>714.69</v>
      </c>
      <c r="AI11" s="26" t="s">
        <v>750</v>
      </c>
      <c r="AJ11" s="7">
        <v>3519</v>
      </c>
      <c r="AK11" s="26" t="s">
        <v>888</v>
      </c>
      <c r="AL11" s="7">
        <v>2455</v>
      </c>
      <c r="AM11" s="26" t="s">
        <v>937</v>
      </c>
      <c r="AN11" s="7"/>
      <c r="AO11" s="26"/>
      <c r="AP11" s="7">
        <v>604.82000000000005</v>
      </c>
      <c r="AQ11" s="26" t="s">
        <v>989</v>
      </c>
      <c r="AR11" s="7">
        <v>1329.29</v>
      </c>
      <c r="AS11" s="26" t="s">
        <v>1056</v>
      </c>
      <c r="AT11" s="7">
        <v>5000</v>
      </c>
      <c r="AU11" s="26" t="s">
        <v>1117</v>
      </c>
      <c r="AV11" s="7">
        <v>1030.19</v>
      </c>
      <c r="AW11" s="26" t="s">
        <v>1171</v>
      </c>
      <c r="AX11" s="7">
        <v>27100.45</v>
      </c>
      <c r="AY11" s="26" t="s">
        <v>1231</v>
      </c>
      <c r="AZ11" s="7">
        <v>150</v>
      </c>
      <c r="BA11" s="26" t="s">
        <v>1280</v>
      </c>
      <c r="BB11" s="7"/>
      <c r="BC11" s="26"/>
      <c r="BD11" s="9">
        <v>2500</v>
      </c>
      <c r="BE11" s="26" t="s">
        <v>1324</v>
      </c>
      <c r="BF11" s="7">
        <v>23000</v>
      </c>
      <c r="BG11" s="26" t="s">
        <v>1420</v>
      </c>
      <c r="BH11" s="7"/>
      <c r="BI11" s="26"/>
      <c r="BJ11" s="7"/>
      <c r="BK11" s="26"/>
      <c r="BL11" s="7"/>
      <c r="BM11" s="26"/>
      <c r="BN11" s="7"/>
      <c r="BO11" s="26"/>
      <c r="BP11" s="7"/>
      <c r="BQ11" s="26"/>
      <c r="BR11" s="7"/>
      <c r="BS11" s="26"/>
      <c r="BT11" s="7"/>
      <c r="BU11" s="26"/>
      <c r="BV11" s="7"/>
      <c r="BW11" s="26"/>
      <c r="BX11" s="7"/>
      <c r="BY11" s="26"/>
      <c r="BZ11" s="7"/>
      <c r="CA11" s="26"/>
      <c r="CB11" s="7"/>
      <c r="CC11" s="26"/>
      <c r="CD11" s="7"/>
      <c r="CE11" s="26"/>
      <c r="CF11" s="7"/>
      <c r="CG11" s="26"/>
      <c r="CH11" s="7"/>
      <c r="CI11" s="26"/>
      <c r="CJ11" s="7"/>
      <c r="CK11" s="26"/>
      <c r="CL11" s="7"/>
      <c r="CM11" s="26"/>
      <c r="CN11" s="7"/>
      <c r="CO11" s="26"/>
      <c r="CP11" s="7"/>
      <c r="CQ11" s="26"/>
      <c r="CR11" s="7"/>
      <c r="CS11" s="26"/>
      <c r="CT11" s="7"/>
      <c r="CU11" s="26"/>
      <c r="CV11" s="7"/>
      <c r="CW11" s="26"/>
      <c r="CX11" s="7"/>
      <c r="CY11" s="26"/>
      <c r="CZ11" s="7"/>
      <c r="DA11" s="26"/>
      <c r="DB11" s="7"/>
      <c r="DC11" s="26"/>
      <c r="DD11" s="7"/>
      <c r="DE11" s="26"/>
      <c r="DF11" s="7"/>
      <c r="DG11" s="26"/>
      <c r="DH11" s="7"/>
      <c r="DI11" s="26"/>
      <c r="DJ11" s="7"/>
      <c r="DK11" s="26"/>
      <c r="DL11" s="7"/>
      <c r="DM11" s="26"/>
      <c r="DN11" s="7"/>
      <c r="DO11" s="26"/>
      <c r="DP11" s="7"/>
      <c r="DQ11" s="26"/>
      <c r="DR11" s="7"/>
      <c r="DS11" s="26"/>
      <c r="DT11" s="7"/>
      <c r="DU11" s="26"/>
      <c r="DV11" s="7"/>
      <c r="DW11" s="26"/>
      <c r="DX11" s="7"/>
      <c r="DY11" s="26"/>
      <c r="DZ11" s="7"/>
      <c r="EA11" s="26"/>
      <c r="EB11" s="7"/>
      <c r="EC11" s="26"/>
      <c r="ED11" s="7"/>
      <c r="EE11" s="26"/>
      <c r="EF11" s="7"/>
      <c r="EG11" s="26"/>
      <c r="EH11" s="7"/>
      <c r="EI11" s="26"/>
      <c r="EJ11" s="7"/>
      <c r="EK11" s="26"/>
      <c r="EL11" s="7"/>
    </row>
    <row r="12" spans="1:142" s="9" customFormat="1" x14ac:dyDescent="0.2">
      <c r="A12" s="41"/>
      <c r="B12" s="9">
        <v>2932.25</v>
      </c>
      <c r="C12" s="15" t="s">
        <v>30</v>
      </c>
      <c r="D12" s="9">
        <v>759.48</v>
      </c>
      <c r="E12" s="15" t="s">
        <v>95</v>
      </c>
      <c r="F12" s="9">
        <v>3767.9</v>
      </c>
      <c r="G12" s="15" t="s">
        <v>162</v>
      </c>
      <c r="H12" s="9">
        <v>1099</v>
      </c>
      <c r="I12" s="15" t="s">
        <v>223</v>
      </c>
      <c r="J12" s="9">
        <v>770.13</v>
      </c>
      <c r="K12" s="15" t="s">
        <v>267</v>
      </c>
      <c r="L12" s="9">
        <v>79.44</v>
      </c>
      <c r="M12" s="15" t="s">
        <v>319</v>
      </c>
      <c r="N12" s="9">
        <v>800</v>
      </c>
      <c r="O12" s="15" t="s">
        <v>367</v>
      </c>
      <c r="P12" s="9">
        <v>1137.1400000000001</v>
      </c>
      <c r="Q12" s="15" t="s">
        <v>420</v>
      </c>
      <c r="R12" s="9">
        <v>3736.7</v>
      </c>
      <c r="S12" s="15" t="s">
        <v>459</v>
      </c>
      <c r="T12" s="9">
        <v>2800</v>
      </c>
      <c r="U12" s="15" t="s">
        <v>513</v>
      </c>
      <c r="V12" s="9">
        <v>38500</v>
      </c>
      <c r="W12" s="15" t="s">
        <v>592</v>
      </c>
      <c r="X12" s="9">
        <v>1099</v>
      </c>
      <c r="Y12" s="15" t="s">
        <v>561</v>
      </c>
      <c r="AA12" s="15"/>
      <c r="AB12" s="72">
        <v>1099</v>
      </c>
      <c r="AC12" s="88" t="s">
        <v>643</v>
      </c>
      <c r="AD12" s="72">
        <v>5000</v>
      </c>
      <c r="AE12" s="15" t="s">
        <v>697</v>
      </c>
      <c r="AF12" s="9">
        <v>175</v>
      </c>
      <c r="AG12" s="15" t="s">
        <v>828</v>
      </c>
      <c r="AH12" s="72">
        <v>535.87</v>
      </c>
      <c r="AI12" s="15" t="s">
        <v>751</v>
      </c>
      <c r="AJ12" s="9">
        <v>200.01</v>
      </c>
      <c r="AK12" s="15" t="s">
        <v>892</v>
      </c>
      <c r="AL12" s="9">
        <v>1099</v>
      </c>
      <c r="AM12" s="15" t="s">
        <v>942</v>
      </c>
      <c r="AO12" s="15"/>
      <c r="AP12" s="9">
        <v>217.43</v>
      </c>
      <c r="AQ12" s="15" t="s">
        <v>995</v>
      </c>
      <c r="AR12" s="9">
        <v>175</v>
      </c>
      <c r="AS12" s="15" t="s">
        <v>1058</v>
      </c>
      <c r="AT12" s="9">
        <v>1433.59</v>
      </c>
      <c r="AU12" s="15" t="s">
        <v>1118</v>
      </c>
      <c r="AV12" s="9">
        <v>1291.96</v>
      </c>
      <c r="AW12" s="15" t="s">
        <v>1174</v>
      </c>
      <c r="AX12" s="9">
        <v>303.17</v>
      </c>
      <c r="AY12" s="15" t="s">
        <v>1232</v>
      </c>
      <c r="AZ12" s="9">
        <v>1970</v>
      </c>
      <c r="BA12" s="15" t="s">
        <v>1285</v>
      </c>
      <c r="BC12" s="15"/>
      <c r="BD12" s="9">
        <v>3500</v>
      </c>
      <c r="BE12" s="15" t="s">
        <v>1329</v>
      </c>
      <c r="BF12" s="9">
        <v>80000</v>
      </c>
      <c r="BG12" s="15" t="s">
        <v>1421</v>
      </c>
      <c r="BI12" s="15"/>
      <c r="BK12" s="15"/>
      <c r="BM12" s="15"/>
      <c r="BO12" s="15"/>
      <c r="BQ12" s="15"/>
      <c r="BS12" s="15"/>
      <c r="BU12" s="15"/>
      <c r="BW12" s="15"/>
      <c r="BY12" s="15"/>
      <c r="CA12" s="15"/>
      <c r="CC12" s="15"/>
      <c r="CE12" s="15"/>
      <c r="CG12" s="15"/>
      <c r="CI12" s="15"/>
      <c r="CK12" s="15"/>
      <c r="CM12" s="15"/>
      <c r="CO12" s="15"/>
      <c r="CQ12" s="15"/>
      <c r="CS12" s="15"/>
      <c r="CU12" s="15"/>
      <c r="CW12" s="15"/>
      <c r="CY12" s="15"/>
      <c r="DA12" s="15"/>
      <c r="DC12" s="15"/>
      <c r="DE12" s="15"/>
      <c r="DG12" s="15"/>
      <c r="DI12" s="15"/>
      <c r="DK12" s="15"/>
      <c r="DM12" s="15"/>
      <c r="DO12" s="15"/>
      <c r="DQ12" s="15"/>
      <c r="DS12" s="15"/>
      <c r="DU12" s="15"/>
      <c r="DW12" s="15"/>
      <c r="DY12" s="15"/>
      <c r="EA12" s="15"/>
      <c r="EC12" s="15"/>
      <c r="EE12" s="15"/>
      <c r="EG12" s="15"/>
      <c r="EI12" s="15"/>
      <c r="EK12" s="15"/>
    </row>
    <row r="13" spans="1:142" s="9" customFormat="1" x14ac:dyDescent="0.2">
      <c r="A13" s="41"/>
      <c r="B13" s="9">
        <v>5000</v>
      </c>
      <c r="C13" s="15" t="s">
        <v>31</v>
      </c>
      <c r="D13" s="9">
        <v>8614</v>
      </c>
      <c r="E13" s="15" t="s">
        <v>96</v>
      </c>
      <c r="F13" s="9">
        <v>77300</v>
      </c>
      <c r="G13" s="15" t="s">
        <v>164</v>
      </c>
      <c r="H13" s="9">
        <v>1970</v>
      </c>
      <c r="I13" s="15" t="s">
        <v>227</v>
      </c>
      <c r="J13" s="9">
        <v>459.8</v>
      </c>
      <c r="K13" s="15" t="s">
        <v>273</v>
      </c>
      <c r="L13" s="9">
        <v>2270</v>
      </c>
      <c r="M13" s="15" t="s">
        <v>323</v>
      </c>
      <c r="N13" s="9">
        <v>2050</v>
      </c>
      <c r="O13" s="15" t="s">
        <v>372</v>
      </c>
      <c r="P13" s="9">
        <v>1099</v>
      </c>
      <c r="Q13" s="15" t="s">
        <v>422</v>
      </c>
      <c r="R13" s="9">
        <v>14900</v>
      </c>
      <c r="S13" s="15" t="s">
        <v>460</v>
      </c>
      <c r="T13" s="9">
        <v>1334.4</v>
      </c>
      <c r="U13" s="15" t="s">
        <v>515</v>
      </c>
      <c r="V13" s="9">
        <v>950</v>
      </c>
      <c r="W13" s="15" t="s">
        <v>600</v>
      </c>
      <c r="X13" s="9">
        <v>1970</v>
      </c>
      <c r="Y13" s="15" t="s">
        <v>563</v>
      </c>
      <c r="AA13" s="15"/>
      <c r="AB13" s="72">
        <v>5000</v>
      </c>
      <c r="AC13" s="86" t="s">
        <v>644</v>
      </c>
      <c r="AD13" s="72">
        <v>2000</v>
      </c>
      <c r="AE13" s="15" t="s">
        <v>698</v>
      </c>
      <c r="AF13" s="9">
        <v>1969.99</v>
      </c>
      <c r="AG13" s="15" t="s">
        <v>831</v>
      </c>
      <c r="AH13" s="72">
        <v>119.63</v>
      </c>
      <c r="AI13" s="15" t="s">
        <v>752</v>
      </c>
      <c r="AJ13" s="9">
        <v>599.58000000000004</v>
      </c>
      <c r="AK13" s="15" t="s">
        <v>896</v>
      </c>
      <c r="AL13" s="9">
        <v>3250.01</v>
      </c>
      <c r="AM13" s="15" t="s">
        <v>959</v>
      </c>
      <c r="AO13" s="15"/>
      <c r="AP13" s="9">
        <v>1031.08</v>
      </c>
      <c r="AQ13" s="15" t="s">
        <v>998</v>
      </c>
      <c r="AR13" s="9">
        <v>2395.0100000000002</v>
      </c>
      <c r="AS13" s="15" t="s">
        <v>1061</v>
      </c>
      <c r="AT13" s="9">
        <v>3000</v>
      </c>
      <c r="AU13" s="15" t="s">
        <v>1119</v>
      </c>
      <c r="AV13" s="9">
        <v>2000</v>
      </c>
      <c r="AW13" s="15" t="s">
        <v>1175</v>
      </c>
      <c r="AX13" s="9">
        <v>6441.75</v>
      </c>
      <c r="AY13" s="15" t="s">
        <v>1233</v>
      </c>
      <c r="AZ13" s="9">
        <f>2091.96-1291.96</f>
        <v>800</v>
      </c>
      <c r="BA13" s="15" t="s">
        <v>1286</v>
      </c>
      <c r="BC13" s="15"/>
      <c r="BD13" s="9">
        <v>1500</v>
      </c>
      <c r="BE13" s="15" t="s">
        <v>1332</v>
      </c>
      <c r="BF13" s="9">
        <v>24700</v>
      </c>
      <c r="BG13" s="15" t="s">
        <v>1425</v>
      </c>
      <c r="BI13" s="15"/>
      <c r="BK13" s="15"/>
      <c r="BM13" s="15"/>
      <c r="BO13" s="15"/>
      <c r="BQ13" s="15"/>
      <c r="BS13" s="15"/>
      <c r="BU13" s="15"/>
      <c r="BW13" s="15"/>
      <c r="BY13" s="15"/>
      <c r="CA13" s="15"/>
      <c r="CC13" s="15"/>
      <c r="CE13" s="15"/>
      <c r="CG13" s="15"/>
      <c r="CI13" s="15"/>
      <c r="CK13" s="15"/>
      <c r="CM13" s="15"/>
      <c r="CO13" s="15"/>
      <c r="CQ13" s="15"/>
      <c r="CS13" s="15"/>
      <c r="CU13" s="15"/>
      <c r="CW13" s="15"/>
      <c r="CY13" s="15"/>
      <c r="DA13" s="15"/>
      <c r="DC13" s="15"/>
      <c r="DE13" s="15"/>
      <c r="DG13" s="15"/>
      <c r="DI13" s="15"/>
      <c r="DK13" s="15"/>
      <c r="DM13" s="15"/>
      <c r="DO13" s="15"/>
      <c r="DQ13" s="15"/>
      <c r="DS13" s="15"/>
      <c r="DU13" s="15"/>
      <c r="DW13" s="15"/>
      <c r="DY13" s="15"/>
      <c r="EA13" s="15"/>
      <c r="EC13" s="15"/>
      <c r="EE13" s="15"/>
      <c r="EG13" s="15"/>
      <c r="EI13" s="15"/>
      <c r="EK13" s="15"/>
    </row>
    <row r="14" spans="1:142" s="9" customFormat="1" x14ac:dyDescent="0.2">
      <c r="A14" s="41"/>
      <c r="B14" s="7">
        <v>4973.3500000000004</v>
      </c>
      <c r="C14" s="26" t="s">
        <v>32</v>
      </c>
      <c r="D14" s="7">
        <v>386.14</v>
      </c>
      <c r="E14" s="26" t="s">
        <v>98</v>
      </c>
      <c r="F14" s="7">
        <v>175</v>
      </c>
      <c r="G14" s="26" t="s">
        <v>165</v>
      </c>
      <c r="H14" s="7">
        <v>4395</v>
      </c>
      <c r="I14" s="26" t="s">
        <v>228</v>
      </c>
      <c r="J14" s="7">
        <v>329.29</v>
      </c>
      <c r="K14" s="26" t="s">
        <v>277</v>
      </c>
      <c r="L14" s="7">
        <v>2129.0100000000002</v>
      </c>
      <c r="M14" s="26" t="s">
        <v>324</v>
      </c>
      <c r="N14" s="7">
        <v>243.86</v>
      </c>
      <c r="O14" s="26" t="s">
        <v>374</v>
      </c>
      <c r="P14" s="7">
        <v>623.15</v>
      </c>
      <c r="Q14" s="26" t="s">
        <v>423</v>
      </c>
      <c r="R14" s="7">
        <v>20000</v>
      </c>
      <c r="S14" s="26" t="s">
        <v>461</v>
      </c>
      <c r="T14" s="7">
        <v>1097.0999999999999</v>
      </c>
      <c r="U14" s="26" t="s">
        <v>517</v>
      </c>
      <c r="V14" s="7">
        <v>3400</v>
      </c>
      <c r="W14" s="26" t="s">
        <v>602</v>
      </c>
      <c r="X14" s="7">
        <v>2320</v>
      </c>
      <c r="Y14" s="26" t="s">
        <v>565</v>
      </c>
      <c r="Z14" s="7"/>
      <c r="AA14" s="26"/>
      <c r="AB14" s="87">
        <v>20000</v>
      </c>
      <c r="AC14" s="86" t="s">
        <v>645</v>
      </c>
      <c r="AD14" s="87">
        <v>1099</v>
      </c>
      <c r="AE14" s="26" t="s">
        <v>699</v>
      </c>
      <c r="AF14" s="7">
        <v>1679.02</v>
      </c>
      <c r="AG14" s="26" t="s">
        <v>832</v>
      </c>
      <c r="AH14" s="87">
        <v>47083</v>
      </c>
      <c r="AI14" s="26" t="s">
        <v>753</v>
      </c>
      <c r="AJ14" s="7">
        <v>3554.01</v>
      </c>
      <c r="AK14" s="26" t="s">
        <v>899</v>
      </c>
      <c r="AL14" s="7">
        <v>1099.01</v>
      </c>
      <c r="AM14" s="26" t="s">
        <v>961</v>
      </c>
      <c r="AN14" s="7"/>
      <c r="AO14" s="26"/>
      <c r="AP14" s="7">
        <v>1676.86</v>
      </c>
      <c r="AQ14" s="26" t="s">
        <v>1000</v>
      </c>
      <c r="AR14" s="7">
        <v>700</v>
      </c>
      <c r="AS14" s="26" t="s">
        <v>1062</v>
      </c>
      <c r="AT14" s="7">
        <v>928.1</v>
      </c>
      <c r="AU14" s="26" t="s">
        <v>1120</v>
      </c>
      <c r="AV14" s="7">
        <v>900</v>
      </c>
      <c r="AW14" s="26" t="s">
        <v>1178</v>
      </c>
      <c r="AX14" s="7">
        <v>11199.75</v>
      </c>
      <c r="AY14" s="26" t="s">
        <v>1234</v>
      </c>
      <c r="AZ14" s="7">
        <v>400</v>
      </c>
      <c r="BA14" s="26" t="s">
        <v>1292</v>
      </c>
      <c r="BB14" s="7"/>
      <c r="BC14" s="26"/>
      <c r="BD14" s="9">
        <v>2283.4</v>
      </c>
      <c r="BE14" s="26" t="s">
        <v>1333</v>
      </c>
      <c r="BF14" s="7">
        <v>20000</v>
      </c>
      <c r="BG14" s="26" t="s">
        <v>1432</v>
      </c>
      <c r="BH14" s="7"/>
      <c r="BI14" s="26"/>
      <c r="BJ14" s="7"/>
      <c r="BK14" s="26"/>
      <c r="BL14" s="7"/>
      <c r="BM14" s="26"/>
      <c r="BN14" s="7"/>
      <c r="BO14" s="26"/>
      <c r="BP14" s="7"/>
      <c r="BQ14" s="26"/>
      <c r="BR14" s="7"/>
      <c r="BS14" s="26"/>
      <c r="BT14" s="7"/>
      <c r="BU14" s="26"/>
      <c r="BV14" s="7"/>
      <c r="BW14" s="26"/>
      <c r="BX14" s="7"/>
      <c r="BY14" s="26"/>
      <c r="BZ14" s="7"/>
      <c r="CA14" s="26"/>
      <c r="CB14" s="7"/>
      <c r="CC14" s="26"/>
      <c r="CD14" s="7"/>
      <c r="CE14" s="26"/>
      <c r="CF14" s="7"/>
      <c r="CG14" s="26"/>
      <c r="CH14" s="7"/>
      <c r="CI14" s="26"/>
      <c r="CJ14" s="7"/>
      <c r="CK14" s="26"/>
      <c r="CL14" s="7"/>
      <c r="CM14" s="26"/>
      <c r="CN14" s="7"/>
      <c r="CO14" s="26"/>
      <c r="CP14" s="7"/>
      <c r="CQ14" s="26"/>
      <c r="CR14" s="7"/>
      <c r="CS14" s="26"/>
      <c r="CT14" s="7"/>
      <c r="CU14" s="26"/>
      <c r="CV14" s="7"/>
      <c r="CW14" s="26"/>
      <c r="CX14" s="7"/>
      <c r="CY14" s="26"/>
      <c r="CZ14" s="7"/>
      <c r="DA14" s="26"/>
      <c r="DB14" s="7"/>
      <c r="DC14" s="26"/>
      <c r="DD14" s="7"/>
      <c r="DE14" s="26"/>
      <c r="DF14" s="7"/>
      <c r="DG14" s="26"/>
      <c r="DH14" s="7"/>
      <c r="DI14" s="26"/>
      <c r="DJ14" s="7"/>
      <c r="DK14" s="26"/>
      <c r="DL14" s="7"/>
      <c r="DM14" s="26"/>
      <c r="DN14" s="7"/>
      <c r="DO14" s="26"/>
      <c r="DP14" s="7"/>
      <c r="DQ14" s="26"/>
      <c r="DR14" s="7"/>
      <c r="DS14" s="26"/>
      <c r="DT14" s="7"/>
      <c r="DU14" s="26"/>
      <c r="DV14" s="7"/>
      <c r="DW14" s="26"/>
      <c r="DX14" s="7"/>
      <c r="DY14" s="26"/>
      <c r="DZ14" s="7"/>
      <c r="EA14" s="26"/>
      <c r="EB14" s="7"/>
      <c r="EC14" s="26"/>
      <c r="ED14" s="7"/>
      <c r="EE14" s="26"/>
      <c r="EF14" s="7"/>
      <c r="EG14" s="26"/>
      <c r="EH14" s="7"/>
      <c r="EI14" s="26"/>
      <c r="EJ14" s="7"/>
      <c r="EK14" s="26"/>
      <c r="EL14" s="7"/>
    </row>
    <row r="15" spans="1:142" s="9" customFormat="1" x14ac:dyDescent="0.2">
      <c r="A15" s="41"/>
      <c r="B15" s="7">
        <v>249.21</v>
      </c>
      <c r="C15" s="26" t="s">
        <v>36</v>
      </c>
      <c r="D15" s="7">
        <v>8371.1299999999992</v>
      </c>
      <c r="E15" s="26" t="s">
        <v>100</v>
      </c>
      <c r="F15" s="7">
        <v>556.61</v>
      </c>
      <c r="G15" s="26" t="s">
        <v>171</v>
      </c>
      <c r="H15" s="7">
        <v>1995</v>
      </c>
      <c r="I15" s="26" t="s">
        <v>231</v>
      </c>
      <c r="J15" s="7">
        <v>1185.73</v>
      </c>
      <c r="K15" s="26" t="s">
        <v>278</v>
      </c>
      <c r="L15" s="7">
        <v>1099</v>
      </c>
      <c r="M15" s="26" t="s">
        <v>326</v>
      </c>
      <c r="N15" s="7">
        <v>228.22</v>
      </c>
      <c r="O15" s="26" t="s">
        <v>376</v>
      </c>
      <c r="P15" s="7">
        <v>1099.01</v>
      </c>
      <c r="Q15" s="26" t="s">
        <v>424</v>
      </c>
      <c r="R15" s="7">
        <v>17774.310000000001</v>
      </c>
      <c r="S15" s="26" t="s">
        <v>463</v>
      </c>
      <c r="T15" s="7">
        <v>439.06</v>
      </c>
      <c r="U15" s="26" t="s">
        <v>518</v>
      </c>
      <c r="V15" s="7">
        <v>3808.99</v>
      </c>
      <c r="W15" s="26" t="s">
        <v>604</v>
      </c>
      <c r="X15" s="7">
        <v>1970</v>
      </c>
      <c r="Y15" s="26" t="s">
        <v>566</v>
      </c>
      <c r="Z15" s="7"/>
      <c r="AA15" s="26"/>
      <c r="AB15" s="87">
        <v>3469</v>
      </c>
      <c r="AC15" s="88" t="s">
        <v>646</v>
      </c>
      <c r="AD15" s="87">
        <v>2613</v>
      </c>
      <c r="AE15" s="26" t="s">
        <v>700</v>
      </c>
      <c r="AF15" s="7">
        <v>1099</v>
      </c>
      <c r="AG15" s="26" t="s">
        <v>834</v>
      </c>
      <c r="AH15" s="87">
        <v>150</v>
      </c>
      <c r="AI15" s="26" t="s">
        <v>754</v>
      </c>
      <c r="AJ15" s="7">
        <v>1099.01</v>
      </c>
      <c r="AK15" s="26" t="s">
        <v>901</v>
      </c>
      <c r="AL15" s="7">
        <v>1099.01</v>
      </c>
      <c r="AM15" s="26" t="s">
        <v>966</v>
      </c>
      <c r="AN15" s="7"/>
      <c r="AO15" s="26"/>
      <c r="AP15" s="7">
        <v>1970</v>
      </c>
      <c r="AQ15" s="26" t="s">
        <v>1002</v>
      </c>
      <c r="AR15" s="7">
        <v>395</v>
      </c>
      <c r="AS15" s="26" t="s">
        <v>1064</v>
      </c>
      <c r="AT15" s="7">
        <v>2483</v>
      </c>
      <c r="AU15" s="26" t="s">
        <v>1127</v>
      </c>
      <c r="AV15" s="7">
        <v>1109.93</v>
      </c>
      <c r="AW15" s="26" t="s">
        <v>1183</v>
      </c>
      <c r="AX15" s="7">
        <v>92000</v>
      </c>
      <c r="AY15" s="26" t="s">
        <v>1235</v>
      </c>
      <c r="AZ15" s="7">
        <v>1099</v>
      </c>
      <c r="BA15" s="26" t="s">
        <v>1293</v>
      </c>
      <c r="BB15" s="7"/>
      <c r="BC15" s="26"/>
      <c r="BD15" s="9">
        <v>175</v>
      </c>
      <c r="BE15" s="26" t="s">
        <v>1334</v>
      </c>
      <c r="BF15" s="7">
        <v>16642.419999999998</v>
      </c>
      <c r="BG15" s="26" t="s">
        <v>1435</v>
      </c>
      <c r="BH15" s="7"/>
      <c r="BI15" s="26"/>
      <c r="BJ15" s="7"/>
      <c r="BK15" s="26"/>
      <c r="BL15" s="7"/>
      <c r="BM15" s="26"/>
      <c r="BN15" s="7"/>
      <c r="BO15" s="26"/>
      <c r="BP15" s="7"/>
      <c r="BQ15" s="26"/>
      <c r="BR15" s="7"/>
      <c r="BS15" s="26"/>
      <c r="BT15" s="7"/>
      <c r="BU15" s="26"/>
      <c r="BV15" s="7"/>
      <c r="BW15" s="26"/>
      <c r="BX15" s="7"/>
      <c r="BY15" s="26"/>
      <c r="BZ15" s="7"/>
      <c r="CA15" s="26"/>
      <c r="CB15" s="7"/>
      <c r="CC15" s="26"/>
      <c r="CD15" s="7"/>
      <c r="CE15" s="26"/>
      <c r="CF15" s="7"/>
      <c r="CG15" s="26"/>
      <c r="CH15" s="7"/>
      <c r="CI15" s="26"/>
      <c r="CJ15" s="7"/>
      <c r="CK15" s="26"/>
      <c r="CL15" s="7"/>
      <c r="CM15" s="26"/>
      <c r="CN15" s="7"/>
      <c r="CO15" s="26"/>
      <c r="CP15" s="7"/>
      <c r="CQ15" s="26"/>
      <c r="CR15" s="7"/>
      <c r="CS15" s="26"/>
      <c r="CT15" s="7"/>
      <c r="CU15" s="26"/>
      <c r="CV15" s="7"/>
      <c r="CW15" s="26"/>
      <c r="CX15" s="7"/>
      <c r="CY15" s="26"/>
      <c r="CZ15" s="7"/>
      <c r="DA15" s="26"/>
      <c r="DB15" s="7"/>
      <c r="DC15" s="26"/>
      <c r="DD15" s="7"/>
      <c r="DE15" s="26"/>
      <c r="DF15" s="7"/>
      <c r="DG15" s="26"/>
      <c r="DH15" s="7"/>
      <c r="DI15" s="26"/>
      <c r="DJ15" s="7"/>
      <c r="DK15" s="26"/>
      <c r="DL15" s="7"/>
      <c r="DM15" s="26"/>
      <c r="DN15" s="7"/>
      <c r="DO15" s="26"/>
      <c r="DP15" s="7"/>
      <c r="DQ15" s="26"/>
      <c r="DR15" s="7"/>
      <c r="DS15" s="26"/>
      <c r="DT15" s="7"/>
      <c r="DU15" s="26"/>
      <c r="DV15" s="7"/>
      <c r="DW15" s="26"/>
      <c r="DX15" s="7"/>
      <c r="DY15" s="26"/>
      <c r="DZ15" s="7"/>
      <c r="EA15" s="26"/>
      <c r="EB15" s="7"/>
      <c r="EC15" s="26"/>
      <c r="ED15" s="7"/>
      <c r="EE15" s="26"/>
      <c r="EF15" s="7"/>
      <c r="EG15" s="26"/>
      <c r="EH15" s="7"/>
      <c r="EI15" s="26"/>
      <c r="EJ15" s="7"/>
      <c r="EK15" s="26"/>
      <c r="EL15" s="7"/>
    </row>
    <row r="16" spans="1:142" s="9" customFormat="1" x14ac:dyDescent="0.2">
      <c r="A16" s="41"/>
      <c r="B16" s="7">
        <v>932.34</v>
      </c>
      <c r="C16" s="26" t="s">
        <v>38</v>
      </c>
      <c r="D16" s="7">
        <v>579.55999999999995</v>
      </c>
      <c r="E16" s="26" t="s">
        <v>103</v>
      </c>
      <c r="F16" s="7">
        <v>346.21</v>
      </c>
      <c r="G16" s="26" t="s">
        <v>172</v>
      </c>
      <c r="H16" s="7">
        <v>1781.79</v>
      </c>
      <c r="I16" s="26" t="s">
        <v>232</v>
      </c>
      <c r="J16" s="7">
        <v>626.74</v>
      </c>
      <c r="K16" s="26" t="s">
        <v>279</v>
      </c>
      <c r="L16" s="7">
        <v>414</v>
      </c>
      <c r="M16" s="26" t="s">
        <v>335</v>
      </c>
      <c r="N16" s="7">
        <v>1720.63</v>
      </c>
      <c r="O16" s="26" t="s">
        <v>377</v>
      </c>
      <c r="P16" s="7">
        <v>1099.01</v>
      </c>
      <c r="Q16" s="26" t="s">
        <v>429</v>
      </c>
      <c r="R16" s="7">
        <v>45000</v>
      </c>
      <c r="S16" s="26" t="s">
        <v>465</v>
      </c>
      <c r="T16" s="7">
        <v>1042.32</v>
      </c>
      <c r="U16" s="26" t="s">
        <v>519</v>
      </c>
      <c r="V16" s="7">
        <v>394.4</v>
      </c>
      <c r="W16" s="26" t="s">
        <v>606</v>
      </c>
      <c r="X16" s="7">
        <v>1994.99</v>
      </c>
      <c r="Y16" s="26" t="s">
        <v>567</v>
      </c>
      <c r="Z16" s="7"/>
      <c r="AA16" s="26"/>
      <c r="AB16" s="87">
        <v>320</v>
      </c>
      <c r="AC16" s="88" t="s">
        <v>647</v>
      </c>
      <c r="AD16" s="87">
        <v>1969.99</v>
      </c>
      <c r="AE16" s="26" t="s">
        <v>701</v>
      </c>
      <c r="AF16" s="7">
        <v>1099</v>
      </c>
      <c r="AG16" s="26" t="s">
        <v>835</v>
      </c>
      <c r="AH16" s="87">
        <v>2206.46</v>
      </c>
      <c r="AI16" s="9" t="s">
        <v>755</v>
      </c>
      <c r="AJ16" s="7">
        <v>862.26</v>
      </c>
      <c r="AK16" s="26" t="s">
        <v>904</v>
      </c>
      <c r="AL16" s="7">
        <v>317.75</v>
      </c>
      <c r="AM16" s="26" t="s">
        <v>968</v>
      </c>
      <c r="AN16" s="7"/>
      <c r="AO16" s="26"/>
      <c r="AP16" s="7">
        <v>4169.01</v>
      </c>
      <c r="AQ16" s="26" t="s">
        <v>1003</v>
      </c>
      <c r="AR16" s="7">
        <v>1970</v>
      </c>
      <c r="AS16" s="26" t="s">
        <v>1065</v>
      </c>
      <c r="AT16" s="7">
        <v>1099</v>
      </c>
      <c r="AU16" s="26" t="s">
        <v>1133</v>
      </c>
      <c r="AV16" s="7">
        <v>1099.01</v>
      </c>
      <c r="AW16" s="26" t="s">
        <v>1184</v>
      </c>
      <c r="AX16" s="7">
        <v>1969.99</v>
      </c>
      <c r="AY16" s="26" t="s">
        <v>1236</v>
      </c>
      <c r="AZ16" s="7">
        <v>1099.01</v>
      </c>
      <c r="BA16" s="26" t="s">
        <v>1297</v>
      </c>
      <c r="BB16" s="7"/>
      <c r="BC16" s="26"/>
      <c r="BD16" s="9">
        <v>4600</v>
      </c>
      <c r="BE16" s="26" t="s">
        <v>1336</v>
      </c>
      <c r="BF16" s="7">
        <v>13300</v>
      </c>
      <c r="BG16" s="26" t="s">
        <v>1436</v>
      </c>
      <c r="BH16" s="7"/>
      <c r="BI16" s="26"/>
      <c r="BJ16" s="7"/>
      <c r="BK16" s="26"/>
      <c r="BL16" s="7"/>
      <c r="BM16" s="26"/>
      <c r="BN16" s="7"/>
      <c r="BO16" s="26"/>
      <c r="BP16" s="7"/>
      <c r="BQ16" s="26"/>
      <c r="BR16" s="7"/>
      <c r="BS16" s="26"/>
      <c r="BT16" s="7"/>
      <c r="BU16" s="26"/>
      <c r="BV16" s="7"/>
      <c r="BW16" s="26"/>
      <c r="BX16" s="7"/>
      <c r="BY16" s="26"/>
      <c r="BZ16" s="7"/>
      <c r="CA16" s="26"/>
      <c r="CB16" s="7"/>
      <c r="CC16" s="26"/>
      <c r="CD16" s="7"/>
      <c r="CE16" s="26"/>
      <c r="CF16" s="7"/>
      <c r="CG16" s="26"/>
      <c r="CH16" s="7"/>
      <c r="CI16" s="26"/>
      <c r="CJ16" s="7"/>
      <c r="CK16" s="26"/>
      <c r="CL16" s="7"/>
      <c r="CM16" s="26"/>
      <c r="CN16" s="7"/>
      <c r="CO16" s="26"/>
      <c r="CP16" s="7"/>
      <c r="CQ16" s="26"/>
      <c r="CR16" s="7"/>
      <c r="CS16" s="26"/>
      <c r="CT16" s="7"/>
      <c r="CU16" s="26"/>
      <c r="CV16" s="7"/>
      <c r="CW16" s="26"/>
      <c r="CX16" s="7"/>
      <c r="CY16" s="26"/>
      <c r="CZ16" s="7"/>
      <c r="DA16" s="26"/>
      <c r="DB16" s="7"/>
      <c r="DC16" s="26"/>
      <c r="DD16" s="7"/>
      <c r="DE16" s="26"/>
      <c r="DF16" s="7"/>
      <c r="DG16" s="26"/>
      <c r="DH16" s="7"/>
      <c r="DI16" s="26"/>
      <c r="DJ16" s="7"/>
      <c r="DK16" s="26"/>
      <c r="DL16" s="7"/>
      <c r="DM16" s="26"/>
      <c r="DN16" s="7"/>
      <c r="DO16" s="26"/>
      <c r="DP16" s="7"/>
      <c r="DQ16" s="26"/>
      <c r="DR16" s="7"/>
      <c r="DS16" s="26"/>
      <c r="DT16" s="7"/>
      <c r="DU16" s="26"/>
      <c r="DV16" s="7"/>
      <c r="DW16" s="26"/>
      <c r="DX16" s="7"/>
      <c r="DY16" s="26"/>
      <c r="DZ16" s="7"/>
      <c r="EA16" s="26"/>
      <c r="EB16" s="7"/>
      <c r="EC16" s="26"/>
      <c r="ED16" s="7"/>
      <c r="EE16" s="26"/>
      <c r="EF16" s="7"/>
      <c r="EG16" s="26"/>
      <c r="EH16" s="7"/>
      <c r="EI16" s="26"/>
      <c r="EJ16" s="7"/>
      <c r="EK16" s="26"/>
      <c r="EL16" s="7"/>
    </row>
    <row r="17" spans="1:142" s="9" customFormat="1" x14ac:dyDescent="0.2">
      <c r="A17" s="41"/>
      <c r="B17" s="7">
        <v>777.88</v>
      </c>
      <c r="C17" s="26" t="s">
        <v>39</v>
      </c>
      <c r="D17" s="7">
        <v>714</v>
      </c>
      <c r="E17" s="26" t="s">
        <v>106</v>
      </c>
      <c r="F17" s="7">
        <v>1071.75</v>
      </c>
      <c r="G17" s="26" t="s">
        <v>173</v>
      </c>
      <c r="H17" s="7">
        <v>3353.99</v>
      </c>
      <c r="I17" s="26" t="s">
        <v>236</v>
      </c>
      <c r="J17" s="7">
        <v>24970.39</v>
      </c>
      <c r="K17" s="26" t="s">
        <v>280</v>
      </c>
      <c r="L17" s="7">
        <v>1099</v>
      </c>
      <c r="M17" s="26" t="s">
        <v>336</v>
      </c>
      <c r="N17" s="7">
        <v>1529.37</v>
      </c>
      <c r="O17" s="26" t="s">
        <v>379</v>
      </c>
      <c r="P17" s="7">
        <v>1994.99</v>
      </c>
      <c r="Q17" s="26" t="s">
        <v>430</v>
      </c>
      <c r="R17" s="7">
        <v>160.88</v>
      </c>
      <c r="S17" s="26" t="s">
        <v>471</v>
      </c>
      <c r="T17" s="7">
        <v>397.09</v>
      </c>
      <c r="U17" s="26" t="s">
        <v>521</v>
      </c>
      <c r="V17" s="7">
        <v>1448.99</v>
      </c>
      <c r="W17" s="26" t="s">
        <v>613</v>
      </c>
      <c r="X17" s="7">
        <v>1099</v>
      </c>
      <c r="Y17" s="26" t="s">
        <v>571</v>
      </c>
      <c r="Z17" s="7"/>
      <c r="AA17" s="26"/>
      <c r="AB17" s="87">
        <v>1293.49</v>
      </c>
      <c r="AC17" s="88" t="s">
        <v>648</v>
      </c>
      <c r="AD17" s="87">
        <v>98.6</v>
      </c>
      <c r="AE17" s="26" t="s">
        <v>702</v>
      </c>
      <c r="AF17" s="7">
        <v>3250.01</v>
      </c>
      <c r="AG17" s="26" t="s">
        <v>836</v>
      </c>
      <c r="AH17" s="87">
        <v>1567.38</v>
      </c>
      <c r="AI17" s="26" t="s">
        <v>756</v>
      </c>
      <c r="AJ17" s="7">
        <v>535.87</v>
      </c>
      <c r="AK17" s="26" t="s">
        <v>905</v>
      </c>
      <c r="AL17" s="7">
        <v>1244.68</v>
      </c>
      <c r="AM17" s="26" t="s">
        <v>967</v>
      </c>
      <c r="AN17" s="7"/>
      <c r="AO17" s="26"/>
      <c r="AP17" s="7">
        <v>1099.01</v>
      </c>
      <c r="AQ17" s="26" t="s">
        <v>1004</v>
      </c>
      <c r="AR17" s="7">
        <v>1970</v>
      </c>
      <c r="AS17" s="26" t="s">
        <v>1066</v>
      </c>
      <c r="AT17" s="7">
        <v>1995</v>
      </c>
      <c r="AU17" s="26" t="s">
        <v>1136</v>
      </c>
      <c r="AV17" s="7">
        <v>1099.02</v>
      </c>
      <c r="AW17" s="26" t="s">
        <v>1187</v>
      </c>
      <c r="AX17" s="7">
        <v>1099.01</v>
      </c>
      <c r="AY17" s="26" t="s">
        <v>1237</v>
      </c>
      <c r="AZ17" s="7">
        <v>1479.01</v>
      </c>
      <c r="BA17" s="26" t="s">
        <v>1303</v>
      </c>
      <c r="BB17" s="7"/>
      <c r="BC17" s="26"/>
      <c r="BD17" s="9">
        <v>1099</v>
      </c>
      <c r="BE17" s="26" t="s">
        <v>1337</v>
      </c>
      <c r="BF17" s="7">
        <v>352.76</v>
      </c>
      <c r="BG17" s="26" t="s">
        <v>1438</v>
      </c>
      <c r="BH17" s="7"/>
      <c r="BI17" s="26"/>
      <c r="BJ17" s="7"/>
      <c r="BK17" s="26"/>
      <c r="BL17" s="7"/>
      <c r="BM17" s="26"/>
      <c r="BN17" s="7"/>
      <c r="BO17" s="26"/>
      <c r="BP17" s="7"/>
      <c r="BQ17" s="26"/>
      <c r="BR17" s="7"/>
      <c r="BS17" s="26"/>
      <c r="BT17" s="7"/>
      <c r="BU17" s="26"/>
      <c r="BV17" s="7"/>
      <c r="BW17" s="26"/>
      <c r="BX17" s="7"/>
      <c r="BY17" s="26"/>
      <c r="BZ17" s="7"/>
      <c r="CA17" s="26"/>
      <c r="CB17" s="7"/>
      <c r="CC17" s="26"/>
      <c r="CD17" s="7"/>
      <c r="CE17" s="26"/>
      <c r="CF17" s="7"/>
      <c r="CG17" s="26"/>
      <c r="CH17" s="7"/>
      <c r="CI17" s="26"/>
      <c r="CJ17" s="7"/>
      <c r="CK17" s="26"/>
      <c r="CL17" s="7"/>
      <c r="CM17" s="26"/>
      <c r="CN17" s="7"/>
      <c r="CO17" s="26"/>
      <c r="CP17" s="7"/>
      <c r="CQ17" s="26"/>
      <c r="CR17" s="7"/>
      <c r="CS17" s="26"/>
      <c r="CT17" s="7"/>
      <c r="CU17" s="26"/>
      <c r="CV17" s="7"/>
      <c r="CW17" s="26"/>
      <c r="CX17" s="7"/>
      <c r="CY17" s="26"/>
      <c r="CZ17" s="7"/>
      <c r="DA17" s="26"/>
      <c r="DB17" s="7"/>
      <c r="DC17" s="26"/>
      <c r="DD17" s="7"/>
      <c r="DE17" s="26"/>
      <c r="DF17" s="7"/>
      <c r="DG17" s="26"/>
      <c r="DH17" s="7"/>
      <c r="DI17" s="26"/>
      <c r="DJ17" s="7"/>
      <c r="DK17" s="26"/>
      <c r="DL17" s="7"/>
      <c r="DM17" s="26"/>
      <c r="DN17" s="7"/>
      <c r="DO17" s="26"/>
      <c r="DP17" s="7"/>
      <c r="DQ17" s="26"/>
      <c r="DR17" s="7"/>
      <c r="DS17" s="26"/>
      <c r="DT17" s="7"/>
      <c r="DU17" s="26"/>
      <c r="DV17" s="7"/>
      <c r="DW17" s="26"/>
      <c r="DX17" s="7"/>
      <c r="DY17" s="26"/>
      <c r="DZ17" s="7"/>
      <c r="EA17" s="26"/>
      <c r="EB17" s="7"/>
      <c r="EC17" s="26"/>
      <c r="ED17" s="7"/>
      <c r="EE17" s="26"/>
      <c r="EF17" s="7"/>
      <c r="EG17" s="26"/>
      <c r="EH17" s="7"/>
      <c r="EI17" s="26"/>
      <c r="EJ17" s="7"/>
      <c r="EK17" s="26"/>
      <c r="EL17" s="7"/>
    </row>
    <row r="18" spans="1:142" s="9" customFormat="1" x14ac:dyDescent="0.2">
      <c r="A18" s="41"/>
      <c r="B18" s="7">
        <v>1237.93</v>
      </c>
      <c r="C18" s="26" t="s">
        <v>40</v>
      </c>
      <c r="D18" s="7">
        <v>224.34</v>
      </c>
      <c r="E18" s="26" t="s">
        <v>108</v>
      </c>
      <c r="F18" s="7">
        <v>228.22</v>
      </c>
      <c r="G18" s="26" t="s">
        <v>176</v>
      </c>
      <c r="H18" s="7">
        <v>1399.01</v>
      </c>
      <c r="I18" s="26" t="s">
        <v>239</v>
      </c>
      <c r="J18" s="7">
        <v>1310.97</v>
      </c>
      <c r="K18" s="26" t="s">
        <v>287</v>
      </c>
      <c r="L18" s="7">
        <v>3250.01</v>
      </c>
      <c r="M18" s="26" t="s">
        <v>345</v>
      </c>
      <c r="N18" s="7">
        <v>1840</v>
      </c>
      <c r="O18" s="26" t="s">
        <v>348</v>
      </c>
      <c r="P18" s="7">
        <v>1970</v>
      </c>
      <c r="Q18" s="26" t="s">
        <v>431</v>
      </c>
      <c r="R18" s="7">
        <v>80.040000000000006</v>
      </c>
      <c r="S18" s="26" t="s">
        <v>473</v>
      </c>
      <c r="T18" s="7">
        <v>1970</v>
      </c>
      <c r="U18" s="26" t="s">
        <v>522</v>
      </c>
      <c r="V18" s="7">
        <v>1099</v>
      </c>
      <c r="W18" s="26" t="s">
        <v>615</v>
      </c>
      <c r="X18" s="7">
        <v>1199.97</v>
      </c>
      <c r="Y18" s="26" t="s">
        <v>573</v>
      </c>
      <c r="Z18" s="7"/>
      <c r="AA18" s="26"/>
      <c r="AB18" s="87">
        <v>54634.75</v>
      </c>
      <c r="AC18" s="88" t="s">
        <v>649</v>
      </c>
      <c r="AD18" s="87">
        <v>3169</v>
      </c>
      <c r="AE18" s="26" t="s">
        <v>703</v>
      </c>
      <c r="AF18" s="7">
        <v>1969.99</v>
      </c>
      <c r="AG18" s="26" t="s">
        <v>831</v>
      </c>
      <c r="AH18" s="87">
        <v>1099.01</v>
      </c>
      <c r="AI18" s="26" t="s">
        <v>757</v>
      </c>
      <c r="AJ18" s="7">
        <v>410.18</v>
      </c>
      <c r="AK18" s="26" t="s">
        <v>906</v>
      </c>
      <c r="AL18" s="7"/>
      <c r="AM18" s="26"/>
      <c r="AN18" s="7"/>
      <c r="AO18" s="26"/>
      <c r="AP18" s="7">
        <v>1970</v>
      </c>
      <c r="AQ18" s="7" t="s">
        <v>1006</v>
      </c>
      <c r="AR18" s="7">
        <v>1766.94</v>
      </c>
      <c r="AS18" s="26" t="s">
        <v>1074</v>
      </c>
      <c r="AT18" s="7">
        <v>1969.99</v>
      </c>
      <c r="AU18" s="26" t="s">
        <v>1137</v>
      </c>
      <c r="AV18" s="7">
        <v>3250.01</v>
      </c>
      <c r="AW18" s="26" t="s">
        <v>1188</v>
      </c>
      <c r="AX18" s="7">
        <v>1479.01</v>
      </c>
      <c r="AY18" s="26" t="s">
        <v>1238</v>
      </c>
      <c r="AZ18" s="7">
        <v>1780</v>
      </c>
      <c r="BA18" s="26" t="s">
        <v>1308</v>
      </c>
      <c r="BB18" s="7"/>
      <c r="BC18" s="26"/>
      <c r="BD18" s="9">
        <v>1969.99</v>
      </c>
      <c r="BE18" s="26" t="s">
        <v>1338</v>
      </c>
      <c r="BF18" s="7">
        <v>1500</v>
      </c>
      <c r="BG18" s="26" t="s">
        <v>1440</v>
      </c>
      <c r="BH18" s="7"/>
      <c r="BI18" s="26"/>
      <c r="BJ18" s="7"/>
      <c r="BK18" s="26"/>
      <c r="BL18" s="7"/>
      <c r="BM18" s="26"/>
      <c r="BN18" s="7"/>
      <c r="BO18" s="26"/>
      <c r="BP18" s="7"/>
      <c r="BQ18" s="26"/>
      <c r="BR18" s="7"/>
      <c r="BS18" s="26"/>
      <c r="BT18" s="7"/>
      <c r="BU18" s="26"/>
      <c r="BV18" s="7"/>
      <c r="BW18" s="26"/>
      <c r="BX18" s="7"/>
      <c r="BY18" s="26"/>
      <c r="BZ18" s="7"/>
      <c r="CA18" s="26"/>
      <c r="CB18" s="7"/>
      <c r="CC18" s="26"/>
      <c r="CD18" s="7"/>
      <c r="CE18" s="26"/>
      <c r="CF18" s="7"/>
      <c r="CG18" s="26"/>
      <c r="CH18" s="7"/>
      <c r="CI18" s="26"/>
      <c r="CJ18" s="7"/>
      <c r="CK18" s="26"/>
      <c r="CL18" s="7"/>
      <c r="CM18" s="26"/>
      <c r="CN18" s="7"/>
      <c r="CO18" s="26"/>
      <c r="CP18" s="7"/>
      <c r="CQ18" s="26"/>
      <c r="CR18" s="7"/>
      <c r="CS18" s="26"/>
      <c r="CT18" s="7"/>
      <c r="CU18" s="26"/>
      <c r="CV18" s="7"/>
      <c r="CW18" s="26"/>
      <c r="CX18" s="7"/>
      <c r="CY18" s="26"/>
      <c r="CZ18" s="7"/>
      <c r="DA18" s="26"/>
      <c r="DB18" s="7"/>
      <c r="DC18" s="26"/>
      <c r="DD18" s="7"/>
      <c r="DE18" s="26"/>
      <c r="DF18" s="7"/>
      <c r="DG18" s="26"/>
      <c r="DH18" s="7"/>
      <c r="DI18" s="26"/>
      <c r="DJ18" s="7"/>
      <c r="DK18" s="26"/>
      <c r="DL18" s="7"/>
      <c r="DM18" s="26"/>
      <c r="DN18" s="7"/>
      <c r="DO18" s="26"/>
      <c r="DP18" s="7"/>
      <c r="DQ18" s="26"/>
      <c r="DR18" s="7"/>
      <c r="DS18" s="26"/>
      <c r="DT18" s="7"/>
      <c r="DU18" s="26"/>
      <c r="DV18" s="7"/>
      <c r="DW18" s="26"/>
      <c r="DX18" s="7"/>
      <c r="DY18" s="26"/>
      <c r="DZ18" s="7"/>
      <c r="EA18" s="26"/>
      <c r="EB18" s="7"/>
      <c r="EC18" s="26"/>
      <c r="ED18" s="7"/>
      <c r="EE18" s="26"/>
      <c r="EF18" s="7"/>
      <c r="EG18" s="26"/>
      <c r="EH18" s="7"/>
      <c r="EI18" s="26"/>
      <c r="EJ18" s="7"/>
      <c r="EK18" s="26"/>
      <c r="EL18" s="7"/>
    </row>
    <row r="19" spans="1:142" s="9" customFormat="1" x14ac:dyDescent="0.2">
      <c r="A19" s="41"/>
      <c r="B19" s="7">
        <v>912.87</v>
      </c>
      <c r="C19" s="26" t="s">
        <v>41</v>
      </c>
      <c r="D19" s="7">
        <v>336.52</v>
      </c>
      <c r="E19" s="26" t="s">
        <v>112</v>
      </c>
      <c r="F19" s="7">
        <v>799.98</v>
      </c>
      <c r="G19" s="26" t="s">
        <v>179</v>
      </c>
      <c r="H19" s="7">
        <v>1994.99</v>
      </c>
      <c r="I19" s="26" t="s">
        <v>242</v>
      </c>
      <c r="J19" s="7">
        <v>3250</v>
      </c>
      <c r="K19" s="26" t="s">
        <v>294</v>
      </c>
      <c r="L19" s="7">
        <v>1969.99</v>
      </c>
      <c r="M19" s="26" t="s">
        <v>346</v>
      </c>
      <c r="N19" s="7">
        <v>200.01</v>
      </c>
      <c r="O19" s="26" t="s">
        <v>383</v>
      </c>
      <c r="P19" s="7">
        <v>4146</v>
      </c>
      <c r="Q19" s="26" t="s">
        <v>432</v>
      </c>
      <c r="R19" s="7">
        <v>1000.01</v>
      </c>
      <c r="S19" s="26" t="s">
        <v>474</v>
      </c>
      <c r="T19" s="7">
        <v>600.01</v>
      </c>
      <c r="U19" s="26" t="s">
        <v>501</v>
      </c>
      <c r="V19" s="7">
        <v>1970</v>
      </c>
      <c r="W19" s="26" t="s">
        <v>618</v>
      </c>
      <c r="X19" s="7">
        <v>16871.68</v>
      </c>
      <c r="Y19" s="26" t="s">
        <v>576</v>
      </c>
      <c r="Z19" s="7"/>
      <c r="AA19" s="26"/>
      <c r="AB19" s="87">
        <v>2071.0100000000002</v>
      </c>
      <c r="AC19" s="88" t="s">
        <v>650</v>
      </c>
      <c r="AD19" s="87">
        <v>1969.99</v>
      </c>
      <c r="AE19" s="26" t="s">
        <v>704</v>
      </c>
      <c r="AF19" s="7">
        <v>1969.99</v>
      </c>
      <c r="AG19" s="26" t="s">
        <v>839</v>
      </c>
      <c r="AH19" s="87">
        <v>1200</v>
      </c>
      <c r="AI19" s="26" t="s">
        <v>760</v>
      </c>
      <c r="AJ19" s="7">
        <v>1216.57</v>
      </c>
      <c r="AK19" s="26" t="s">
        <v>907</v>
      </c>
      <c r="AL19" s="7"/>
      <c r="AM19" s="26"/>
      <c r="AN19" s="7"/>
      <c r="AO19" s="26"/>
      <c r="AP19" s="7">
        <v>1099.01</v>
      </c>
      <c r="AQ19" s="26" t="s">
        <v>1011</v>
      </c>
      <c r="AR19" s="7">
        <v>1299.42</v>
      </c>
      <c r="AS19" s="26" t="s">
        <v>1075</v>
      </c>
      <c r="AT19" s="7">
        <v>2866</v>
      </c>
      <c r="AU19" s="26" t="s">
        <v>1138</v>
      </c>
      <c r="AV19" s="7">
        <v>3250</v>
      </c>
      <c r="AW19" s="26" t="s">
        <v>1189</v>
      </c>
      <c r="AX19" s="7">
        <v>3250</v>
      </c>
      <c r="AY19" s="26" t="s">
        <v>1243</v>
      </c>
      <c r="AZ19" s="7">
        <f>609.03-254</f>
        <v>355.03</v>
      </c>
      <c r="BA19" s="26" t="s">
        <v>1309</v>
      </c>
      <c r="BB19" s="7"/>
      <c r="BC19" s="26"/>
      <c r="BD19" s="9">
        <v>300</v>
      </c>
      <c r="BE19" s="26" t="s">
        <v>1339</v>
      </c>
      <c r="BF19" s="7">
        <v>1970</v>
      </c>
      <c r="BG19" s="26" t="s">
        <v>1445</v>
      </c>
      <c r="BH19" s="7"/>
      <c r="BI19" s="26"/>
      <c r="BJ19" s="7"/>
      <c r="BK19" s="26"/>
      <c r="BL19" s="7"/>
      <c r="BM19" s="26"/>
      <c r="BN19" s="7"/>
      <c r="BO19" s="26"/>
      <c r="BP19" s="7"/>
      <c r="BQ19" s="26"/>
      <c r="BR19" s="7"/>
      <c r="BS19" s="26"/>
      <c r="BT19" s="7"/>
      <c r="BU19" s="26"/>
      <c r="BV19" s="7"/>
      <c r="BW19" s="26"/>
      <c r="BX19" s="7"/>
      <c r="BY19" s="26"/>
      <c r="BZ19" s="7"/>
      <c r="CA19" s="26"/>
      <c r="CB19" s="7"/>
      <c r="CC19" s="26"/>
      <c r="CD19" s="7"/>
      <c r="CE19" s="26"/>
      <c r="CF19" s="7"/>
      <c r="CG19" s="26"/>
      <c r="CH19" s="7"/>
      <c r="CI19" s="26"/>
      <c r="CJ19" s="7"/>
      <c r="CK19" s="26"/>
      <c r="CL19" s="7"/>
      <c r="CM19" s="26"/>
      <c r="CN19" s="7"/>
      <c r="CO19" s="26"/>
      <c r="CP19" s="7"/>
      <c r="CQ19" s="26"/>
      <c r="CR19" s="7"/>
      <c r="CS19" s="26"/>
      <c r="CT19" s="7"/>
      <c r="CU19" s="26"/>
      <c r="CV19" s="7"/>
      <c r="CW19" s="26"/>
      <c r="CX19" s="7"/>
      <c r="CY19" s="26"/>
      <c r="CZ19" s="7"/>
      <c r="DA19" s="26"/>
      <c r="DB19" s="7"/>
      <c r="DC19" s="26"/>
      <c r="DD19" s="7"/>
      <c r="DE19" s="26"/>
      <c r="DF19" s="7"/>
      <c r="DG19" s="26"/>
      <c r="DH19" s="7"/>
      <c r="DI19" s="26"/>
      <c r="DJ19" s="7"/>
      <c r="DK19" s="26"/>
      <c r="DL19" s="7"/>
      <c r="DM19" s="26"/>
      <c r="DN19" s="7"/>
      <c r="DO19" s="26"/>
      <c r="DP19" s="7"/>
      <c r="DQ19" s="26"/>
      <c r="DR19" s="7"/>
      <c r="DS19" s="26"/>
      <c r="DT19" s="7"/>
      <c r="DU19" s="26"/>
      <c r="DV19" s="7"/>
      <c r="DW19" s="26"/>
      <c r="DX19" s="7"/>
      <c r="DY19" s="26"/>
      <c r="DZ19" s="7"/>
      <c r="EA19" s="26"/>
      <c r="EB19" s="7"/>
      <c r="EC19" s="26"/>
      <c r="ED19" s="7"/>
      <c r="EE19" s="26"/>
      <c r="EF19" s="7"/>
      <c r="EG19" s="26"/>
      <c r="EH19" s="7"/>
      <c r="EI19" s="26"/>
      <c r="EJ19" s="7"/>
      <c r="EK19" s="26"/>
      <c r="EL19" s="7"/>
    </row>
    <row r="20" spans="1:142" s="9" customFormat="1" x14ac:dyDescent="0.2">
      <c r="A20" s="41"/>
      <c r="B20" s="7">
        <v>1099.01</v>
      </c>
      <c r="C20" s="26" t="s">
        <v>42</v>
      </c>
      <c r="D20" s="7">
        <v>2170.9899999999998</v>
      </c>
      <c r="E20" s="26" t="s">
        <v>114</v>
      </c>
      <c r="F20" s="7">
        <v>1099</v>
      </c>
      <c r="G20" s="26" t="s">
        <v>183</v>
      </c>
      <c r="H20" s="7">
        <v>62.64</v>
      </c>
      <c r="I20" s="26" t="s">
        <v>243</v>
      </c>
      <c r="J20" s="7">
        <v>1969.99</v>
      </c>
      <c r="K20" s="26" t="s">
        <v>297</v>
      </c>
      <c r="L20" s="15">
        <v>1099</v>
      </c>
      <c r="M20" s="15" t="s">
        <v>341</v>
      </c>
      <c r="N20" s="7">
        <v>3899</v>
      </c>
      <c r="O20" s="26" t="s">
        <v>349</v>
      </c>
      <c r="P20" s="7">
        <v>2865.99</v>
      </c>
      <c r="Q20" s="26" t="s">
        <v>433</v>
      </c>
      <c r="R20" s="7">
        <v>3250</v>
      </c>
      <c r="S20" s="26" t="s">
        <v>475</v>
      </c>
      <c r="T20" s="7">
        <v>1899.01</v>
      </c>
      <c r="U20" s="26" t="s">
        <v>503</v>
      </c>
      <c r="V20" s="7">
        <v>1099</v>
      </c>
      <c r="W20" s="26" t="s">
        <v>619</v>
      </c>
      <c r="X20" s="7">
        <v>900</v>
      </c>
      <c r="Y20" s="26" t="s">
        <v>578</v>
      </c>
      <c r="Z20" s="7"/>
      <c r="AA20" s="26"/>
      <c r="AB20" s="87">
        <v>1099</v>
      </c>
      <c r="AC20" s="88" t="s">
        <v>651</v>
      </c>
      <c r="AD20" s="87">
        <v>50000</v>
      </c>
      <c r="AE20" s="26" t="s">
        <v>705</v>
      </c>
      <c r="AF20" s="7">
        <v>522.70000000000005</v>
      </c>
      <c r="AG20" s="26" t="s">
        <v>840</v>
      </c>
      <c r="AH20" s="87">
        <v>3250.01</v>
      </c>
      <c r="AI20" s="26" t="s">
        <v>758</v>
      </c>
      <c r="AJ20" s="7">
        <v>1216.57</v>
      </c>
      <c r="AK20" s="26" t="s">
        <v>908</v>
      </c>
      <c r="AL20" s="7"/>
      <c r="AM20" s="26"/>
      <c r="AN20" s="7"/>
      <c r="AO20" s="26"/>
      <c r="AP20" s="7">
        <v>1890</v>
      </c>
      <c r="AQ20" s="26" t="s">
        <v>1012</v>
      </c>
      <c r="AR20" s="7">
        <v>1799.55</v>
      </c>
      <c r="AS20" s="26" t="s">
        <v>1076</v>
      </c>
      <c r="AT20" s="7">
        <v>4395.01</v>
      </c>
      <c r="AU20" s="26" t="s">
        <v>1145</v>
      </c>
      <c r="AV20" s="7">
        <v>9072.4599999999991</v>
      </c>
      <c r="AW20" s="26" t="s">
        <v>1192</v>
      </c>
      <c r="AX20" s="7">
        <v>1099</v>
      </c>
      <c r="AY20" s="26" t="s">
        <v>1244</v>
      </c>
      <c r="AZ20" s="7">
        <v>701.15</v>
      </c>
      <c r="BA20" s="26" t="s">
        <v>1310</v>
      </c>
      <c r="BB20" s="7"/>
      <c r="BC20" s="26"/>
      <c r="BD20" s="9">
        <v>1969.99</v>
      </c>
      <c r="BE20" s="26" t="s">
        <v>1341</v>
      </c>
      <c r="BF20" s="7">
        <v>1099</v>
      </c>
      <c r="BG20" s="26" t="s">
        <v>1446</v>
      </c>
      <c r="BH20" s="7"/>
      <c r="BI20" s="26"/>
      <c r="BJ20" s="7"/>
      <c r="BK20" s="26"/>
      <c r="BL20" s="7"/>
      <c r="BM20" s="26"/>
      <c r="BN20" s="7"/>
      <c r="BO20" s="26"/>
      <c r="BP20" s="7"/>
      <c r="BQ20" s="26"/>
      <c r="BR20" s="7"/>
      <c r="BS20" s="26"/>
      <c r="BT20" s="7"/>
      <c r="BU20" s="26"/>
      <c r="BV20" s="7"/>
      <c r="BW20" s="26"/>
      <c r="BX20" s="7"/>
      <c r="BY20" s="26"/>
      <c r="BZ20" s="7"/>
      <c r="CA20" s="26"/>
      <c r="CB20" s="7"/>
      <c r="CC20" s="26"/>
      <c r="CD20" s="7"/>
      <c r="CE20" s="26"/>
      <c r="CF20" s="7"/>
      <c r="CG20" s="26"/>
      <c r="CH20" s="7"/>
      <c r="CI20" s="26"/>
      <c r="CJ20" s="7"/>
      <c r="CK20" s="26"/>
      <c r="CL20" s="7"/>
      <c r="CM20" s="26"/>
      <c r="CN20" s="7"/>
      <c r="CO20" s="26"/>
      <c r="CP20" s="7"/>
      <c r="CQ20" s="26"/>
      <c r="CR20" s="7"/>
      <c r="CS20" s="26"/>
      <c r="CT20" s="7"/>
      <c r="CU20" s="26"/>
      <c r="CV20" s="7"/>
      <c r="CW20" s="26"/>
      <c r="CX20" s="7"/>
      <c r="CY20" s="26"/>
      <c r="CZ20" s="7"/>
      <c r="DA20" s="26"/>
      <c r="DB20" s="7"/>
      <c r="DC20" s="26"/>
      <c r="DD20" s="7"/>
      <c r="DE20" s="26"/>
      <c r="DF20" s="7"/>
      <c r="DG20" s="26"/>
      <c r="DH20" s="7"/>
      <c r="DI20" s="26"/>
      <c r="DJ20" s="7"/>
      <c r="DK20" s="26"/>
      <c r="DL20" s="7"/>
      <c r="DM20" s="26"/>
      <c r="DN20" s="7"/>
      <c r="DO20" s="26"/>
      <c r="DP20" s="7"/>
      <c r="DQ20" s="26"/>
      <c r="DR20" s="7"/>
      <c r="DS20" s="26"/>
      <c r="DT20" s="7"/>
      <c r="DU20" s="26"/>
      <c r="DV20" s="7"/>
      <c r="DW20" s="26"/>
      <c r="DX20" s="7"/>
      <c r="DY20" s="26"/>
      <c r="DZ20" s="7"/>
      <c r="EA20" s="26"/>
      <c r="EB20" s="7"/>
      <c r="EC20" s="26"/>
      <c r="ED20" s="7"/>
      <c r="EE20" s="26"/>
      <c r="EF20" s="7"/>
      <c r="EG20" s="26"/>
      <c r="EH20" s="7"/>
      <c r="EI20" s="26"/>
      <c r="EJ20" s="7"/>
      <c r="EK20" s="26"/>
      <c r="EL20" s="7"/>
    </row>
    <row r="21" spans="1:142" s="9" customFormat="1" x14ac:dyDescent="0.2">
      <c r="A21" s="41"/>
      <c r="B21" s="7">
        <v>5608.81</v>
      </c>
      <c r="C21" s="26" t="s">
        <v>43</v>
      </c>
      <c r="D21" s="7">
        <v>3500</v>
      </c>
      <c r="E21" s="26" t="s">
        <v>107</v>
      </c>
      <c r="F21" s="7">
        <v>1099.01</v>
      </c>
      <c r="G21" s="26" t="s">
        <v>185</v>
      </c>
      <c r="H21" s="7">
        <v>1970</v>
      </c>
      <c r="I21" s="26" t="s">
        <v>244</v>
      </c>
      <c r="J21" s="7">
        <v>200.01</v>
      </c>
      <c r="K21" s="26" t="s">
        <v>300</v>
      </c>
      <c r="L21" s="7"/>
      <c r="M21" s="26"/>
      <c r="N21" s="7">
        <v>1995</v>
      </c>
      <c r="O21" s="26" t="s">
        <v>385</v>
      </c>
      <c r="P21" s="7">
        <v>29875.03</v>
      </c>
      <c r="Q21" s="26" t="s">
        <v>434</v>
      </c>
      <c r="R21" s="7">
        <v>1969.99</v>
      </c>
      <c r="S21" s="26" t="s">
        <v>476</v>
      </c>
      <c r="T21" s="7">
        <v>1970</v>
      </c>
      <c r="U21" s="26" t="s">
        <v>528</v>
      </c>
      <c r="V21" s="7">
        <v>1587.01</v>
      </c>
      <c r="W21" s="26" t="s">
        <v>620</v>
      </c>
      <c r="Z21" s="7"/>
      <c r="AA21" s="26"/>
      <c r="AB21" s="87">
        <v>600.01</v>
      </c>
      <c r="AC21" s="88" t="s">
        <v>652</v>
      </c>
      <c r="AD21" s="87">
        <v>607.5</v>
      </c>
      <c r="AE21" s="26" t="s">
        <v>706</v>
      </c>
      <c r="AF21" s="7">
        <v>1904.27</v>
      </c>
      <c r="AG21" s="26" t="s">
        <v>841</v>
      </c>
      <c r="AH21" s="87">
        <v>1970</v>
      </c>
      <c r="AI21" s="26" t="s">
        <v>759</v>
      </c>
      <c r="AJ21" s="7"/>
      <c r="AK21" s="26"/>
      <c r="AL21" s="7"/>
      <c r="AM21" s="26"/>
      <c r="AN21" s="7"/>
      <c r="AO21" s="26"/>
      <c r="AP21" s="7">
        <v>3250</v>
      </c>
      <c r="AQ21" s="26" t="s">
        <v>1014</v>
      </c>
      <c r="AR21" s="7">
        <v>1099.01</v>
      </c>
      <c r="AS21" s="26" t="s">
        <v>1077</v>
      </c>
      <c r="AT21" s="7">
        <v>1099</v>
      </c>
      <c r="AU21" s="26" t="s">
        <v>1146</v>
      </c>
      <c r="AV21" s="7">
        <v>600.01</v>
      </c>
      <c r="AW21" s="26" t="s">
        <v>1200</v>
      </c>
      <c r="AX21" s="7">
        <v>1099.01</v>
      </c>
      <c r="AY21" s="26" t="s">
        <v>1248</v>
      </c>
      <c r="AZ21" s="7">
        <v>79.44</v>
      </c>
      <c r="BA21" s="26" t="s">
        <v>1311</v>
      </c>
      <c r="BB21" s="7"/>
      <c r="BC21" s="26"/>
      <c r="BD21" s="9">
        <v>635</v>
      </c>
      <c r="BE21" s="26" t="s">
        <v>1345</v>
      </c>
      <c r="BF21" s="7">
        <v>1969.99</v>
      </c>
      <c r="BG21" s="26" t="s">
        <v>1448</v>
      </c>
      <c r="BH21" s="7"/>
      <c r="BI21" s="26"/>
      <c r="BJ21" s="7"/>
      <c r="BK21" s="26"/>
      <c r="BL21" s="7"/>
      <c r="BM21" s="26"/>
      <c r="BN21" s="7"/>
      <c r="BO21" s="26"/>
      <c r="BP21" s="7"/>
      <c r="BQ21" s="26"/>
      <c r="BR21" s="7"/>
      <c r="BS21" s="26"/>
      <c r="BT21" s="7"/>
      <c r="BU21" s="26"/>
      <c r="BV21" s="7"/>
      <c r="BW21" s="26"/>
      <c r="BX21" s="7"/>
      <c r="BY21" s="26"/>
      <c r="BZ21" s="7"/>
      <c r="CA21" s="26"/>
      <c r="CB21" s="7"/>
      <c r="CC21" s="26"/>
      <c r="CD21" s="7"/>
      <c r="CE21" s="26"/>
      <c r="CF21" s="7"/>
      <c r="CG21" s="26"/>
      <c r="CH21" s="7"/>
      <c r="CI21" s="26"/>
      <c r="CJ21" s="7"/>
      <c r="CK21" s="26"/>
      <c r="CL21" s="7"/>
      <c r="CM21" s="26"/>
      <c r="CN21" s="7"/>
      <c r="CO21" s="26"/>
      <c r="CP21" s="7"/>
      <c r="CQ21" s="26"/>
      <c r="CR21" s="7"/>
      <c r="CS21" s="26"/>
      <c r="CT21" s="7"/>
      <c r="CU21" s="26"/>
      <c r="CV21" s="7"/>
      <c r="CW21" s="26"/>
      <c r="CX21" s="7"/>
      <c r="CY21" s="26"/>
      <c r="CZ21" s="7"/>
      <c r="DA21" s="26"/>
      <c r="DB21" s="7"/>
      <c r="DC21" s="26"/>
      <c r="DD21" s="7"/>
      <c r="DE21" s="26"/>
      <c r="DF21" s="7"/>
      <c r="DG21" s="26"/>
      <c r="DH21" s="7"/>
      <c r="DI21" s="26"/>
      <c r="DJ21" s="7"/>
      <c r="DK21" s="26"/>
      <c r="DL21" s="7"/>
      <c r="DM21" s="26"/>
      <c r="DN21" s="7"/>
      <c r="DO21" s="26"/>
      <c r="DP21" s="7"/>
      <c r="DQ21" s="26"/>
      <c r="DR21" s="7"/>
      <c r="DS21" s="26"/>
      <c r="DT21" s="7"/>
      <c r="DU21" s="26"/>
      <c r="DV21" s="7"/>
      <c r="DW21" s="26"/>
      <c r="DX21" s="7"/>
      <c r="DY21" s="26"/>
      <c r="DZ21" s="7"/>
      <c r="EA21" s="26"/>
      <c r="EB21" s="7"/>
      <c r="EC21" s="26"/>
      <c r="ED21" s="7"/>
      <c r="EE21" s="26"/>
      <c r="EF21" s="7"/>
      <c r="EG21" s="26"/>
      <c r="EH21" s="7"/>
      <c r="EI21" s="26"/>
      <c r="EJ21" s="7"/>
      <c r="EK21" s="26"/>
      <c r="EL21" s="7"/>
    </row>
    <row r="22" spans="1:142" s="9" customFormat="1" x14ac:dyDescent="0.2">
      <c r="A22" s="41"/>
      <c r="B22" s="7">
        <v>1970</v>
      </c>
      <c r="C22" s="26" t="s">
        <v>44</v>
      </c>
      <c r="D22" s="7">
        <v>3250.01</v>
      </c>
      <c r="E22" s="26" t="s">
        <v>109</v>
      </c>
      <c r="F22" s="7">
        <v>3089.59</v>
      </c>
      <c r="G22" s="26" t="s">
        <v>187</v>
      </c>
      <c r="H22" s="7">
        <v>2269.9899999999998</v>
      </c>
      <c r="I22" s="26" t="s">
        <v>245</v>
      </c>
      <c r="J22" s="7">
        <v>1399.01</v>
      </c>
      <c r="K22" s="26" t="s">
        <v>303</v>
      </c>
      <c r="L22" s="7"/>
      <c r="M22" s="26"/>
      <c r="N22" s="7">
        <v>1099.01</v>
      </c>
      <c r="O22" s="26" t="s">
        <v>386</v>
      </c>
      <c r="P22" s="7">
        <v>99.39</v>
      </c>
      <c r="Q22" s="26" t="s">
        <v>435</v>
      </c>
      <c r="R22" s="7">
        <v>1904.27</v>
      </c>
      <c r="S22" s="26" t="s">
        <v>478</v>
      </c>
      <c r="T22" s="7">
        <v>52.2</v>
      </c>
      <c r="U22" s="26" t="s">
        <v>514</v>
      </c>
      <c r="V22" s="7">
        <v>1099</v>
      </c>
      <c r="W22" s="26" t="s">
        <v>616</v>
      </c>
      <c r="X22" s="7"/>
      <c r="Y22" s="26"/>
      <c r="Z22" s="7"/>
      <c r="AA22" s="26"/>
      <c r="AB22" s="87">
        <v>1000</v>
      </c>
      <c r="AC22" s="88" t="s">
        <v>654</v>
      </c>
      <c r="AD22" s="87">
        <v>76.069999999999993</v>
      </c>
      <c r="AE22" s="26" t="s">
        <v>707</v>
      </c>
      <c r="AF22" s="7">
        <v>4169.01</v>
      </c>
      <c r="AG22" s="26" t="s">
        <v>844</v>
      </c>
      <c r="AH22" s="87">
        <v>1031.08</v>
      </c>
      <c r="AI22" s="26" t="s">
        <v>761</v>
      </c>
      <c r="AJ22" s="7"/>
      <c r="AK22" s="26"/>
      <c r="AL22" s="7"/>
      <c r="AM22" s="26"/>
      <c r="AN22" s="7"/>
      <c r="AO22" s="26"/>
      <c r="AP22" s="7">
        <v>1970</v>
      </c>
      <c r="AQ22" s="26" t="s">
        <v>1016</v>
      </c>
      <c r="AR22" s="7">
        <v>1479</v>
      </c>
      <c r="AS22" s="26" t="s">
        <v>1082</v>
      </c>
      <c r="AT22" s="7">
        <v>2270</v>
      </c>
      <c r="AU22" s="26" t="s">
        <v>1149</v>
      </c>
      <c r="AV22" s="7">
        <v>1099.01</v>
      </c>
      <c r="AW22" s="26" t="s">
        <v>1203</v>
      </c>
      <c r="AX22" s="7">
        <v>2350.0100000000002</v>
      </c>
      <c r="AY22" s="26" t="s">
        <v>1251</v>
      </c>
      <c r="AZ22" s="7">
        <v>76.069999999999993</v>
      </c>
      <c r="BA22" s="26" t="s">
        <v>1312</v>
      </c>
      <c r="BB22" s="7"/>
      <c r="BC22" s="26"/>
      <c r="BD22" s="9">
        <v>1099</v>
      </c>
      <c r="BE22" s="26" t="s">
        <v>1347</v>
      </c>
      <c r="BF22" s="7">
        <v>1099.01</v>
      </c>
      <c r="BG22" s="26" t="s">
        <v>1449</v>
      </c>
      <c r="BH22" s="7"/>
      <c r="BI22" s="26"/>
      <c r="BJ22" s="7"/>
      <c r="BK22" s="26"/>
      <c r="BL22" s="7"/>
      <c r="BM22" s="26"/>
      <c r="BN22" s="7"/>
      <c r="BO22" s="26"/>
      <c r="BP22" s="7"/>
      <c r="BQ22" s="26"/>
      <c r="BR22" s="7"/>
      <c r="BS22" s="26"/>
      <c r="BT22" s="7"/>
      <c r="BU22" s="26"/>
      <c r="BV22" s="7"/>
      <c r="BW22" s="26"/>
      <c r="BX22" s="7"/>
      <c r="BY22" s="26"/>
      <c r="BZ22" s="7"/>
      <c r="CA22" s="26"/>
      <c r="CB22" s="7"/>
      <c r="CC22" s="26"/>
      <c r="CD22" s="7"/>
      <c r="CE22" s="26"/>
      <c r="CF22" s="7"/>
      <c r="CG22" s="26"/>
      <c r="CH22" s="7"/>
      <c r="CI22" s="26"/>
      <c r="CJ22" s="7"/>
      <c r="CK22" s="26"/>
      <c r="CL22" s="7"/>
      <c r="CM22" s="26"/>
      <c r="CN22" s="7"/>
      <c r="CO22" s="26"/>
      <c r="CP22" s="7"/>
      <c r="CQ22" s="26"/>
      <c r="CR22" s="7"/>
      <c r="CS22" s="26"/>
      <c r="CT22" s="7"/>
      <c r="CU22" s="26"/>
      <c r="CV22" s="7"/>
      <c r="CW22" s="26"/>
      <c r="CX22" s="7"/>
      <c r="CY22" s="26"/>
      <c r="CZ22" s="7"/>
      <c r="DA22" s="26"/>
      <c r="DB22" s="7"/>
      <c r="DC22" s="26"/>
      <c r="DD22" s="7"/>
      <c r="DE22" s="26"/>
      <c r="DF22" s="7"/>
      <c r="DG22" s="26"/>
      <c r="DH22" s="7"/>
      <c r="DI22" s="26"/>
      <c r="DJ22" s="7"/>
      <c r="DK22" s="26"/>
      <c r="DL22" s="7"/>
      <c r="DM22" s="26"/>
      <c r="DN22" s="7"/>
      <c r="DO22" s="26"/>
      <c r="DP22" s="7"/>
      <c r="DQ22" s="26"/>
      <c r="DR22" s="7"/>
      <c r="DS22" s="26"/>
      <c r="DT22" s="7"/>
      <c r="DU22" s="26"/>
      <c r="DV22" s="7"/>
      <c r="DW22" s="26"/>
      <c r="DX22" s="7"/>
      <c r="DY22" s="26"/>
      <c r="DZ22" s="7"/>
      <c r="EA22" s="26"/>
      <c r="EB22" s="7"/>
      <c r="EC22" s="26"/>
      <c r="ED22" s="7"/>
      <c r="EE22" s="26"/>
      <c r="EF22" s="7"/>
      <c r="EG22" s="26"/>
      <c r="EH22" s="7"/>
      <c r="EI22" s="26"/>
      <c r="EJ22" s="7"/>
      <c r="EK22" s="26"/>
      <c r="EL22" s="7"/>
    </row>
    <row r="23" spans="1:142" s="9" customFormat="1" x14ac:dyDescent="0.2">
      <c r="A23" s="41"/>
      <c r="B23" s="7">
        <v>2762.61</v>
      </c>
      <c r="C23" s="26" t="s">
        <v>45</v>
      </c>
      <c r="D23" s="7">
        <v>2483</v>
      </c>
      <c r="E23" s="26" t="s">
        <v>121</v>
      </c>
      <c r="F23" s="7">
        <v>1099.01</v>
      </c>
      <c r="G23" s="26" t="s">
        <v>84</v>
      </c>
      <c r="H23" s="7">
        <v>1099</v>
      </c>
      <c r="I23" s="26" t="s">
        <v>248</v>
      </c>
      <c r="J23" s="7">
        <v>200.01</v>
      </c>
      <c r="K23" s="26" t="s">
        <v>306</v>
      </c>
      <c r="L23" s="7"/>
      <c r="M23" s="26"/>
      <c r="N23" s="7">
        <v>3250</v>
      </c>
      <c r="O23" s="26" t="s">
        <v>387</v>
      </c>
      <c r="P23" s="7">
        <v>1995</v>
      </c>
      <c r="Q23" s="26" t="s">
        <v>438</v>
      </c>
      <c r="R23" s="7">
        <v>1099.01</v>
      </c>
      <c r="S23" s="26" t="s">
        <v>479</v>
      </c>
      <c r="T23" s="7">
        <v>3246</v>
      </c>
      <c r="U23" s="26" t="s">
        <v>510</v>
      </c>
      <c r="V23" s="7">
        <v>1970</v>
      </c>
      <c r="W23" s="26" t="s">
        <v>621</v>
      </c>
      <c r="X23" s="7"/>
      <c r="Y23" s="26"/>
      <c r="Z23" s="7"/>
      <c r="AA23" s="26"/>
      <c r="AB23" s="87">
        <v>4395</v>
      </c>
      <c r="AC23" s="88" t="s">
        <v>655</v>
      </c>
      <c r="AD23" s="87">
        <v>1919</v>
      </c>
      <c r="AE23" s="26" t="s">
        <v>708</v>
      </c>
      <c r="AF23" s="7">
        <v>1099.01</v>
      </c>
      <c r="AG23" s="26" t="s">
        <v>845</v>
      </c>
      <c r="AH23" s="87">
        <v>1969.99</v>
      </c>
      <c r="AI23" s="26" t="s">
        <v>762</v>
      </c>
      <c r="AJ23" s="7"/>
      <c r="AK23" s="26"/>
      <c r="AL23" s="7"/>
      <c r="AM23" s="26"/>
      <c r="AN23" s="7"/>
      <c r="AO23" s="26"/>
      <c r="AP23" s="7">
        <v>1969.99</v>
      </c>
      <c r="AQ23" s="26" t="s">
        <v>1017</v>
      </c>
      <c r="AR23" s="7">
        <f>6747.77-5947.76</f>
        <v>800.01000000000022</v>
      </c>
      <c r="AS23" s="26" t="s">
        <v>1083</v>
      </c>
      <c r="AT23" s="7">
        <v>3250</v>
      </c>
      <c r="AU23" s="26" t="s">
        <v>1150</v>
      </c>
      <c r="AV23" s="7">
        <v>1099.01</v>
      </c>
      <c r="AW23" s="26" t="s">
        <v>1204</v>
      </c>
      <c r="AX23" s="7">
        <v>2457.9899999999998</v>
      </c>
      <c r="AY23" s="26" t="s">
        <v>1252</v>
      </c>
      <c r="AZ23" s="7">
        <v>677.61</v>
      </c>
      <c r="BA23" s="26" t="s">
        <v>1313</v>
      </c>
      <c r="BB23" s="7"/>
      <c r="BC23" s="26"/>
      <c r="BD23" s="9">
        <v>3250</v>
      </c>
      <c r="BE23" s="26" t="s">
        <v>1352</v>
      </c>
      <c r="BF23" s="7">
        <v>4719.01</v>
      </c>
      <c r="BG23" s="26" t="s">
        <v>1451</v>
      </c>
      <c r="BH23" s="7"/>
      <c r="BI23" s="26"/>
      <c r="BJ23" s="7"/>
      <c r="BK23" s="26"/>
      <c r="BL23" s="7"/>
      <c r="BM23" s="26"/>
      <c r="BN23" s="7"/>
      <c r="BO23" s="26"/>
      <c r="BP23" s="7"/>
      <c r="BQ23" s="26"/>
      <c r="BR23" s="7"/>
      <c r="BS23" s="26"/>
      <c r="BT23" s="7"/>
      <c r="BU23" s="26"/>
      <c r="BV23" s="7"/>
      <c r="BW23" s="26"/>
      <c r="BX23" s="7"/>
      <c r="BY23" s="26"/>
      <c r="BZ23" s="7"/>
      <c r="CA23" s="26"/>
      <c r="CB23" s="7"/>
      <c r="CC23" s="26"/>
      <c r="CD23" s="7"/>
      <c r="CE23" s="26"/>
      <c r="CF23" s="7"/>
      <c r="CG23" s="26"/>
      <c r="CH23" s="7"/>
      <c r="CI23" s="26"/>
      <c r="CJ23" s="7"/>
      <c r="CK23" s="26"/>
      <c r="CL23" s="7"/>
      <c r="CM23" s="26"/>
      <c r="CN23" s="7"/>
      <c r="CO23" s="26"/>
      <c r="CP23" s="7"/>
      <c r="CQ23" s="26"/>
      <c r="CR23" s="7"/>
      <c r="CS23" s="26"/>
      <c r="CT23" s="7"/>
      <c r="CU23" s="26"/>
      <c r="CV23" s="7"/>
      <c r="CW23" s="26"/>
      <c r="CX23" s="7"/>
      <c r="CY23" s="26"/>
      <c r="CZ23" s="7"/>
      <c r="DA23" s="26"/>
      <c r="DB23" s="7"/>
      <c r="DC23" s="26"/>
      <c r="DD23" s="7"/>
      <c r="DE23" s="26"/>
      <c r="DF23" s="7"/>
      <c r="DG23" s="26"/>
      <c r="DH23" s="7"/>
      <c r="DI23" s="26"/>
      <c r="DJ23" s="7"/>
      <c r="DK23" s="26"/>
      <c r="DL23" s="7"/>
      <c r="DM23" s="26"/>
      <c r="DN23" s="7"/>
      <c r="DO23" s="26"/>
      <c r="DP23" s="7"/>
      <c r="DQ23" s="26"/>
      <c r="DR23" s="7"/>
      <c r="DS23" s="26"/>
      <c r="DT23" s="7"/>
      <c r="DU23" s="26"/>
      <c r="DV23" s="7"/>
      <c r="DW23" s="26"/>
      <c r="DX23" s="7"/>
      <c r="DY23" s="26"/>
      <c r="DZ23" s="7"/>
      <c r="EA23" s="26"/>
      <c r="EB23" s="7"/>
      <c r="EC23" s="26"/>
      <c r="ED23" s="7"/>
      <c r="EE23" s="26"/>
      <c r="EF23" s="7"/>
      <c r="EG23" s="26"/>
      <c r="EH23" s="7"/>
      <c r="EI23" s="26"/>
      <c r="EJ23" s="7"/>
      <c r="EK23" s="26"/>
      <c r="EL23" s="7"/>
    </row>
    <row r="24" spans="1:142" s="9" customFormat="1" x14ac:dyDescent="0.2">
      <c r="A24" s="41"/>
      <c r="B24" s="7">
        <v>1970</v>
      </c>
      <c r="C24" s="26" t="s">
        <v>47</v>
      </c>
      <c r="D24" s="7">
        <v>800</v>
      </c>
      <c r="E24" s="26" t="s">
        <v>122</v>
      </c>
      <c r="F24" s="7">
        <v>1099</v>
      </c>
      <c r="G24" s="26" t="s">
        <v>190</v>
      </c>
      <c r="H24" s="7"/>
      <c r="I24" s="7"/>
      <c r="J24" s="7">
        <v>1099</v>
      </c>
      <c r="K24" s="26" t="s">
        <v>307</v>
      </c>
      <c r="L24" s="7"/>
      <c r="M24" s="26"/>
      <c r="N24" s="7">
        <v>1099</v>
      </c>
      <c r="O24" s="26" t="s">
        <v>388</v>
      </c>
      <c r="P24" s="7">
        <v>1995</v>
      </c>
      <c r="Q24" s="26" t="s">
        <v>439</v>
      </c>
      <c r="R24" s="7">
        <v>1969.99</v>
      </c>
      <c r="S24" s="26" t="s">
        <v>482</v>
      </c>
      <c r="T24" s="7">
        <v>200.01</v>
      </c>
      <c r="U24" s="26" t="s">
        <v>534</v>
      </c>
      <c r="V24" s="7">
        <v>4178.18</v>
      </c>
      <c r="W24" s="26" t="s">
        <v>623</v>
      </c>
      <c r="X24" s="7"/>
      <c r="Y24" s="26"/>
      <c r="Z24" s="7"/>
      <c r="AA24" s="26"/>
      <c r="AB24" s="87">
        <v>489</v>
      </c>
      <c r="AC24" s="88" t="s">
        <v>656</v>
      </c>
      <c r="AD24" s="87">
        <v>3316</v>
      </c>
      <c r="AE24" s="26" t="s">
        <v>709</v>
      </c>
      <c r="AF24" s="7">
        <v>1969.99</v>
      </c>
      <c r="AG24" s="26" t="s">
        <v>847</v>
      </c>
      <c r="AH24" s="87">
        <v>3216</v>
      </c>
      <c r="AI24" s="26" t="s">
        <v>763</v>
      </c>
      <c r="AJ24" s="7"/>
      <c r="AK24" s="26"/>
      <c r="AL24" s="7"/>
      <c r="AM24" s="26"/>
      <c r="AN24" s="7"/>
      <c r="AO24" s="26"/>
      <c r="AP24" s="7">
        <v>1099</v>
      </c>
      <c r="AQ24" s="26" t="s">
        <v>1018</v>
      </c>
      <c r="AR24" s="7">
        <v>1995</v>
      </c>
      <c r="AS24" s="26" t="s">
        <v>1084</v>
      </c>
      <c r="AT24" s="7">
        <v>600</v>
      </c>
      <c r="AU24" s="26" t="s">
        <v>1151</v>
      </c>
      <c r="AV24" s="7">
        <v>1970</v>
      </c>
      <c r="AW24" s="26" t="s">
        <v>1207</v>
      </c>
      <c r="AX24" s="7">
        <v>2345</v>
      </c>
      <c r="AY24" s="26" t="s">
        <v>1254</v>
      </c>
      <c r="AZ24" s="7"/>
      <c r="BA24" s="26"/>
      <c r="BB24" s="7"/>
      <c r="BC24" s="26"/>
      <c r="BD24" s="9">
        <v>800</v>
      </c>
      <c r="BE24" s="26" t="s">
        <v>1355</v>
      </c>
      <c r="BF24" s="7">
        <v>1099.01</v>
      </c>
      <c r="BG24" s="26" t="s">
        <v>1452</v>
      </c>
      <c r="BH24" s="7"/>
      <c r="BI24" s="26"/>
      <c r="BJ24" s="7"/>
      <c r="BK24" s="26"/>
      <c r="BL24" s="7"/>
      <c r="BM24" s="26"/>
      <c r="BN24" s="7"/>
      <c r="BO24" s="26"/>
      <c r="BP24" s="7"/>
      <c r="BQ24" s="26"/>
      <c r="BR24" s="7"/>
      <c r="BS24" s="26"/>
      <c r="BT24" s="7"/>
      <c r="BU24" s="26"/>
      <c r="BV24" s="7"/>
      <c r="BW24" s="26"/>
      <c r="BX24" s="7"/>
      <c r="BY24" s="26"/>
      <c r="BZ24" s="7"/>
      <c r="CA24" s="26"/>
      <c r="CB24" s="7"/>
      <c r="CC24" s="26"/>
      <c r="CD24" s="7"/>
      <c r="CE24" s="26"/>
      <c r="CF24" s="7"/>
      <c r="CG24" s="26"/>
      <c r="CH24" s="7"/>
      <c r="CI24" s="26"/>
      <c r="CJ24" s="7"/>
      <c r="CK24" s="26"/>
      <c r="CL24" s="7"/>
      <c r="CM24" s="26"/>
      <c r="CN24" s="7"/>
      <c r="CO24" s="26"/>
      <c r="CP24" s="7"/>
      <c r="CQ24" s="26"/>
      <c r="CR24" s="7"/>
      <c r="CS24" s="26"/>
      <c r="CT24" s="7"/>
      <c r="CU24" s="26"/>
      <c r="CV24" s="7"/>
      <c r="CW24" s="26"/>
      <c r="CX24" s="7"/>
      <c r="CY24" s="26"/>
      <c r="CZ24" s="7"/>
      <c r="DA24" s="26"/>
      <c r="DB24" s="7"/>
      <c r="DC24" s="26"/>
      <c r="DD24" s="7"/>
      <c r="DE24" s="26"/>
      <c r="DF24" s="7"/>
      <c r="DG24" s="26"/>
      <c r="DH24" s="7"/>
      <c r="DI24" s="26"/>
      <c r="DJ24" s="7"/>
      <c r="DK24" s="26"/>
      <c r="DL24" s="7"/>
      <c r="DM24" s="26"/>
      <c r="DN24" s="7"/>
      <c r="DO24" s="26"/>
      <c r="DP24" s="7"/>
      <c r="DQ24" s="26"/>
      <c r="DR24" s="7"/>
      <c r="DS24" s="26"/>
      <c r="DT24" s="7"/>
      <c r="DU24" s="26"/>
      <c r="DV24" s="7"/>
      <c r="DW24" s="26"/>
      <c r="DX24" s="7"/>
      <c r="DY24" s="26"/>
      <c r="DZ24" s="7"/>
      <c r="EA24" s="26"/>
      <c r="EB24" s="7"/>
      <c r="EC24" s="26"/>
      <c r="ED24" s="7"/>
      <c r="EE24" s="26"/>
      <c r="EF24" s="7"/>
      <c r="EG24" s="26"/>
      <c r="EH24" s="7"/>
      <c r="EI24" s="26"/>
      <c r="EJ24" s="7"/>
      <c r="EK24" s="26"/>
      <c r="EL24" s="7"/>
    </row>
    <row r="25" spans="1:142" s="9" customFormat="1" x14ac:dyDescent="0.2">
      <c r="A25" s="41"/>
      <c r="B25" s="7">
        <v>3169</v>
      </c>
      <c r="C25" s="26" t="s">
        <v>51</v>
      </c>
      <c r="D25" s="7">
        <v>1099</v>
      </c>
      <c r="E25" s="26" t="s">
        <v>124</v>
      </c>
      <c r="F25" s="7">
        <v>1099</v>
      </c>
      <c r="G25" s="26" t="s">
        <v>191</v>
      </c>
      <c r="H25" s="7"/>
      <c r="I25" s="26"/>
      <c r="J25" s="9">
        <v>600.01</v>
      </c>
      <c r="K25" s="15" t="s">
        <v>302</v>
      </c>
      <c r="L25" s="7"/>
      <c r="M25" s="26"/>
      <c r="N25" s="7">
        <v>200.01</v>
      </c>
      <c r="O25" s="26" t="s">
        <v>392</v>
      </c>
      <c r="P25" s="7">
        <v>1398.99</v>
      </c>
      <c r="Q25" s="26" t="s">
        <v>407</v>
      </c>
      <c r="R25" s="7">
        <v>1099.01</v>
      </c>
      <c r="S25" s="26" t="s">
        <v>483</v>
      </c>
      <c r="T25" s="7">
        <v>1994.99</v>
      </c>
      <c r="U25" s="26" t="s">
        <v>535</v>
      </c>
      <c r="V25" s="7">
        <v>1995</v>
      </c>
      <c r="W25" s="26" t="s">
        <v>625</v>
      </c>
      <c r="X25" s="7"/>
      <c r="Y25" s="26"/>
      <c r="Z25" s="7"/>
      <c r="AA25" s="26"/>
      <c r="AB25" s="87">
        <v>833.03</v>
      </c>
      <c r="AC25" s="88" t="s">
        <v>657</v>
      </c>
      <c r="AD25" s="87">
        <v>810.03200000000004</v>
      </c>
      <c r="AE25" s="26" t="s">
        <v>710</v>
      </c>
      <c r="AF25" s="7">
        <v>200.01</v>
      </c>
      <c r="AG25" s="26" t="s">
        <v>852</v>
      </c>
      <c r="AH25" s="87">
        <v>1398.99</v>
      </c>
      <c r="AI25" s="26" t="s">
        <v>764</v>
      </c>
      <c r="AJ25" s="7"/>
      <c r="AK25" s="26"/>
      <c r="AL25" s="7"/>
      <c r="AM25" s="26"/>
      <c r="AN25" s="7"/>
      <c r="AO25" s="26"/>
      <c r="AP25" s="7">
        <v>1970</v>
      </c>
      <c r="AQ25" s="26" t="s">
        <v>1019</v>
      </c>
      <c r="AR25" s="7">
        <v>5565.02</v>
      </c>
      <c r="AS25" s="26" t="s">
        <v>1086</v>
      </c>
      <c r="AT25" s="7">
        <v>2845</v>
      </c>
      <c r="AU25" s="26" t="s">
        <v>1153</v>
      </c>
      <c r="AV25" s="7">
        <v>1995</v>
      </c>
      <c r="AW25" s="26" t="s">
        <v>1208</v>
      </c>
      <c r="AX25" s="7">
        <v>1479.01</v>
      </c>
      <c r="AY25" s="26" t="s">
        <v>1256</v>
      </c>
      <c r="AZ25" s="7"/>
      <c r="BA25" s="26"/>
      <c r="BB25" s="7"/>
      <c r="BC25" s="26"/>
      <c r="BD25" s="9">
        <v>1970</v>
      </c>
      <c r="BE25" s="26" t="s">
        <v>1356</v>
      </c>
      <c r="BF25" s="72">
        <v>1970</v>
      </c>
      <c r="BG25" s="24" t="s">
        <v>1458</v>
      </c>
      <c r="BH25" s="7"/>
      <c r="BI25" s="26"/>
      <c r="BJ25" s="7"/>
      <c r="BK25" s="26"/>
      <c r="BL25" s="7"/>
      <c r="BM25" s="26"/>
      <c r="BN25" s="7"/>
      <c r="BO25" s="26"/>
      <c r="BP25" s="7"/>
      <c r="BQ25" s="26"/>
      <c r="BR25" s="7"/>
      <c r="BS25" s="26"/>
      <c r="BT25" s="7"/>
      <c r="BU25" s="26"/>
      <c r="BV25" s="7"/>
      <c r="BW25" s="26"/>
      <c r="BX25" s="7"/>
      <c r="BY25" s="26"/>
      <c r="BZ25" s="7"/>
      <c r="CA25" s="26"/>
      <c r="CB25" s="7"/>
      <c r="CC25" s="26"/>
      <c r="CD25" s="7"/>
      <c r="CE25" s="26"/>
      <c r="CF25" s="7"/>
      <c r="CG25" s="26"/>
      <c r="CH25" s="7"/>
      <c r="CI25" s="26"/>
      <c r="CJ25" s="7"/>
      <c r="CK25" s="26"/>
      <c r="CL25" s="7"/>
      <c r="CM25" s="26"/>
      <c r="CN25" s="7"/>
      <c r="CO25" s="26"/>
      <c r="CP25" s="7"/>
      <c r="CQ25" s="26"/>
      <c r="CR25" s="7"/>
      <c r="CS25" s="26"/>
      <c r="CT25" s="7"/>
      <c r="CU25" s="26"/>
      <c r="CV25" s="7"/>
      <c r="CW25" s="26"/>
      <c r="CX25" s="7"/>
      <c r="CY25" s="26"/>
      <c r="CZ25" s="7"/>
      <c r="DA25" s="26"/>
      <c r="DB25" s="7"/>
      <c r="DC25" s="26"/>
      <c r="DD25" s="7"/>
      <c r="DE25" s="26"/>
      <c r="DF25" s="7"/>
      <c r="DG25" s="26"/>
      <c r="DH25" s="7"/>
      <c r="DI25" s="26"/>
      <c r="DJ25" s="7"/>
      <c r="DK25" s="26"/>
      <c r="DL25" s="7"/>
      <c r="DM25" s="26"/>
      <c r="DN25" s="7"/>
      <c r="DO25" s="26"/>
      <c r="DP25" s="7"/>
      <c r="DQ25" s="26"/>
      <c r="DR25" s="7"/>
      <c r="DS25" s="26"/>
      <c r="DT25" s="7"/>
      <c r="DU25" s="26"/>
      <c r="DV25" s="7"/>
      <c r="DW25" s="26"/>
      <c r="DX25" s="7"/>
      <c r="DY25" s="26"/>
      <c r="DZ25" s="7"/>
      <c r="EA25" s="26"/>
      <c r="EB25" s="7"/>
      <c r="EC25" s="26"/>
      <c r="ED25" s="7"/>
      <c r="EE25" s="26"/>
      <c r="EF25" s="7"/>
      <c r="EG25" s="26"/>
      <c r="EH25" s="7"/>
      <c r="EI25" s="26"/>
      <c r="EJ25" s="7"/>
      <c r="EK25" s="26"/>
      <c r="EL25" s="7"/>
    </row>
    <row r="26" spans="1:142" s="9" customFormat="1" x14ac:dyDescent="0.2">
      <c r="A26" s="41"/>
      <c r="B26" s="7">
        <v>3925.99</v>
      </c>
      <c r="C26" s="26" t="s">
        <v>55</v>
      </c>
      <c r="D26" s="7">
        <v>1099</v>
      </c>
      <c r="E26" s="26" t="s">
        <v>138</v>
      </c>
      <c r="F26" s="7">
        <v>3250.01</v>
      </c>
      <c r="G26" s="26" t="s">
        <v>194</v>
      </c>
      <c r="H26" s="7"/>
      <c r="I26" s="26"/>
      <c r="J26" s="30">
        <v>762.73</v>
      </c>
      <c r="K26" s="15" t="s">
        <v>272</v>
      </c>
      <c r="L26" s="7"/>
      <c r="M26" s="26"/>
      <c r="N26" s="7">
        <v>1399.01</v>
      </c>
      <c r="O26" s="26" t="s">
        <v>395</v>
      </c>
      <c r="P26" s="9">
        <v>2273.4499999999998</v>
      </c>
      <c r="Q26" s="15" t="s">
        <v>417</v>
      </c>
      <c r="R26" s="7">
        <v>200.01</v>
      </c>
      <c r="S26" s="26" t="s">
        <v>487</v>
      </c>
      <c r="T26" s="29">
        <v>253.41</v>
      </c>
      <c r="U26" s="24" t="s">
        <v>520</v>
      </c>
      <c r="V26" s="7">
        <v>79.44</v>
      </c>
      <c r="W26" s="26" t="s">
        <v>630</v>
      </c>
      <c r="X26" s="7"/>
      <c r="Y26" s="26"/>
      <c r="Z26" s="7"/>
      <c r="AA26" s="26"/>
      <c r="AB26" s="87">
        <v>2375.0100000000002</v>
      </c>
      <c r="AC26" s="88" t="s">
        <v>658</v>
      </c>
      <c r="AD26" s="87">
        <v>1970</v>
      </c>
      <c r="AE26" s="26" t="s">
        <v>711</v>
      </c>
      <c r="AF26" s="7">
        <v>1099.01</v>
      </c>
      <c r="AG26" s="26" t="s">
        <v>854</v>
      </c>
      <c r="AH26" s="87">
        <v>1099.01</v>
      </c>
      <c r="AI26" s="26" t="s">
        <v>765</v>
      </c>
      <c r="AJ26" s="7"/>
      <c r="AK26" s="26"/>
      <c r="AL26" s="7"/>
      <c r="AM26" s="26"/>
      <c r="AN26" s="7"/>
      <c r="AO26" s="26"/>
      <c r="AP26" s="7">
        <v>3489.01</v>
      </c>
      <c r="AQ26" s="26" t="s">
        <v>1022</v>
      </c>
      <c r="AR26" s="7">
        <v>152.15</v>
      </c>
      <c r="AS26" s="26" t="s">
        <v>1090</v>
      </c>
      <c r="AT26" s="7">
        <v>832.56</v>
      </c>
      <c r="AU26" s="26" t="s">
        <v>1158</v>
      </c>
      <c r="AV26" s="7">
        <v>478.61</v>
      </c>
      <c r="AW26" s="26" t="s">
        <v>1213</v>
      </c>
      <c r="AX26" s="7">
        <v>1039.3699999999999</v>
      </c>
      <c r="AY26" s="26" t="s">
        <v>1261</v>
      </c>
      <c r="AZ26" s="7"/>
      <c r="BA26" s="26"/>
      <c r="BB26" s="7"/>
      <c r="BC26" s="26"/>
      <c r="BD26" s="72">
        <v>234300</v>
      </c>
      <c r="BE26" s="24" t="s">
        <v>1330</v>
      </c>
      <c r="BF26" s="7">
        <v>505.01</v>
      </c>
      <c r="BG26" s="26" t="s">
        <v>1460</v>
      </c>
      <c r="BH26" s="7"/>
      <c r="BI26" s="26"/>
      <c r="BJ26" s="7"/>
      <c r="BK26" s="26"/>
      <c r="BL26" s="7"/>
      <c r="BM26" s="26"/>
      <c r="BN26" s="7"/>
      <c r="BO26" s="26"/>
      <c r="BP26" s="7"/>
      <c r="BQ26" s="26"/>
      <c r="BR26" s="7"/>
      <c r="BS26" s="26"/>
      <c r="BT26" s="7"/>
      <c r="BU26" s="26"/>
      <c r="BV26" s="7"/>
      <c r="BW26" s="26"/>
      <c r="BX26" s="7"/>
      <c r="BY26" s="26"/>
      <c r="BZ26" s="7"/>
      <c r="CA26" s="26"/>
      <c r="CB26" s="7"/>
      <c r="CC26" s="26"/>
      <c r="CD26" s="7"/>
      <c r="CE26" s="26"/>
      <c r="CF26" s="7"/>
      <c r="CG26" s="26"/>
      <c r="CH26" s="7"/>
      <c r="CI26" s="26"/>
      <c r="CJ26" s="7"/>
      <c r="CK26" s="26"/>
      <c r="CL26" s="7"/>
      <c r="CM26" s="26"/>
      <c r="CN26" s="7"/>
      <c r="CO26" s="26"/>
      <c r="CP26" s="7"/>
      <c r="CQ26" s="26"/>
      <c r="CR26" s="7"/>
      <c r="CS26" s="26"/>
      <c r="CT26" s="7"/>
      <c r="CU26" s="26"/>
      <c r="CV26" s="7"/>
      <c r="CW26" s="26"/>
      <c r="CX26" s="7"/>
      <c r="CY26" s="26"/>
      <c r="CZ26" s="7"/>
      <c r="DA26" s="26"/>
      <c r="DB26" s="7"/>
      <c r="DC26" s="26"/>
      <c r="DD26" s="7"/>
      <c r="DE26" s="26"/>
      <c r="DF26" s="7"/>
      <c r="DG26" s="26"/>
      <c r="DH26" s="7"/>
      <c r="DI26" s="26"/>
      <c r="DJ26" s="7"/>
      <c r="DK26" s="26"/>
      <c r="DL26" s="7"/>
      <c r="DM26" s="26"/>
      <c r="DN26" s="7"/>
      <c r="DO26" s="26"/>
      <c r="DP26" s="7"/>
      <c r="DQ26" s="26"/>
      <c r="DR26" s="7"/>
      <c r="DS26" s="26"/>
      <c r="DT26" s="7"/>
      <c r="DU26" s="26"/>
      <c r="DV26" s="7"/>
      <c r="DW26" s="26"/>
      <c r="DX26" s="7"/>
      <c r="DY26" s="26"/>
      <c r="DZ26" s="7"/>
      <c r="EA26" s="26"/>
      <c r="EB26" s="7"/>
      <c r="EC26" s="26"/>
      <c r="ED26" s="7"/>
      <c r="EE26" s="26"/>
      <c r="EF26" s="7"/>
      <c r="EG26" s="26"/>
      <c r="EH26" s="7"/>
      <c r="EI26" s="26"/>
      <c r="EJ26" s="7"/>
      <c r="EK26" s="26"/>
      <c r="EL26" s="7"/>
    </row>
    <row r="27" spans="1:142" s="9" customFormat="1" x14ac:dyDescent="0.2">
      <c r="A27" s="41"/>
      <c r="B27" s="7">
        <v>1099</v>
      </c>
      <c r="C27" s="26" t="s">
        <v>57</v>
      </c>
      <c r="D27" s="7">
        <v>1340</v>
      </c>
      <c r="E27" s="15" t="s">
        <v>129</v>
      </c>
      <c r="F27" s="7">
        <v>495</v>
      </c>
      <c r="G27" s="26" t="s">
        <v>195</v>
      </c>
      <c r="H27" s="7"/>
      <c r="I27" s="26"/>
      <c r="J27" s="9">
        <v>1887.92</v>
      </c>
      <c r="K27" s="9" t="s">
        <v>309</v>
      </c>
      <c r="L27" s="7"/>
      <c r="M27" s="26"/>
      <c r="N27" s="7">
        <v>2866</v>
      </c>
      <c r="O27" s="26" t="s">
        <v>397</v>
      </c>
      <c r="P27" s="7"/>
      <c r="Q27" s="26"/>
      <c r="R27" s="7">
        <v>52.2</v>
      </c>
      <c r="S27" s="26" t="s">
        <v>488</v>
      </c>
      <c r="T27" s="7">
        <v>1099.01</v>
      </c>
      <c r="U27" s="26" t="s">
        <v>537</v>
      </c>
      <c r="V27" s="7">
        <v>1053.25</v>
      </c>
      <c r="W27" s="26" t="s">
        <v>631</v>
      </c>
      <c r="X27" s="7"/>
      <c r="Y27" s="26"/>
      <c r="Z27" s="7"/>
      <c r="AA27" s="26"/>
      <c r="AB27" s="87">
        <v>3000</v>
      </c>
      <c r="AC27" s="88" t="s">
        <v>659</v>
      </c>
      <c r="AD27" s="87">
        <v>1099.01</v>
      </c>
      <c r="AE27" s="26" t="s">
        <v>712</v>
      </c>
      <c r="AF27" s="7">
        <v>449.02</v>
      </c>
      <c r="AG27" s="26" t="s">
        <v>861</v>
      </c>
      <c r="AH27" s="87">
        <v>579</v>
      </c>
      <c r="AI27" s="26" t="s">
        <v>766</v>
      </c>
      <c r="AJ27" s="7"/>
      <c r="AK27" s="26"/>
      <c r="AL27" s="7"/>
      <c r="AM27" s="26"/>
      <c r="AN27" s="7"/>
      <c r="AO27" s="26"/>
      <c r="AP27" s="7">
        <v>200.01</v>
      </c>
      <c r="AQ27" s="26" t="s">
        <v>1023</v>
      </c>
      <c r="AR27" s="7">
        <v>175.69</v>
      </c>
      <c r="AS27" s="26" t="s">
        <v>1091</v>
      </c>
      <c r="AT27" s="7">
        <v>1891.64</v>
      </c>
      <c r="AU27" s="26" t="s">
        <v>1159</v>
      </c>
      <c r="AV27" s="7">
        <v>390.04</v>
      </c>
      <c r="AW27" s="26" t="s">
        <v>1215</v>
      </c>
      <c r="AX27" s="7">
        <v>484.01</v>
      </c>
      <c r="AY27" s="26" t="s">
        <v>1262</v>
      </c>
      <c r="AZ27" s="7"/>
      <c r="BA27" s="26"/>
      <c r="BB27" s="7"/>
      <c r="BC27" s="26"/>
      <c r="BD27" s="9">
        <v>3250</v>
      </c>
      <c r="BE27" s="15" t="s">
        <v>1343</v>
      </c>
      <c r="BF27" s="7">
        <v>1099.01</v>
      </c>
      <c r="BG27" s="26" t="s">
        <v>1462</v>
      </c>
      <c r="BH27" s="7"/>
      <c r="BI27" s="26"/>
      <c r="BJ27" s="7"/>
      <c r="BK27" s="26"/>
      <c r="BL27" s="7"/>
      <c r="BM27" s="26"/>
      <c r="BN27" s="7"/>
      <c r="BO27" s="26"/>
      <c r="BP27" s="7"/>
      <c r="BQ27" s="26"/>
      <c r="BR27" s="7"/>
      <c r="BS27" s="26"/>
      <c r="BT27" s="7"/>
      <c r="BU27" s="26"/>
      <c r="BV27" s="7"/>
      <c r="BW27" s="26"/>
      <c r="BX27" s="7"/>
      <c r="BY27" s="26"/>
      <c r="BZ27" s="7"/>
      <c r="CA27" s="26"/>
      <c r="CB27" s="7"/>
      <c r="CC27" s="26"/>
      <c r="CD27" s="7"/>
      <c r="CE27" s="26"/>
      <c r="CF27" s="7"/>
      <c r="CG27" s="26"/>
      <c r="CH27" s="7"/>
      <c r="CI27" s="26"/>
      <c r="CJ27" s="7"/>
      <c r="CK27" s="26"/>
      <c r="CL27" s="7"/>
      <c r="CM27" s="26"/>
      <c r="CN27" s="7"/>
      <c r="CO27" s="26"/>
      <c r="CP27" s="7"/>
      <c r="CQ27" s="26"/>
      <c r="CR27" s="7"/>
      <c r="CS27" s="26"/>
      <c r="CT27" s="7"/>
      <c r="CU27" s="26"/>
      <c r="CV27" s="7"/>
      <c r="CW27" s="26"/>
      <c r="CX27" s="7"/>
      <c r="CY27" s="26"/>
      <c r="CZ27" s="7"/>
      <c r="DA27" s="26"/>
      <c r="DB27" s="7"/>
      <c r="DC27" s="26"/>
      <c r="DD27" s="7"/>
      <c r="DE27" s="26"/>
      <c r="DF27" s="7"/>
      <c r="DG27" s="26"/>
      <c r="DH27" s="7"/>
      <c r="DI27" s="26"/>
      <c r="DJ27" s="7"/>
      <c r="DK27" s="26"/>
      <c r="DL27" s="7"/>
      <c r="DM27" s="26"/>
      <c r="DN27" s="7"/>
      <c r="DO27" s="26"/>
      <c r="DP27" s="7"/>
      <c r="DQ27" s="26"/>
      <c r="DR27" s="7"/>
      <c r="DS27" s="26"/>
      <c r="DT27" s="7"/>
      <c r="DU27" s="26"/>
      <c r="DV27" s="7"/>
      <c r="DW27" s="26"/>
      <c r="DX27" s="7"/>
      <c r="DY27" s="26"/>
      <c r="DZ27" s="7"/>
      <c r="EA27" s="26"/>
      <c r="EB27" s="7"/>
      <c r="EC27" s="26"/>
      <c r="ED27" s="7"/>
      <c r="EE27" s="26"/>
      <c r="EF27" s="7"/>
      <c r="EG27" s="26"/>
      <c r="EH27" s="7"/>
      <c r="EI27" s="26"/>
      <c r="EJ27" s="7"/>
      <c r="EK27" s="26"/>
      <c r="EL27" s="7"/>
    </row>
    <row r="28" spans="1:142" s="9" customFormat="1" x14ac:dyDescent="0.2">
      <c r="A28" s="41"/>
      <c r="B28" s="7">
        <v>2140</v>
      </c>
      <c r="C28" s="26" t="s">
        <v>61</v>
      </c>
      <c r="D28" s="7"/>
      <c r="E28" s="26"/>
      <c r="F28" s="7">
        <v>200</v>
      </c>
      <c r="G28" s="26" t="s">
        <v>174</v>
      </c>
      <c r="H28" s="7"/>
      <c r="I28" s="26"/>
      <c r="L28" s="7"/>
      <c r="M28" s="26"/>
      <c r="N28" s="7"/>
      <c r="O28" s="26"/>
      <c r="P28" s="7"/>
      <c r="Q28" s="26"/>
      <c r="R28" s="7">
        <v>99</v>
      </c>
      <c r="S28" s="26" t="s">
        <v>491</v>
      </c>
      <c r="T28" s="7">
        <v>1969.99</v>
      </c>
      <c r="U28" s="26" t="s">
        <v>539</v>
      </c>
      <c r="V28" s="7">
        <v>1552.37</v>
      </c>
      <c r="W28" s="26" t="s">
        <v>632</v>
      </c>
      <c r="X28" s="7"/>
      <c r="Y28" s="26"/>
      <c r="Z28" s="7"/>
      <c r="AA28" s="26"/>
      <c r="AB28" s="7"/>
      <c r="AC28" s="26"/>
      <c r="AD28" s="87">
        <v>3353.99</v>
      </c>
      <c r="AE28" s="26" t="s">
        <v>713</v>
      </c>
      <c r="AF28" s="7">
        <v>459.8</v>
      </c>
      <c r="AG28" s="26" t="s">
        <v>862</v>
      </c>
      <c r="AH28" s="87">
        <v>2047.05</v>
      </c>
      <c r="AI28" s="26" t="s">
        <v>767</v>
      </c>
      <c r="AJ28" s="7"/>
      <c r="AK28" s="26"/>
      <c r="AL28" s="7"/>
      <c r="AM28" s="26"/>
      <c r="AN28" s="7"/>
      <c r="AO28" s="26"/>
      <c r="AP28" s="7">
        <v>2450</v>
      </c>
      <c r="AQ28" s="26" t="s">
        <v>1024</v>
      </c>
      <c r="AR28" s="7">
        <v>579.55999999999995</v>
      </c>
      <c r="AS28" s="26" t="s">
        <v>1092</v>
      </c>
      <c r="AT28" s="9">
        <v>1216.57</v>
      </c>
      <c r="AU28" s="15" t="s">
        <v>1160</v>
      </c>
      <c r="AV28" s="7"/>
      <c r="AW28" s="26"/>
      <c r="AX28" s="7">
        <v>1216.57</v>
      </c>
      <c r="AY28" s="26" t="s">
        <v>1264</v>
      </c>
      <c r="AZ28" s="7"/>
      <c r="BA28" s="26"/>
      <c r="BB28" s="7"/>
      <c r="BC28" s="26"/>
      <c r="BE28" s="15"/>
      <c r="BF28" s="7">
        <v>1099.01</v>
      </c>
      <c r="BG28" s="26" t="s">
        <v>1463</v>
      </c>
      <c r="BH28" s="7"/>
      <c r="BI28" s="26"/>
      <c r="BJ28" s="7"/>
      <c r="BK28" s="26"/>
      <c r="BL28" s="7"/>
      <c r="BM28" s="26"/>
      <c r="BN28" s="7"/>
      <c r="BO28" s="26"/>
      <c r="BP28" s="7"/>
      <c r="BQ28" s="26"/>
      <c r="BR28" s="7"/>
      <c r="BS28" s="26"/>
      <c r="BT28" s="7"/>
      <c r="BU28" s="26"/>
      <c r="BV28" s="7"/>
      <c r="BW28" s="26"/>
      <c r="BX28" s="7"/>
      <c r="BY28" s="26"/>
      <c r="BZ28" s="7"/>
      <c r="CA28" s="26"/>
      <c r="CB28" s="7"/>
      <c r="CC28" s="26"/>
      <c r="CD28" s="7"/>
      <c r="CE28" s="26"/>
      <c r="CF28" s="7"/>
      <c r="CG28" s="26"/>
      <c r="CH28" s="7"/>
      <c r="CI28" s="26"/>
      <c r="CJ28" s="7"/>
      <c r="CK28" s="26"/>
      <c r="CL28" s="7"/>
      <c r="CM28" s="26"/>
      <c r="CN28" s="7"/>
      <c r="CO28" s="26"/>
      <c r="CP28" s="7"/>
      <c r="CQ28" s="26"/>
      <c r="CR28" s="7"/>
      <c r="CS28" s="26"/>
      <c r="CT28" s="7"/>
      <c r="CU28" s="26"/>
      <c r="CV28" s="7"/>
      <c r="CW28" s="26"/>
      <c r="CX28" s="7"/>
      <c r="CY28" s="26"/>
      <c r="CZ28" s="7"/>
      <c r="DA28" s="26"/>
      <c r="DB28" s="7"/>
      <c r="DC28" s="26"/>
      <c r="DD28" s="7"/>
      <c r="DE28" s="26"/>
      <c r="DF28" s="7"/>
      <c r="DG28" s="26"/>
      <c r="DH28" s="7"/>
      <c r="DI28" s="26"/>
      <c r="DJ28" s="7"/>
      <c r="DK28" s="26"/>
      <c r="DL28" s="7"/>
      <c r="DM28" s="26"/>
      <c r="DN28" s="7"/>
      <c r="DO28" s="26"/>
      <c r="DP28" s="7"/>
      <c r="DQ28" s="26"/>
      <c r="DR28" s="7"/>
      <c r="DS28" s="26"/>
      <c r="DT28" s="7"/>
      <c r="DU28" s="26"/>
      <c r="DV28" s="7"/>
      <c r="DW28" s="26"/>
      <c r="DX28" s="7"/>
      <c r="DY28" s="26"/>
      <c r="DZ28" s="7"/>
      <c r="EA28" s="26"/>
      <c r="EB28" s="7"/>
      <c r="EC28" s="26"/>
      <c r="ED28" s="7"/>
      <c r="EE28" s="26"/>
      <c r="EF28" s="7"/>
      <c r="EG28" s="26"/>
      <c r="EH28" s="7"/>
      <c r="EI28" s="26"/>
      <c r="EJ28" s="7"/>
      <c r="EK28" s="26"/>
      <c r="EL28" s="7"/>
    </row>
    <row r="29" spans="1:142" s="9" customFormat="1" x14ac:dyDescent="0.2">
      <c r="A29" s="41"/>
      <c r="B29" s="7"/>
      <c r="C29" s="7"/>
      <c r="D29" s="7"/>
      <c r="E29" s="26"/>
      <c r="F29" s="7">
        <v>49.3</v>
      </c>
      <c r="G29" s="26" t="s">
        <v>197</v>
      </c>
      <c r="H29" s="7"/>
      <c r="I29" s="26"/>
      <c r="J29" s="7"/>
      <c r="K29" s="26"/>
      <c r="L29" s="7"/>
      <c r="M29" s="26"/>
      <c r="N29" s="7"/>
      <c r="O29" s="26"/>
      <c r="P29" s="7"/>
      <c r="Q29" s="26"/>
      <c r="R29" s="7"/>
      <c r="S29" s="26"/>
      <c r="T29" s="7">
        <v>1099</v>
      </c>
      <c r="U29" s="26" t="s">
        <v>540</v>
      </c>
      <c r="V29" s="7"/>
      <c r="W29" s="26"/>
      <c r="X29" s="7"/>
      <c r="Y29" s="26"/>
      <c r="Z29" s="7"/>
      <c r="AA29" s="26"/>
      <c r="AB29" s="7"/>
      <c r="AC29" s="26"/>
      <c r="AD29" s="7">
        <v>13500</v>
      </c>
      <c r="AE29" s="26" t="s">
        <v>714</v>
      </c>
      <c r="AF29" s="7">
        <v>224.34</v>
      </c>
      <c r="AG29" s="26" t="s">
        <v>863</v>
      </c>
      <c r="AH29" s="87">
        <v>5000</v>
      </c>
      <c r="AI29" s="26" t="s">
        <v>768</v>
      </c>
      <c r="AJ29" s="7"/>
      <c r="AK29" s="26"/>
      <c r="AL29" s="7"/>
      <c r="AM29" s="26"/>
      <c r="AN29" s="7"/>
      <c r="AO29" s="26"/>
      <c r="AP29" s="7">
        <v>4450</v>
      </c>
      <c r="AQ29" s="26" t="s">
        <v>1025</v>
      </c>
      <c r="AR29" s="7">
        <v>390.04</v>
      </c>
      <c r="AS29" s="26" t="s">
        <v>1095</v>
      </c>
      <c r="AU29" s="15"/>
      <c r="AV29" s="7"/>
      <c r="AW29" s="26"/>
      <c r="AX29" s="7">
        <v>1216.57</v>
      </c>
      <c r="AY29" s="26" t="s">
        <v>1265</v>
      </c>
      <c r="AZ29" s="7"/>
      <c r="BA29" s="26"/>
      <c r="BB29" s="7"/>
      <c r="BC29" s="26"/>
      <c r="BD29" s="7"/>
      <c r="BE29" s="26"/>
      <c r="BF29" s="7">
        <v>1994.99</v>
      </c>
      <c r="BG29" s="26" t="s">
        <v>1464</v>
      </c>
      <c r="BH29" s="7"/>
      <c r="BI29" s="26"/>
      <c r="BJ29" s="7"/>
      <c r="BK29" s="26"/>
      <c r="BL29" s="7"/>
      <c r="BM29" s="26"/>
      <c r="BN29" s="7"/>
      <c r="BO29" s="26"/>
      <c r="BP29" s="7"/>
      <c r="BQ29" s="26"/>
      <c r="BR29" s="7"/>
      <c r="BS29" s="26"/>
      <c r="BT29" s="7"/>
      <c r="BU29" s="26"/>
      <c r="BV29" s="7"/>
      <c r="BW29" s="26"/>
      <c r="BX29" s="7"/>
      <c r="BY29" s="26"/>
      <c r="BZ29" s="7"/>
      <c r="CA29" s="26"/>
      <c r="CB29" s="7"/>
      <c r="CC29" s="26"/>
      <c r="CD29" s="7"/>
      <c r="CE29" s="26"/>
      <c r="CF29" s="7"/>
      <c r="CG29" s="26"/>
      <c r="CH29" s="7"/>
      <c r="CI29" s="26"/>
      <c r="CJ29" s="7"/>
      <c r="CK29" s="26"/>
      <c r="CL29" s="7"/>
      <c r="CM29" s="26"/>
      <c r="CN29" s="7"/>
      <c r="CO29" s="26"/>
      <c r="CP29" s="7"/>
      <c r="CQ29" s="26"/>
      <c r="CR29" s="7"/>
      <c r="CS29" s="26"/>
      <c r="CT29" s="7"/>
      <c r="CU29" s="26"/>
      <c r="CV29" s="7"/>
      <c r="CW29" s="26"/>
      <c r="CX29" s="7"/>
      <c r="CY29" s="26"/>
      <c r="CZ29" s="7"/>
      <c r="DA29" s="26"/>
      <c r="DB29" s="7"/>
      <c r="DC29" s="26"/>
      <c r="DD29" s="7"/>
      <c r="DE29" s="26"/>
      <c r="DF29" s="7"/>
      <c r="DG29" s="26"/>
      <c r="DH29" s="7"/>
      <c r="DI29" s="26"/>
      <c r="DJ29" s="7"/>
      <c r="DK29" s="26"/>
      <c r="DL29" s="7"/>
      <c r="DM29" s="26"/>
      <c r="DN29" s="7"/>
      <c r="DO29" s="26"/>
      <c r="DP29" s="7"/>
      <c r="DQ29" s="26"/>
      <c r="DR29" s="7"/>
      <c r="DS29" s="26"/>
      <c r="DT29" s="7"/>
      <c r="DU29" s="26"/>
      <c r="DV29" s="7"/>
      <c r="DW29" s="26"/>
      <c r="DX29" s="7"/>
      <c r="DY29" s="26"/>
      <c r="DZ29" s="7"/>
      <c r="EA29" s="26"/>
      <c r="EB29" s="7"/>
      <c r="EC29" s="26"/>
      <c r="ED29" s="7"/>
      <c r="EE29" s="26"/>
      <c r="EF29" s="7"/>
      <c r="EG29" s="26"/>
      <c r="EH29" s="7"/>
      <c r="EI29" s="26"/>
      <c r="EJ29" s="7"/>
      <c r="EK29" s="26"/>
      <c r="EL29" s="7"/>
    </row>
    <row r="30" spans="1:142" s="9" customFormat="1" x14ac:dyDescent="0.2">
      <c r="A30" s="41"/>
      <c r="C30" s="15"/>
      <c r="E30" s="15"/>
      <c r="F30" s="9">
        <v>1099</v>
      </c>
      <c r="G30" s="15" t="s">
        <v>177</v>
      </c>
      <c r="I30" s="15"/>
      <c r="K30" s="15"/>
      <c r="M30" s="15"/>
      <c r="O30" s="15"/>
      <c r="Q30" s="15"/>
      <c r="S30" s="15"/>
      <c r="T30" s="9">
        <v>1099.01</v>
      </c>
      <c r="U30" s="15" t="s">
        <v>541</v>
      </c>
      <c r="W30" s="15"/>
      <c r="Y30" s="15"/>
      <c r="AA30" s="15"/>
      <c r="AC30" s="15"/>
      <c r="AE30" s="15"/>
      <c r="AF30" s="9">
        <f>2182.8-1518.4</f>
        <v>664.40000000000009</v>
      </c>
      <c r="AG30" s="15" t="s">
        <v>865</v>
      </c>
      <c r="AH30" s="72">
        <v>717.94</v>
      </c>
      <c r="AI30" s="15" t="s">
        <v>769</v>
      </c>
      <c r="AK30" s="15"/>
      <c r="AM30" s="15"/>
      <c r="AO30" s="15"/>
      <c r="AP30" s="9">
        <v>152.15</v>
      </c>
      <c r="AQ30" s="15" t="s">
        <v>1026</v>
      </c>
      <c r="AS30" s="15"/>
      <c r="AU30" s="15"/>
      <c r="AW30" s="15"/>
      <c r="AY30" s="15"/>
      <c r="BA30" s="15"/>
      <c r="BC30" s="15"/>
      <c r="BE30" s="15"/>
      <c r="BF30" s="9">
        <v>600</v>
      </c>
      <c r="BG30" s="15" t="s">
        <v>1465</v>
      </c>
      <c r="BI30" s="15"/>
      <c r="BK30" s="15"/>
      <c r="BM30" s="15"/>
      <c r="BO30" s="15"/>
      <c r="BQ30" s="15"/>
      <c r="BS30" s="15"/>
      <c r="BU30" s="15"/>
      <c r="BW30" s="15"/>
      <c r="BY30" s="15"/>
      <c r="CA30" s="15"/>
      <c r="CC30" s="15"/>
      <c r="CE30" s="15"/>
      <c r="CG30" s="15"/>
      <c r="CI30" s="15"/>
      <c r="CK30" s="15"/>
      <c r="CM30" s="15"/>
      <c r="CO30" s="15"/>
      <c r="CQ30" s="15"/>
      <c r="CS30" s="15"/>
      <c r="CU30" s="15"/>
      <c r="CW30" s="15"/>
      <c r="CY30" s="15"/>
      <c r="DA30" s="15"/>
      <c r="DC30" s="15"/>
      <c r="DE30" s="15"/>
      <c r="DG30" s="15"/>
      <c r="DI30" s="15"/>
      <c r="DK30" s="15"/>
      <c r="DM30" s="15"/>
      <c r="DO30" s="15"/>
      <c r="DQ30" s="15"/>
      <c r="DS30" s="15"/>
      <c r="DU30" s="15"/>
      <c r="DW30" s="15"/>
      <c r="DY30" s="15"/>
      <c r="EA30" s="15"/>
      <c r="EC30" s="15"/>
      <c r="EE30" s="15"/>
      <c r="EG30" s="15"/>
      <c r="EI30" s="15"/>
      <c r="EK30" s="15"/>
    </row>
    <row r="31" spans="1:142" s="11" customFormat="1" x14ac:dyDescent="0.2">
      <c r="A31" s="43"/>
      <c r="B31" s="10"/>
      <c r="C31" s="12"/>
      <c r="D31" s="10"/>
      <c r="E31" s="12"/>
      <c r="F31" s="10"/>
      <c r="G31" s="12"/>
      <c r="H31" s="10"/>
      <c r="I31" s="12"/>
      <c r="J31" s="10"/>
      <c r="K31" s="12"/>
      <c r="L31" s="10"/>
      <c r="M31" s="12"/>
      <c r="N31" s="10"/>
      <c r="O31" s="12"/>
      <c r="P31" s="10"/>
      <c r="Q31" s="12"/>
      <c r="R31" s="10"/>
      <c r="S31" s="12"/>
      <c r="T31" s="10"/>
      <c r="U31" s="12"/>
      <c r="V31" s="10"/>
      <c r="W31" s="12"/>
      <c r="X31" s="10"/>
      <c r="Y31" s="12"/>
      <c r="Z31" s="10"/>
      <c r="AA31" s="12"/>
      <c r="AB31" s="10"/>
      <c r="AC31" s="12"/>
      <c r="AD31" s="10"/>
      <c r="AE31" s="12"/>
      <c r="AF31" s="10">
        <v>449.02</v>
      </c>
      <c r="AG31" s="12" t="s">
        <v>866</v>
      </c>
      <c r="AH31" s="87">
        <v>4395</v>
      </c>
      <c r="AI31" s="12" t="s">
        <v>770</v>
      </c>
      <c r="AJ31" s="10"/>
      <c r="AK31" s="12"/>
      <c r="AL31" s="10"/>
      <c r="AM31" s="12"/>
      <c r="AN31" s="10"/>
      <c r="AO31" s="12"/>
      <c r="AP31" s="10">
        <v>580.80999999999995</v>
      </c>
      <c r="AQ31" s="12" t="s">
        <v>1030</v>
      </c>
      <c r="AR31" s="10"/>
      <c r="AS31" s="12"/>
      <c r="AT31" s="10"/>
      <c r="AU31" s="12"/>
      <c r="AV31" s="10"/>
      <c r="AW31" s="12"/>
      <c r="AX31" s="10"/>
      <c r="AY31" s="12"/>
      <c r="AZ31" s="10"/>
      <c r="BA31" s="12"/>
      <c r="BB31" s="10"/>
      <c r="BC31" s="12"/>
      <c r="BD31" s="10"/>
      <c r="BE31" s="12"/>
      <c r="BF31" s="10">
        <v>4395</v>
      </c>
      <c r="BG31" s="12" t="s">
        <v>1467</v>
      </c>
      <c r="BH31" s="10"/>
      <c r="BI31" s="12"/>
      <c r="BJ31" s="10"/>
      <c r="BK31" s="12"/>
      <c r="BL31" s="10"/>
      <c r="BM31" s="12"/>
      <c r="BN31" s="10"/>
      <c r="BO31" s="12"/>
      <c r="BP31" s="10"/>
      <c r="BQ31" s="12"/>
      <c r="BR31" s="10"/>
      <c r="BS31" s="12"/>
      <c r="BT31" s="10"/>
      <c r="BU31" s="12"/>
      <c r="BV31" s="10"/>
      <c r="BW31" s="12"/>
      <c r="BX31" s="10"/>
      <c r="BY31" s="12"/>
      <c r="BZ31" s="10"/>
      <c r="CA31" s="12"/>
      <c r="CB31" s="10"/>
      <c r="CC31" s="12"/>
      <c r="CD31" s="10"/>
      <c r="CE31" s="12"/>
      <c r="CF31" s="10"/>
      <c r="CG31" s="12"/>
      <c r="CH31" s="10"/>
      <c r="CI31" s="12"/>
      <c r="CJ31" s="10"/>
      <c r="CK31" s="12"/>
      <c r="CL31" s="10"/>
      <c r="CM31" s="12"/>
      <c r="CN31" s="10"/>
      <c r="CO31" s="12"/>
      <c r="CP31" s="10"/>
      <c r="CQ31" s="12"/>
      <c r="CR31" s="10"/>
      <c r="CS31" s="12"/>
      <c r="CT31" s="10"/>
      <c r="CU31" s="12"/>
      <c r="CV31" s="10"/>
      <c r="CW31" s="12"/>
      <c r="CX31" s="10"/>
      <c r="CY31" s="12"/>
      <c r="CZ31" s="10"/>
      <c r="DA31" s="12"/>
      <c r="DB31" s="10"/>
      <c r="DC31" s="12"/>
      <c r="DD31" s="10"/>
      <c r="DE31" s="12"/>
      <c r="DF31" s="10"/>
      <c r="DG31" s="12"/>
      <c r="DH31" s="10"/>
      <c r="DI31" s="12"/>
      <c r="DJ31" s="10"/>
      <c r="DK31" s="12"/>
      <c r="DL31" s="10"/>
      <c r="DM31" s="12"/>
      <c r="DN31" s="10"/>
      <c r="DO31" s="12"/>
      <c r="DP31" s="10"/>
      <c r="DQ31" s="12"/>
      <c r="DR31" s="10"/>
      <c r="DS31" s="12"/>
      <c r="DT31" s="10"/>
      <c r="DU31" s="12"/>
      <c r="DV31" s="10"/>
      <c r="DW31" s="12"/>
      <c r="DX31" s="10"/>
      <c r="DY31" s="12"/>
      <c r="DZ31" s="10"/>
      <c r="EA31" s="12"/>
      <c r="EB31" s="10"/>
      <c r="EC31" s="12"/>
      <c r="ED31" s="10"/>
      <c r="EE31" s="12"/>
      <c r="EF31" s="10"/>
      <c r="EG31" s="12"/>
      <c r="EH31" s="10"/>
      <c r="EI31" s="12"/>
      <c r="EJ31" s="10"/>
      <c r="EK31" s="12"/>
      <c r="EL31" s="10"/>
    </row>
    <row r="32" spans="1:142" s="9" customFormat="1" x14ac:dyDescent="0.2">
      <c r="A32" s="41"/>
      <c r="B32" s="7"/>
      <c r="C32" s="26"/>
      <c r="D32" s="7"/>
      <c r="E32" s="26"/>
      <c r="F32" s="7"/>
      <c r="G32" s="26"/>
      <c r="H32" s="7"/>
      <c r="I32" s="26"/>
      <c r="J32" s="7"/>
      <c r="K32" s="26"/>
      <c r="L32" s="7"/>
      <c r="M32" s="26"/>
      <c r="N32" s="7"/>
      <c r="O32" s="26"/>
      <c r="P32" s="7"/>
      <c r="Q32" s="26"/>
      <c r="R32" s="7"/>
      <c r="S32" s="26"/>
      <c r="T32" s="7"/>
      <c r="U32" s="26"/>
      <c r="V32" s="7"/>
      <c r="W32" s="26"/>
      <c r="X32" s="7"/>
      <c r="Y32" s="26"/>
      <c r="Z32" s="7"/>
      <c r="AA32" s="26"/>
      <c r="AB32" s="7"/>
      <c r="AC32" s="26"/>
      <c r="AD32" s="7"/>
      <c r="AE32" s="26"/>
      <c r="AF32" s="7">
        <v>1216.57</v>
      </c>
      <c r="AG32" s="26" t="s">
        <v>867</v>
      </c>
      <c r="AH32" s="7"/>
      <c r="AI32" s="26"/>
      <c r="AJ32" s="7"/>
      <c r="AK32" s="26"/>
      <c r="AL32" s="7"/>
      <c r="AM32" s="26"/>
      <c r="AN32" s="7"/>
      <c r="AO32" s="26"/>
      <c r="AP32" s="7">
        <v>380.36</v>
      </c>
      <c r="AQ32" s="26" t="s">
        <v>1031</v>
      </c>
      <c r="AR32" s="7"/>
      <c r="AS32" s="26"/>
      <c r="AT32" s="7"/>
      <c r="AU32" s="26"/>
      <c r="AV32" s="7"/>
      <c r="AW32" s="26"/>
      <c r="AX32" s="7"/>
      <c r="AY32" s="26"/>
      <c r="AZ32" s="7"/>
      <c r="BA32" s="26"/>
      <c r="BB32" s="7"/>
      <c r="BC32" s="26"/>
      <c r="BD32" s="7"/>
      <c r="BE32" s="26"/>
      <c r="BF32" s="7">
        <v>3200</v>
      </c>
      <c r="BG32" s="26" t="s">
        <v>1469</v>
      </c>
      <c r="BH32" s="7"/>
      <c r="BI32" s="26"/>
      <c r="BJ32" s="7"/>
      <c r="BK32" s="26"/>
      <c r="BL32" s="7"/>
      <c r="BM32" s="26"/>
      <c r="BN32" s="7"/>
      <c r="BO32" s="26"/>
      <c r="BP32" s="7"/>
      <c r="BQ32" s="26"/>
      <c r="BR32" s="7"/>
      <c r="BS32" s="26"/>
      <c r="BT32" s="7"/>
      <c r="BU32" s="26"/>
      <c r="BV32" s="7"/>
      <c r="BW32" s="26"/>
      <c r="BX32" s="7"/>
      <c r="BY32" s="26"/>
      <c r="BZ32" s="7"/>
      <c r="CA32" s="26"/>
      <c r="CB32" s="7"/>
      <c r="CC32" s="26"/>
      <c r="CD32" s="7"/>
      <c r="CE32" s="26"/>
      <c r="CF32" s="7"/>
      <c r="CG32" s="26"/>
      <c r="CH32" s="7"/>
      <c r="CI32" s="26"/>
      <c r="CJ32" s="7"/>
      <c r="CK32" s="26"/>
      <c r="CL32" s="7"/>
      <c r="CM32" s="26"/>
      <c r="CN32" s="7"/>
      <c r="CO32" s="26"/>
      <c r="CP32" s="7"/>
      <c r="CQ32" s="26"/>
      <c r="CR32" s="7"/>
      <c r="CS32" s="26"/>
      <c r="CT32" s="7"/>
      <c r="CU32" s="26"/>
      <c r="CV32" s="7"/>
      <c r="CW32" s="26"/>
      <c r="CX32" s="7"/>
      <c r="CY32" s="26"/>
      <c r="CZ32" s="7"/>
      <c r="DA32" s="26"/>
      <c r="DB32" s="7"/>
      <c r="DC32" s="26"/>
      <c r="DD32" s="7"/>
      <c r="DE32" s="26"/>
      <c r="DF32" s="7"/>
      <c r="DG32" s="26"/>
      <c r="DH32" s="7"/>
      <c r="DI32" s="26"/>
      <c r="DJ32" s="7"/>
      <c r="DK32" s="26"/>
      <c r="DL32" s="7"/>
      <c r="DM32" s="26"/>
      <c r="DN32" s="7"/>
      <c r="DO32" s="26"/>
      <c r="DP32" s="7"/>
      <c r="DQ32" s="26"/>
      <c r="DR32" s="7"/>
      <c r="DS32" s="26"/>
      <c r="DT32" s="7"/>
      <c r="DU32" s="26"/>
      <c r="DV32" s="7"/>
      <c r="DW32" s="26"/>
      <c r="DX32" s="7"/>
      <c r="DY32" s="26"/>
      <c r="DZ32" s="7"/>
      <c r="EA32" s="26"/>
      <c r="EB32" s="7"/>
      <c r="EC32" s="26"/>
      <c r="ED32" s="7"/>
      <c r="EE32" s="26"/>
      <c r="EF32" s="7"/>
      <c r="EG32" s="26"/>
      <c r="EH32" s="7"/>
      <c r="EI32" s="26"/>
      <c r="EJ32" s="7"/>
      <c r="EK32" s="26"/>
      <c r="EL32" s="7"/>
    </row>
    <row r="33" spans="1:142" s="9" customFormat="1" x14ac:dyDescent="0.2">
      <c r="A33" s="41"/>
      <c r="B33" s="7"/>
      <c r="C33" s="26"/>
      <c r="D33" s="7"/>
      <c r="E33" s="26"/>
      <c r="F33" s="7"/>
      <c r="G33" s="26"/>
      <c r="H33" s="7"/>
      <c r="I33" s="26"/>
      <c r="J33" s="7"/>
      <c r="K33" s="26"/>
      <c r="L33" s="7"/>
      <c r="M33" s="26"/>
      <c r="N33" s="7"/>
      <c r="O33" s="26"/>
      <c r="P33" s="7"/>
      <c r="Q33" s="26"/>
      <c r="R33" s="7"/>
      <c r="S33" s="26"/>
      <c r="T33" s="7"/>
      <c r="U33" s="26"/>
      <c r="V33" s="7"/>
      <c r="W33" s="26"/>
      <c r="X33" s="7"/>
      <c r="Y33" s="26"/>
      <c r="Z33" s="7"/>
      <c r="AA33" s="26"/>
      <c r="AB33" s="7"/>
      <c r="AC33" s="26"/>
      <c r="AD33" s="7"/>
      <c r="AE33" s="26"/>
      <c r="AF33" s="7">
        <v>875.23</v>
      </c>
      <c r="AG33" s="26" t="s">
        <v>868</v>
      </c>
      <c r="AH33" s="7"/>
      <c r="AI33" s="26"/>
      <c r="AJ33" s="7"/>
      <c r="AK33" s="26"/>
      <c r="AL33" s="7"/>
      <c r="AM33" s="26"/>
      <c r="AN33" s="7"/>
      <c r="AO33" s="26"/>
      <c r="AP33" s="7">
        <v>1106.9000000000001</v>
      </c>
      <c r="AQ33" s="26" t="s">
        <v>1032</v>
      </c>
      <c r="AR33" s="7"/>
      <c r="AS33" s="26"/>
      <c r="AT33" s="7"/>
      <c r="AU33" s="26"/>
      <c r="AV33" s="7"/>
      <c r="AW33" s="26"/>
      <c r="AX33" s="7"/>
      <c r="AY33" s="26"/>
      <c r="AZ33" s="7"/>
      <c r="BA33" s="26"/>
      <c r="BB33" s="7"/>
      <c r="BC33" s="26"/>
      <c r="BD33" s="7"/>
      <c r="BE33" s="26"/>
      <c r="BF33" s="7">
        <v>11.95</v>
      </c>
      <c r="BG33" s="26" t="s">
        <v>1474</v>
      </c>
      <c r="BH33" s="7"/>
      <c r="BI33" s="26"/>
      <c r="BJ33" s="7"/>
      <c r="BK33" s="26"/>
      <c r="BL33" s="7"/>
      <c r="BM33" s="26"/>
      <c r="BN33" s="7"/>
      <c r="BO33" s="26"/>
      <c r="BP33" s="7"/>
      <c r="BQ33" s="26"/>
      <c r="BR33" s="7"/>
      <c r="BS33" s="26"/>
      <c r="BT33" s="7"/>
      <c r="BU33" s="26"/>
      <c r="BV33" s="7"/>
      <c r="BW33" s="26"/>
      <c r="BX33" s="7"/>
      <c r="BY33" s="26"/>
      <c r="BZ33" s="7"/>
      <c r="CA33" s="26"/>
      <c r="CB33" s="7"/>
      <c r="CC33" s="26"/>
      <c r="CD33" s="7"/>
      <c r="CE33" s="26"/>
      <c r="CF33" s="7"/>
      <c r="CG33" s="26"/>
      <c r="CH33" s="7"/>
      <c r="CI33" s="26"/>
      <c r="CJ33" s="7"/>
      <c r="CK33" s="26"/>
      <c r="CL33" s="7"/>
      <c r="CM33" s="26"/>
      <c r="CN33" s="7"/>
      <c r="CO33" s="26"/>
      <c r="CP33" s="7"/>
      <c r="CQ33" s="26"/>
      <c r="CR33" s="7"/>
      <c r="CS33" s="26"/>
      <c r="CT33" s="7"/>
      <c r="CU33" s="26"/>
      <c r="CV33" s="7"/>
      <c r="CW33" s="26"/>
      <c r="CX33" s="7"/>
      <c r="CY33" s="26"/>
      <c r="CZ33" s="7"/>
      <c r="DA33" s="26"/>
      <c r="DB33" s="7"/>
      <c r="DC33" s="26"/>
      <c r="DD33" s="7"/>
      <c r="DE33" s="26"/>
      <c r="DF33" s="7"/>
      <c r="DG33" s="26"/>
      <c r="DH33" s="7"/>
      <c r="DI33" s="26"/>
      <c r="DJ33" s="7"/>
      <c r="DK33" s="26"/>
      <c r="DL33" s="7"/>
      <c r="DM33" s="26"/>
      <c r="DN33" s="7"/>
      <c r="DO33" s="26"/>
      <c r="DP33" s="7"/>
      <c r="DQ33" s="26"/>
      <c r="DR33" s="7"/>
      <c r="DS33" s="26"/>
      <c r="DT33" s="7"/>
      <c r="DU33" s="26"/>
      <c r="DV33" s="7"/>
      <c r="DW33" s="26"/>
      <c r="DX33" s="7"/>
      <c r="DY33" s="26"/>
      <c r="DZ33" s="7"/>
      <c r="EA33" s="26"/>
      <c r="EB33" s="7"/>
      <c r="EC33" s="26"/>
      <c r="ED33" s="7"/>
      <c r="EE33" s="26"/>
      <c r="EF33" s="7"/>
      <c r="EG33" s="26"/>
      <c r="EH33" s="7"/>
      <c r="EI33" s="26"/>
      <c r="EJ33" s="7"/>
      <c r="EK33" s="26"/>
      <c r="EL33" s="7"/>
    </row>
    <row r="34" spans="1:142" s="9" customFormat="1" x14ac:dyDescent="0.2">
      <c r="A34" s="41"/>
      <c r="B34" s="7"/>
      <c r="C34" s="26"/>
      <c r="D34" s="7"/>
      <c r="E34" s="26"/>
      <c r="F34" s="7"/>
      <c r="G34" s="26"/>
      <c r="H34" s="7"/>
      <c r="I34" s="26"/>
      <c r="J34" s="7"/>
      <c r="K34" s="26"/>
      <c r="L34" s="7"/>
      <c r="M34" s="26"/>
      <c r="N34" s="7"/>
      <c r="O34" s="26"/>
      <c r="P34" s="7"/>
      <c r="Q34" s="26"/>
      <c r="R34" s="7"/>
      <c r="S34" s="26"/>
      <c r="T34" s="7"/>
      <c r="U34" s="26"/>
      <c r="V34" s="7"/>
      <c r="W34" s="26"/>
      <c r="X34" s="7"/>
      <c r="Y34" s="26"/>
      <c r="Z34" s="7"/>
      <c r="AA34" s="26"/>
      <c r="AB34" s="7"/>
      <c r="AC34" s="26"/>
      <c r="AD34" s="7"/>
      <c r="AE34" s="26"/>
      <c r="AF34" s="7">
        <v>579.55999999999995</v>
      </c>
      <c r="AG34" s="26" t="s">
        <v>871</v>
      </c>
      <c r="AH34" s="7"/>
      <c r="AI34" s="26"/>
      <c r="AJ34" s="7"/>
      <c r="AK34" s="26"/>
      <c r="AL34" s="7"/>
      <c r="AM34" s="26"/>
      <c r="AN34" s="7"/>
      <c r="AO34" s="26"/>
      <c r="AP34" s="7">
        <v>1910.49</v>
      </c>
      <c r="AQ34" s="26" t="s">
        <v>1033</v>
      </c>
      <c r="AR34" s="7"/>
      <c r="AS34" s="26"/>
      <c r="AT34" s="7"/>
      <c r="AU34" s="26"/>
      <c r="AV34" s="7"/>
      <c r="AW34" s="26"/>
      <c r="AX34" s="7"/>
      <c r="AY34" s="26"/>
      <c r="AZ34" s="7"/>
      <c r="BA34" s="26"/>
      <c r="BB34" s="7"/>
      <c r="BC34" s="26"/>
      <c r="BD34" s="7"/>
      <c r="BE34" s="26"/>
      <c r="BF34" s="72">
        <v>539.71</v>
      </c>
      <c r="BG34" s="24" t="s">
        <v>1456</v>
      </c>
      <c r="BH34" s="7"/>
      <c r="BI34" s="26"/>
      <c r="BJ34" s="7"/>
      <c r="BK34" s="26"/>
      <c r="BL34" s="7"/>
      <c r="BM34" s="26"/>
      <c r="BN34" s="7"/>
      <c r="BO34" s="26"/>
      <c r="BP34" s="7"/>
      <c r="BQ34" s="26"/>
      <c r="BR34" s="7"/>
      <c r="BS34" s="26"/>
      <c r="BT34" s="7"/>
      <c r="BU34" s="26"/>
      <c r="BV34" s="7"/>
      <c r="BW34" s="26"/>
      <c r="BX34" s="7"/>
      <c r="BY34" s="26"/>
      <c r="BZ34" s="7"/>
      <c r="CA34" s="26"/>
      <c r="CB34" s="7"/>
      <c r="CC34" s="26"/>
      <c r="CD34" s="7"/>
      <c r="CE34" s="26"/>
      <c r="CF34" s="7"/>
      <c r="CG34" s="26"/>
      <c r="CH34" s="7"/>
      <c r="CI34" s="26"/>
      <c r="CJ34" s="7"/>
      <c r="CK34" s="26"/>
      <c r="CL34" s="7"/>
      <c r="CM34" s="26"/>
      <c r="CN34" s="7"/>
      <c r="CO34" s="26"/>
      <c r="CP34" s="7"/>
      <c r="CQ34" s="26"/>
      <c r="CR34" s="7"/>
      <c r="CS34" s="26"/>
      <c r="CT34" s="7"/>
      <c r="CU34" s="26"/>
      <c r="CV34" s="7"/>
      <c r="CW34" s="26"/>
      <c r="CX34" s="7"/>
      <c r="CY34" s="26"/>
      <c r="CZ34" s="7"/>
      <c r="DA34" s="26"/>
      <c r="DB34" s="7"/>
      <c r="DC34" s="26"/>
      <c r="DD34" s="7"/>
      <c r="DE34" s="26"/>
      <c r="DF34" s="7"/>
      <c r="DG34" s="26"/>
      <c r="DH34" s="7"/>
      <c r="DI34" s="26"/>
      <c r="DJ34" s="7"/>
      <c r="DK34" s="26"/>
      <c r="DL34" s="7"/>
      <c r="DM34" s="26"/>
      <c r="DN34" s="7"/>
      <c r="DO34" s="26"/>
      <c r="DP34" s="7"/>
      <c r="DQ34" s="26"/>
      <c r="DR34" s="7"/>
      <c r="DS34" s="26"/>
      <c r="DT34" s="7"/>
      <c r="DU34" s="26"/>
      <c r="DV34" s="7"/>
      <c r="DW34" s="26"/>
      <c r="DX34" s="7"/>
      <c r="DY34" s="26"/>
      <c r="DZ34" s="7"/>
      <c r="EA34" s="26"/>
      <c r="EB34" s="7"/>
      <c r="EC34" s="26"/>
      <c r="ED34" s="7"/>
      <c r="EE34" s="26"/>
      <c r="EF34" s="7"/>
      <c r="EG34" s="26"/>
      <c r="EH34" s="7"/>
      <c r="EI34" s="26"/>
      <c r="EJ34" s="7"/>
      <c r="EK34" s="26"/>
      <c r="EL34" s="7"/>
    </row>
    <row r="35" spans="1:142" s="9" customFormat="1" x14ac:dyDescent="0.2">
      <c r="A35" s="41"/>
      <c r="B35" s="7"/>
      <c r="C35" s="26"/>
      <c r="D35" s="7"/>
      <c r="E35" s="26"/>
      <c r="F35" s="7"/>
      <c r="G35" s="26"/>
      <c r="H35" s="7"/>
      <c r="I35" s="26"/>
      <c r="J35" s="7"/>
      <c r="K35" s="26"/>
      <c r="L35" s="7"/>
      <c r="M35" s="26"/>
      <c r="N35" s="7"/>
      <c r="O35" s="26"/>
      <c r="P35" s="7"/>
      <c r="Q35" s="26"/>
      <c r="R35" s="7"/>
      <c r="S35" s="26"/>
      <c r="T35" s="7"/>
      <c r="U35" s="26"/>
      <c r="V35" s="7"/>
      <c r="W35" s="26"/>
      <c r="X35" s="7"/>
      <c r="Y35" s="26"/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>
        <v>456.44</v>
      </c>
      <c r="AQ35" s="26" t="s">
        <v>1034</v>
      </c>
      <c r="AR35" s="7"/>
      <c r="AS35" s="26"/>
      <c r="AT35" s="7"/>
      <c r="AU35" s="26"/>
      <c r="AV35" s="7"/>
      <c r="AW35" s="26"/>
      <c r="AX35" s="7"/>
      <c r="AY35" s="26"/>
      <c r="AZ35" s="7"/>
      <c r="BA35" s="26"/>
      <c r="BB35" s="7"/>
      <c r="BC35" s="26"/>
      <c r="BD35" s="7"/>
      <c r="BE35" s="26"/>
      <c r="BF35" s="7"/>
      <c r="BG35" s="26"/>
      <c r="BH35" s="7"/>
      <c r="BI35" s="26"/>
      <c r="BJ35" s="7"/>
      <c r="BK35" s="26"/>
      <c r="BL35" s="7"/>
      <c r="BM35" s="26"/>
      <c r="BN35" s="7"/>
      <c r="BO35" s="26"/>
      <c r="BP35" s="7"/>
      <c r="BQ35" s="26"/>
      <c r="BR35" s="7"/>
      <c r="BS35" s="26"/>
      <c r="BT35" s="7"/>
      <c r="BU35" s="26"/>
      <c r="BV35" s="7"/>
      <c r="BW35" s="26"/>
      <c r="BX35" s="7"/>
      <c r="BY35" s="26"/>
      <c r="BZ35" s="7"/>
      <c r="CA35" s="26"/>
      <c r="CB35" s="7"/>
      <c r="CC35" s="26"/>
      <c r="CD35" s="7"/>
      <c r="CE35" s="26"/>
      <c r="CF35" s="7"/>
      <c r="CG35" s="26"/>
      <c r="CH35" s="7"/>
      <c r="CI35" s="26"/>
      <c r="CJ35" s="7"/>
      <c r="CK35" s="26"/>
      <c r="CL35" s="7"/>
      <c r="CM35" s="26"/>
      <c r="CN35" s="7"/>
      <c r="CO35" s="26"/>
      <c r="CP35" s="7"/>
      <c r="CQ35" s="26"/>
      <c r="CR35" s="7"/>
      <c r="CS35" s="26"/>
      <c r="CT35" s="7"/>
      <c r="CU35" s="26"/>
      <c r="CV35" s="7"/>
      <c r="CW35" s="26"/>
      <c r="CX35" s="7"/>
      <c r="CY35" s="26"/>
      <c r="CZ35" s="7"/>
      <c r="DA35" s="26"/>
      <c r="DB35" s="7"/>
      <c r="DC35" s="26"/>
      <c r="DD35" s="7"/>
      <c r="DE35" s="26"/>
      <c r="DF35" s="7"/>
      <c r="DG35" s="26"/>
      <c r="DH35" s="7"/>
      <c r="DI35" s="26"/>
      <c r="DJ35" s="7"/>
      <c r="DK35" s="26"/>
      <c r="DL35" s="7"/>
      <c r="DM35" s="26"/>
      <c r="DN35" s="7"/>
      <c r="DO35" s="26"/>
      <c r="DP35" s="7"/>
      <c r="DQ35" s="26"/>
      <c r="DR35" s="7"/>
      <c r="DS35" s="26"/>
      <c r="DT35" s="7"/>
      <c r="DU35" s="26"/>
      <c r="DV35" s="7"/>
      <c r="DW35" s="26"/>
      <c r="DX35" s="7"/>
      <c r="DY35" s="26"/>
      <c r="DZ35" s="7"/>
      <c r="EA35" s="26"/>
      <c r="EB35" s="7"/>
      <c r="EC35" s="26"/>
      <c r="ED35" s="7"/>
      <c r="EE35" s="26"/>
      <c r="EF35" s="7"/>
      <c r="EG35" s="26"/>
      <c r="EH35" s="7"/>
      <c r="EI35" s="26"/>
      <c r="EJ35" s="7"/>
      <c r="EK35" s="26"/>
      <c r="EL35" s="7"/>
    </row>
    <row r="36" spans="1:142" s="9" customFormat="1" x14ac:dyDescent="0.2">
      <c r="A36" s="41"/>
      <c r="B36" s="7"/>
      <c r="C36" s="26"/>
      <c r="D36" s="7"/>
      <c r="E36" s="26"/>
      <c r="F36" s="7"/>
      <c r="G36" s="26"/>
      <c r="H36" s="7"/>
      <c r="I36" s="26"/>
      <c r="J36" s="7"/>
      <c r="K36" s="26"/>
      <c r="L36" s="7"/>
      <c r="M36" s="26"/>
      <c r="N36" s="7"/>
      <c r="O36" s="26"/>
      <c r="P36" s="7"/>
      <c r="Q36" s="26"/>
      <c r="R36" s="7"/>
      <c r="S36" s="26"/>
      <c r="T36" s="7"/>
      <c r="U36" s="26"/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>
        <v>387.21</v>
      </c>
      <c r="AQ36" s="26" t="s">
        <v>1033</v>
      </c>
      <c r="AR36" s="7"/>
      <c r="AS36" s="26"/>
      <c r="AT36" s="7"/>
      <c r="AU36" s="26"/>
      <c r="AV36" s="7"/>
      <c r="AW36" s="26"/>
      <c r="AX36" s="7"/>
      <c r="AY36" s="26"/>
      <c r="AZ36" s="7"/>
      <c r="BA36" s="26"/>
      <c r="BB36" s="7"/>
      <c r="BC36" s="26"/>
      <c r="BD36" s="7"/>
      <c r="BE36" s="26"/>
      <c r="BF36" s="7"/>
      <c r="BG36" s="26"/>
      <c r="BH36" s="7"/>
      <c r="BI36" s="26"/>
      <c r="BJ36" s="7"/>
      <c r="BK36" s="26"/>
      <c r="BL36" s="7"/>
      <c r="BM36" s="26"/>
      <c r="BN36" s="7"/>
      <c r="BO36" s="26"/>
      <c r="BP36" s="7"/>
      <c r="BQ36" s="26"/>
      <c r="BR36" s="7"/>
      <c r="BS36" s="26"/>
      <c r="BT36" s="7"/>
      <c r="BU36" s="26"/>
      <c r="BV36" s="7"/>
      <c r="BW36" s="26"/>
      <c r="BX36" s="7"/>
      <c r="BY36" s="26"/>
      <c r="BZ36" s="7"/>
      <c r="CA36" s="26"/>
      <c r="CB36" s="7"/>
      <c r="CC36" s="26"/>
      <c r="CD36" s="7"/>
      <c r="CE36" s="26"/>
      <c r="CF36" s="7"/>
      <c r="CG36" s="26"/>
      <c r="CH36" s="7"/>
      <c r="CI36" s="26"/>
      <c r="CJ36" s="7"/>
      <c r="CK36" s="26"/>
      <c r="CL36" s="7"/>
      <c r="CM36" s="26"/>
      <c r="CN36" s="7"/>
      <c r="CO36" s="26"/>
      <c r="CP36" s="7"/>
      <c r="CQ36" s="26"/>
      <c r="CR36" s="7"/>
      <c r="CS36" s="26"/>
      <c r="CT36" s="7"/>
      <c r="CU36" s="26"/>
      <c r="CV36" s="7"/>
      <c r="CW36" s="26"/>
      <c r="CX36" s="7"/>
      <c r="CY36" s="26"/>
      <c r="CZ36" s="7"/>
      <c r="DA36" s="26"/>
      <c r="DB36" s="7"/>
      <c r="DC36" s="26"/>
      <c r="DD36" s="7"/>
      <c r="DE36" s="26"/>
      <c r="DF36" s="7"/>
      <c r="DG36" s="26"/>
      <c r="DH36" s="7"/>
      <c r="DI36" s="26"/>
      <c r="DJ36" s="7"/>
      <c r="DK36" s="26"/>
      <c r="DL36" s="7"/>
      <c r="DM36" s="26"/>
      <c r="DN36" s="7"/>
      <c r="DO36" s="26"/>
      <c r="DP36" s="7"/>
      <c r="DQ36" s="26"/>
      <c r="DR36" s="7"/>
      <c r="DS36" s="26"/>
      <c r="DT36" s="7"/>
      <c r="DU36" s="26"/>
      <c r="DV36" s="7"/>
      <c r="DW36" s="26"/>
      <c r="DX36" s="7"/>
      <c r="DY36" s="26"/>
      <c r="DZ36" s="7"/>
      <c r="EA36" s="26"/>
      <c r="EB36" s="7"/>
      <c r="EC36" s="26"/>
      <c r="ED36" s="7"/>
      <c r="EE36" s="26"/>
      <c r="EF36" s="7"/>
      <c r="EG36" s="26"/>
      <c r="EH36" s="7"/>
      <c r="EI36" s="26"/>
      <c r="EJ36" s="7"/>
      <c r="EK36" s="26"/>
      <c r="EL36" s="7"/>
    </row>
    <row r="37" spans="1:142" s="9" customFormat="1" x14ac:dyDescent="0.2">
      <c r="A37" s="41"/>
      <c r="B37" s="7"/>
      <c r="C37" s="26"/>
      <c r="D37" s="7"/>
      <c r="E37" s="26"/>
      <c r="F37" s="7"/>
      <c r="G37" s="26"/>
      <c r="H37" s="7"/>
      <c r="I37" s="26"/>
      <c r="J37" s="7"/>
      <c r="K37" s="26"/>
      <c r="L37" s="7"/>
      <c r="M37" s="26"/>
      <c r="N37" s="7"/>
      <c r="O37" s="26"/>
      <c r="P37" s="7"/>
      <c r="Q37" s="26"/>
      <c r="R37" s="7"/>
      <c r="S37" s="26"/>
      <c r="T37" s="7"/>
      <c r="U37" s="26"/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>
        <v>76.069999999999993</v>
      </c>
      <c r="AQ37" s="26" t="s">
        <v>1035</v>
      </c>
      <c r="AR37" s="7"/>
      <c r="AS37" s="26"/>
      <c r="AT37" s="7"/>
      <c r="AU37" s="26"/>
      <c r="AV37" s="7"/>
      <c r="AW37" s="26"/>
      <c r="AX37" s="7"/>
      <c r="AY37" s="26"/>
      <c r="AZ37" s="7"/>
      <c r="BA37" s="26"/>
      <c r="BB37" s="7"/>
      <c r="BC37" s="26"/>
      <c r="BD37" s="7"/>
      <c r="BE37" s="26"/>
      <c r="BF37" s="7"/>
      <c r="BG37" s="26"/>
      <c r="BH37" s="7"/>
      <c r="BI37" s="26"/>
      <c r="BJ37" s="7"/>
      <c r="BK37" s="26"/>
      <c r="BL37" s="7"/>
      <c r="BM37" s="26"/>
      <c r="BN37" s="7"/>
      <c r="BO37" s="26"/>
      <c r="BP37" s="7"/>
      <c r="BQ37" s="26"/>
      <c r="BR37" s="7"/>
      <c r="BS37" s="26"/>
      <c r="BT37" s="7"/>
      <c r="BU37" s="26"/>
      <c r="BV37" s="7"/>
      <c r="BW37" s="26"/>
      <c r="BX37" s="7"/>
      <c r="BY37" s="26"/>
      <c r="BZ37" s="7"/>
      <c r="CA37" s="26"/>
      <c r="CB37" s="7"/>
      <c r="CC37" s="26"/>
      <c r="CD37" s="7"/>
      <c r="CE37" s="26"/>
      <c r="CF37" s="7"/>
      <c r="CG37" s="26"/>
      <c r="CH37" s="7"/>
      <c r="CI37" s="26"/>
      <c r="CJ37" s="7"/>
      <c r="CK37" s="26"/>
      <c r="CL37" s="7"/>
      <c r="CM37" s="26"/>
      <c r="CN37" s="7"/>
      <c r="CO37" s="26"/>
      <c r="CP37" s="7"/>
      <c r="CQ37" s="26"/>
      <c r="CR37" s="7"/>
      <c r="CS37" s="26"/>
      <c r="CT37" s="7"/>
      <c r="CU37" s="26"/>
      <c r="CV37" s="7"/>
      <c r="CW37" s="26"/>
      <c r="CX37" s="7"/>
      <c r="CY37" s="26"/>
      <c r="CZ37" s="7"/>
      <c r="DA37" s="26"/>
      <c r="DB37" s="7"/>
      <c r="DC37" s="26"/>
      <c r="DD37" s="7"/>
      <c r="DE37" s="26"/>
      <c r="DF37" s="7"/>
      <c r="DG37" s="26"/>
      <c r="DH37" s="7"/>
      <c r="DI37" s="26"/>
      <c r="DJ37" s="7"/>
      <c r="DK37" s="26"/>
      <c r="DL37" s="7"/>
      <c r="DM37" s="26"/>
      <c r="DN37" s="7"/>
      <c r="DO37" s="26"/>
      <c r="DP37" s="7"/>
      <c r="DQ37" s="26"/>
      <c r="DR37" s="7"/>
      <c r="DS37" s="26"/>
      <c r="DT37" s="7"/>
      <c r="DU37" s="26"/>
      <c r="DV37" s="7"/>
      <c r="DW37" s="26"/>
      <c r="DX37" s="7"/>
      <c r="DY37" s="26"/>
      <c r="DZ37" s="7"/>
      <c r="EA37" s="26"/>
      <c r="EB37" s="7"/>
      <c r="EC37" s="26"/>
      <c r="ED37" s="7"/>
      <c r="EE37" s="26"/>
      <c r="EF37" s="7"/>
      <c r="EG37" s="26"/>
      <c r="EH37" s="7"/>
      <c r="EI37" s="26"/>
      <c r="EJ37" s="7"/>
      <c r="EK37" s="26"/>
      <c r="EL37" s="7"/>
    </row>
    <row r="38" spans="1:142" s="9" customFormat="1" x14ac:dyDescent="0.2">
      <c r="A38" s="41"/>
      <c r="B38" s="7"/>
      <c r="C38" s="26"/>
      <c r="D38" s="7"/>
      <c r="E38" s="26"/>
      <c r="F38" s="7"/>
      <c r="G38" s="26"/>
      <c r="H38" s="7"/>
      <c r="I38" s="26"/>
      <c r="J38" s="7"/>
      <c r="K38" s="26"/>
      <c r="L38" s="7"/>
      <c r="M38" s="26"/>
      <c r="N38" s="7"/>
      <c r="O38" s="26"/>
      <c r="P38" s="7"/>
      <c r="Q38" s="26"/>
      <c r="R38" s="7"/>
      <c r="S38" s="26"/>
      <c r="T38" s="7"/>
      <c r="U38" s="26"/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7"/>
      <c r="BA38" s="26"/>
      <c r="BB38" s="7"/>
      <c r="BC38" s="26"/>
      <c r="BD38" s="7"/>
      <c r="BE38" s="26"/>
      <c r="BF38" s="7"/>
      <c r="BG38" s="26"/>
      <c r="BH38" s="7"/>
      <c r="BI38" s="26"/>
      <c r="BJ38" s="7"/>
      <c r="BK38" s="26"/>
      <c r="BL38" s="7"/>
      <c r="BM38" s="26"/>
      <c r="BN38" s="7"/>
      <c r="BO38" s="26"/>
      <c r="BP38" s="7"/>
      <c r="BQ38" s="26"/>
      <c r="BR38" s="7"/>
      <c r="BS38" s="26"/>
      <c r="BT38" s="7"/>
      <c r="BU38" s="26"/>
      <c r="BV38" s="7"/>
      <c r="BW38" s="26"/>
      <c r="BX38" s="7"/>
      <c r="BY38" s="26"/>
      <c r="BZ38" s="7"/>
      <c r="CA38" s="26"/>
      <c r="CB38" s="7"/>
      <c r="CC38" s="26"/>
      <c r="CD38" s="7"/>
      <c r="CE38" s="26"/>
      <c r="CF38" s="7"/>
      <c r="CG38" s="26"/>
      <c r="CH38" s="7"/>
      <c r="CI38" s="26"/>
      <c r="CJ38" s="7"/>
      <c r="CK38" s="26"/>
      <c r="CL38" s="7"/>
      <c r="CM38" s="26"/>
      <c r="CN38" s="7"/>
      <c r="CO38" s="26"/>
      <c r="CP38" s="7"/>
      <c r="CQ38" s="26"/>
      <c r="CR38" s="7"/>
      <c r="CS38" s="26"/>
      <c r="CT38" s="7"/>
      <c r="CU38" s="26"/>
      <c r="CV38" s="7"/>
      <c r="CW38" s="26"/>
      <c r="CX38" s="7"/>
      <c r="CY38" s="26"/>
      <c r="CZ38" s="7"/>
      <c r="DA38" s="26"/>
      <c r="DB38" s="7"/>
      <c r="DC38" s="26"/>
      <c r="DD38" s="7"/>
      <c r="DE38" s="26"/>
      <c r="DF38" s="7"/>
      <c r="DG38" s="26"/>
      <c r="DH38" s="7"/>
      <c r="DI38" s="26"/>
      <c r="DJ38" s="7"/>
      <c r="DK38" s="26"/>
      <c r="DL38" s="7"/>
      <c r="DM38" s="26"/>
      <c r="DN38" s="7"/>
      <c r="DO38" s="26"/>
      <c r="DP38" s="7"/>
      <c r="DQ38" s="26"/>
      <c r="DR38" s="7"/>
      <c r="DS38" s="26"/>
      <c r="DT38" s="7"/>
      <c r="DU38" s="26"/>
      <c r="DV38" s="7"/>
      <c r="DW38" s="26"/>
      <c r="DX38" s="7"/>
      <c r="DY38" s="26"/>
      <c r="DZ38" s="7"/>
      <c r="EA38" s="26"/>
      <c r="EB38" s="7"/>
      <c r="EC38" s="26"/>
      <c r="ED38" s="7"/>
      <c r="EE38" s="26"/>
      <c r="EF38" s="7"/>
      <c r="EG38" s="26"/>
      <c r="EH38" s="7"/>
      <c r="EI38" s="26"/>
      <c r="EJ38" s="7"/>
      <c r="EK38" s="26"/>
      <c r="EL38" s="7"/>
    </row>
    <row r="39" spans="1:142" s="9" customFormat="1" x14ac:dyDescent="0.2">
      <c r="A39" s="41"/>
      <c r="B39" s="7"/>
      <c r="C39" s="26"/>
      <c r="D39" s="7"/>
      <c r="E39" s="26"/>
      <c r="F39" s="7"/>
      <c r="G39" s="26"/>
      <c r="H39" s="7"/>
      <c r="I39" s="26"/>
      <c r="J39" s="7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7"/>
      <c r="BA39" s="26"/>
      <c r="BB39" s="7"/>
      <c r="BC39" s="26"/>
      <c r="BD39" s="7"/>
      <c r="BE39" s="26"/>
      <c r="BF39" s="7"/>
      <c r="BG39" s="26"/>
      <c r="BH39" s="7"/>
      <c r="BI39" s="26"/>
      <c r="BJ39" s="7"/>
      <c r="BK39" s="26"/>
      <c r="BL39" s="7"/>
      <c r="BM39" s="26"/>
      <c r="BN39" s="7"/>
      <c r="BO39" s="26"/>
      <c r="BP39" s="7"/>
      <c r="BQ39" s="26"/>
      <c r="BR39" s="7"/>
      <c r="BS39" s="26"/>
      <c r="BT39" s="7"/>
      <c r="BU39" s="26"/>
      <c r="BV39" s="7"/>
      <c r="BW39" s="26"/>
      <c r="BX39" s="7"/>
      <c r="BY39" s="26"/>
      <c r="BZ39" s="7"/>
      <c r="CA39" s="26"/>
      <c r="CB39" s="7"/>
      <c r="CC39" s="26"/>
      <c r="CD39" s="7"/>
      <c r="CE39" s="26"/>
      <c r="CF39" s="7"/>
      <c r="CG39" s="26"/>
      <c r="CH39" s="7"/>
      <c r="CI39" s="26"/>
      <c r="CJ39" s="7"/>
      <c r="CK39" s="26"/>
      <c r="CL39" s="7"/>
      <c r="CM39" s="26"/>
      <c r="CN39" s="7"/>
      <c r="CO39" s="26"/>
      <c r="CP39" s="7"/>
      <c r="CQ39" s="26"/>
      <c r="CR39" s="7"/>
      <c r="CS39" s="26"/>
      <c r="CT39" s="7"/>
      <c r="CU39" s="26"/>
      <c r="CV39" s="7"/>
      <c r="CW39" s="26"/>
      <c r="CX39" s="7"/>
      <c r="CY39" s="26"/>
      <c r="CZ39" s="7"/>
      <c r="DA39" s="26"/>
      <c r="DB39" s="7"/>
      <c r="DC39" s="26"/>
      <c r="DD39" s="7"/>
      <c r="DE39" s="26"/>
      <c r="DF39" s="7"/>
      <c r="DG39" s="26"/>
      <c r="DH39" s="7"/>
      <c r="DI39" s="26"/>
      <c r="DJ39" s="7"/>
      <c r="DK39" s="26"/>
      <c r="DL39" s="7"/>
      <c r="DM39" s="26"/>
      <c r="DN39" s="7"/>
      <c r="DO39" s="26"/>
      <c r="DP39" s="7"/>
      <c r="DQ39" s="26"/>
      <c r="DR39" s="7"/>
      <c r="DS39" s="26"/>
      <c r="DT39" s="7"/>
      <c r="DU39" s="26"/>
      <c r="DV39" s="7"/>
      <c r="DW39" s="26"/>
      <c r="DX39" s="7"/>
      <c r="DY39" s="26"/>
      <c r="DZ39" s="7"/>
      <c r="EA39" s="26"/>
      <c r="EB39" s="7"/>
      <c r="EC39" s="26"/>
      <c r="ED39" s="7"/>
      <c r="EE39" s="26"/>
      <c r="EF39" s="7"/>
      <c r="EG39" s="26"/>
      <c r="EH39" s="7"/>
      <c r="EI39" s="26"/>
      <c r="EJ39" s="7"/>
      <c r="EK39" s="26"/>
      <c r="EL39" s="7"/>
    </row>
    <row r="40" spans="1:142" s="9" customFormat="1" x14ac:dyDescent="0.2">
      <c r="A40" s="41"/>
      <c r="B40" s="7"/>
      <c r="C40" s="26"/>
      <c r="D40" s="7"/>
      <c r="E40" s="26"/>
      <c r="F40" s="7"/>
      <c r="G40" s="26"/>
      <c r="H40" s="7"/>
      <c r="I40" s="26"/>
      <c r="J40" s="7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7"/>
      <c r="BA40" s="26"/>
      <c r="BB40" s="7"/>
      <c r="BC40" s="26"/>
      <c r="BD40" s="7"/>
      <c r="BE40" s="26"/>
      <c r="BF40" s="7"/>
      <c r="BG40" s="26"/>
      <c r="BH40" s="7"/>
      <c r="BI40" s="26"/>
      <c r="BJ40" s="7"/>
      <c r="BK40" s="26"/>
      <c r="BL40" s="7"/>
      <c r="BM40" s="26"/>
      <c r="BN40" s="7"/>
      <c r="BO40" s="26"/>
      <c r="BP40" s="7"/>
      <c r="BQ40" s="26"/>
      <c r="BR40" s="7"/>
      <c r="BS40" s="26"/>
      <c r="BT40" s="7"/>
      <c r="BU40" s="26"/>
      <c r="BV40" s="7"/>
      <c r="BW40" s="26"/>
      <c r="BX40" s="7"/>
      <c r="BY40" s="26"/>
      <c r="BZ40" s="7"/>
      <c r="CA40" s="26"/>
      <c r="CB40" s="7"/>
      <c r="CC40" s="26"/>
      <c r="CD40" s="7"/>
      <c r="CE40" s="26"/>
      <c r="CF40" s="7"/>
      <c r="CG40" s="26"/>
      <c r="CH40" s="7"/>
      <c r="CI40" s="26"/>
      <c r="CJ40" s="7"/>
      <c r="CK40" s="26"/>
      <c r="CL40" s="7"/>
      <c r="CM40" s="26"/>
      <c r="CN40" s="7"/>
      <c r="CO40" s="26"/>
      <c r="CP40" s="7"/>
      <c r="CQ40" s="26"/>
      <c r="CR40" s="7"/>
      <c r="CS40" s="26"/>
      <c r="CT40" s="7"/>
      <c r="CU40" s="26"/>
      <c r="CV40" s="7"/>
      <c r="CW40" s="26"/>
      <c r="CX40" s="7"/>
      <c r="CY40" s="26"/>
      <c r="CZ40" s="7"/>
      <c r="DA40" s="26"/>
      <c r="DB40" s="7"/>
      <c r="DC40" s="26"/>
      <c r="DD40" s="7"/>
      <c r="DE40" s="26"/>
      <c r="DF40" s="7"/>
      <c r="DG40" s="26"/>
      <c r="DH40" s="7"/>
      <c r="DI40" s="26"/>
      <c r="DJ40" s="7"/>
      <c r="DK40" s="26"/>
      <c r="DL40" s="7"/>
      <c r="DM40" s="26"/>
      <c r="DN40" s="7"/>
      <c r="DO40" s="26"/>
      <c r="DP40" s="7"/>
      <c r="DQ40" s="26"/>
      <c r="DR40" s="7"/>
      <c r="DS40" s="26"/>
      <c r="DT40" s="7"/>
      <c r="DU40" s="26"/>
      <c r="DV40" s="7"/>
      <c r="DW40" s="26"/>
      <c r="DX40" s="7"/>
      <c r="DY40" s="26"/>
      <c r="DZ40" s="7"/>
      <c r="EA40" s="26"/>
      <c r="EB40" s="7"/>
      <c r="EC40" s="26"/>
      <c r="ED40" s="7"/>
      <c r="EE40" s="26"/>
      <c r="EF40" s="7"/>
      <c r="EG40" s="26"/>
      <c r="EH40" s="7"/>
      <c r="EI40" s="26"/>
      <c r="EJ40" s="7"/>
      <c r="EK40" s="26"/>
      <c r="EL40" s="7"/>
    </row>
    <row r="41" spans="1:142" s="9" customFormat="1" x14ac:dyDescent="0.2">
      <c r="A41" s="41"/>
      <c r="B41" s="7"/>
      <c r="C41" s="26"/>
      <c r="D41" s="7"/>
      <c r="E41" s="26"/>
      <c r="F41" s="7"/>
      <c r="G41" s="26"/>
      <c r="H41" s="7"/>
      <c r="I41" s="26"/>
      <c r="J41" s="7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7"/>
      <c r="AE41" s="26"/>
      <c r="AF41" s="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7"/>
      <c r="BA41" s="26"/>
      <c r="BB41" s="7"/>
      <c r="BC41" s="26"/>
      <c r="BD41" s="7"/>
      <c r="BE41" s="26"/>
      <c r="BF41" s="7"/>
      <c r="BG41" s="26"/>
      <c r="BH41" s="7"/>
      <c r="BI41" s="26"/>
      <c r="BJ41" s="7"/>
      <c r="BK41" s="26"/>
      <c r="BL41" s="7"/>
      <c r="BM41" s="26"/>
      <c r="BN41" s="7"/>
      <c r="BO41" s="26"/>
      <c r="BP41" s="7"/>
      <c r="BQ41" s="26"/>
      <c r="BR41" s="7"/>
      <c r="BS41" s="26"/>
      <c r="BT41" s="7"/>
      <c r="BU41" s="26"/>
      <c r="BV41" s="7"/>
      <c r="BW41" s="26"/>
      <c r="BX41" s="7"/>
      <c r="BY41" s="26"/>
      <c r="BZ41" s="7"/>
      <c r="CA41" s="26"/>
      <c r="CB41" s="7"/>
      <c r="CC41" s="26"/>
      <c r="CD41" s="7"/>
      <c r="CE41" s="26"/>
      <c r="CF41" s="7"/>
      <c r="CG41" s="26"/>
      <c r="CH41" s="7"/>
      <c r="CI41" s="26"/>
      <c r="CJ41" s="7"/>
      <c r="CK41" s="26"/>
      <c r="CL41" s="7"/>
      <c r="CM41" s="26"/>
      <c r="CN41" s="7"/>
      <c r="CO41" s="26"/>
      <c r="CP41" s="7"/>
      <c r="CQ41" s="26"/>
      <c r="CR41" s="7"/>
      <c r="CS41" s="26"/>
      <c r="CT41" s="7"/>
      <c r="CU41" s="26"/>
      <c r="CV41" s="7"/>
      <c r="CW41" s="26"/>
      <c r="CX41" s="7"/>
      <c r="CY41" s="26"/>
      <c r="CZ41" s="7"/>
      <c r="DA41" s="26"/>
      <c r="DB41" s="7"/>
      <c r="DC41" s="26"/>
      <c r="DD41" s="7"/>
      <c r="DE41" s="26"/>
      <c r="DF41" s="7"/>
      <c r="DG41" s="26"/>
      <c r="DH41" s="7"/>
      <c r="DI41" s="26"/>
      <c r="DJ41" s="7"/>
      <c r="DK41" s="26"/>
      <c r="DL41" s="7"/>
      <c r="DM41" s="26"/>
      <c r="DN41" s="7"/>
      <c r="DO41" s="26"/>
      <c r="DP41" s="7"/>
      <c r="DQ41" s="26"/>
      <c r="DR41" s="7"/>
      <c r="DS41" s="26"/>
      <c r="DT41" s="7"/>
      <c r="DU41" s="26"/>
      <c r="DV41" s="7"/>
      <c r="DW41" s="26"/>
      <c r="DX41" s="7"/>
      <c r="DY41" s="26"/>
      <c r="DZ41" s="7"/>
      <c r="EA41" s="26"/>
      <c r="EB41" s="7"/>
      <c r="EC41" s="26"/>
      <c r="ED41" s="7"/>
      <c r="EE41" s="26"/>
      <c r="EF41" s="7"/>
      <c r="EG41" s="26"/>
      <c r="EH41" s="7"/>
      <c r="EI41" s="26"/>
      <c r="EJ41" s="7"/>
      <c r="EK41" s="26"/>
      <c r="EL41" s="7"/>
    </row>
    <row r="42" spans="1:142" s="9" customFormat="1" x14ac:dyDescent="0.2">
      <c r="A42" s="41"/>
      <c r="B42" s="7"/>
      <c r="C42" s="26"/>
      <c r="D42" s="7"/>
      <c r="E42" s="26"/>
      <c r="F42" s="7"/>
      <c r="G42" s="26"/>
      <c r="H42" s="7"/>
      <c r="I42" s="26"/>
      <c r="J42" s="7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7"/>
      <c r="BA42" s="26"/>
      <c r="BB42" s="7"/>
      <c r="BC42" s="26"/>
      <c r="BD42" s="7"/>
      <c r="BE42" s="26"/>
      <c r="BF42" s="7"/>
      <c r="BG42" s="26"/>
      <c r="BH42" s="7"/>
      <c r="BI42" s="26"/>
      <c r="BJ42" s="7"/>
      <c r="BK42" s="26"/>
      <c r="BL42" s="7"/>
      <c r="BM42" s="26"/>
      <c r="BN42" s="7"/>
      <c r="BO42" s="26"/>
      <c r="BP42" s="7"/>
      <c r="BQ42" s="26"/>
      <c r="BR42" s="7"/>
      <c r="BS42" s="26"/>
      <c r="BT42" s="7"/>
      <c r="BU42" s="26"/>
      <c r="BV42" s="7"/>
      <c r="BW42" s="26"/>
      <c r="BX42" s="7"/>
      <c r="BY42" s="26"/>
      <c r="BZ42" s="7"/>
      <c r="CA42" s="26"/>
      <c r="CB42" s="7"/>
      <c r="CC42" s="26"/>
      <c r="CD42" s="7"/>
      <c r="CE42" s="26"/>
      <c r="CF42" s="7"/>
      <c r="CG42" s="26"/>
      <c r="CH42" s="7"/>
      <c r="CI42" s="26"/>
      <c r="CJ42" s="7"/>
      <c r="CK42" s="26"/>
      <c r="CL42" s="7"/>
      <c r="CM42" s="26"/>
      <c r="CN42" s="7"/>
      <c r="CO42" s="26"/>
      <c r="CP42" s="7"/>
      <c r="CQ42" s="26"/>
      <c r="CR42" s="7"/>
      <c r="CS42" s="26"/>
      <c r="CT42" s="7"/>
      <c r="CU42" s="26"/>
      <c r="CV42" s="7"/>
      <c r="CW42" s="26"/>
      <c r="CX42" s="7"/>
      <c r="CY42" s="26"/>
      <c r="CZ42" s="7"/>
      <c r="DA42" s="26"/>
      <c r="DB42" s="7"/>
      <c r="DC42" s="26"/>
      <c r="DD42" s="7"/>
      <c r="DE42" s="26"/>
      <c r="DF42" s="7"/>
      <c r="DG42" s="26"/>
      <c r="DH42" s="7"/>
      <c r="DI42" s="26"/>
      <c r="DJ42" s="7"/>
      <c r="DK42" s="26"/>
      <c r="DL42" s="7"/>
      <c r="DM42" s="26"/>
      <c r="DN42" s="7"/>
      <c r="DO42" s="26"/>
      <c r="DP42" s="7"/>
      <c r="DQ42" s="26"/>
      <c r="DR42" s="7"/>
      <c r="DS42" s="26"/>
      <c r="DT42" s="7"/>
      <c r="DU42" s="26"/>
      <c r="DV42" s="7"/>
      <c r="DW42" s="26"/>
      <c r="DX42" s="7"/>
      <c r="DY42" s="26"/>
      <c r="DZ42" s="7"/>
      <c r="EA42" s="26"/>
      <c r="EB42" s="7"/>
      <c r="EC42" s="26"/>
      <c r="ED42" s="7"/>
      <c r="EE42" s="26"/>
      <c r="EF42" s="7"/>
      <c r="EG42" s="26"/>
      <c r="EH42" s="7"/>
      <c r="EI42" s="26"/>
      <c r="EJ42" s="7"/>
      <c r="EK42" s="26"/>
      <c r="EL42" s="7"/>
    </row>
    <row r="43" spans="1:142" s="9" customFormat="1" x14ac:dyDescent="0.2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7"/>
      <c r="BA43" s="26"/>
      <c r="BB43" s="7"/>
      <c r="BC43" s="26"/>
      <c r="BD43" s="7"/>
      <c r="BE43" s="26"/>
      <c r="BF43" s="7"/>
      <c r="BG43" s="26"/>
      <c r="BH43" s="7"/>
      <c r="BI43" s="26"/>
      <c r="BJ43" s="7"/>
      <c r="BK43" s="26"/>
      <c r="BL43" s="7"/>
      <c r="BM43" s="26"/>
      <c r="BN43" s="7"/>
      <c r="BO43" s="26"/>
      <c r="BP43" s="7"/>
      <c r="BQ43" s="26"/>
      <c r="BR43" s="7"/>
      <c r="BS43" s="26"/>
      <c r="BT43" s="7"/>
      <c r="BU43" s="26"/>
      <c r="BV43" s="7"/>
      <c r="BW43" s="26"/>
      <c r="BX43" s="7"/>
      <c r="BY43" s="26"/>
      <c r="BZ43" s="7"/>
      <c r="CA43" s="26"/>
      <c r="CB43" s="7"/>
      <c r="CC43" s="26"/>
      <c r="CD43" s="7"/>
      <c r="CE43" s="26"/>
      <c r="CF43" s="7"/>
      <c r="CG43" s="26"/>
      <c r="CH43" s="7"/>
      <c r="CI43" s="26"/>
      <c r="CJ43" s="7"/>
      <c r="CK43" s="26"/>
      <c r="CL43" s="7"/>
      <c r="CM43" s="26"/>
      <c r="CN43" s="7"/>
      <c r="CO43" s="26"/>
      <c r="CP43" s="7"/>
      <c r="CQ43" s="26"/>
      <c r="CR43" s="7"/>
      <c r="CS43" s="26"/>
      <c r="CT43" s="7"/>
      <c r="CU43" s="26"/>
      <c r="CV43" s="7"/>
      <c r="CW43" s="26"/>
      <c r="CX43" s="7"/>
      <c r="CY43" s="26"/>
      <c r="CZ43" s="7"/>
      <c r="DA43" s="26"/>
      <c r="DB43" s="7"/>
      <c r="DC43" s="26"/>
      <c r="DD43" s="7"/>
      <c r="DE43" s="26"/>
      <c r="DF43" s="7"/>
      <c r="DG43" s="26"/>
      <c r="DH43" s="7"/>
      <c r="DI43" s="26"/>
      <c r="DJ43" s="7"/>
      <c r="DK43" s="26"/>
      <c r="DL43" s="7"/>
      <c r="DM43" s="26"/>
      <c r="DN43" s="7"/>
      <c r="DO43" s="26"/>
      <c r="DP43" s="7"/>
      <c r="DQ43" s="26"/>
      <c r="DR43" s="7"/>
      <c r="DS43" s="26"/>
      <c r="DT43" s="7"/>
      <c r="DU43" s="26"/>
      <c r="DV43" s="7"/>
      <c r="DW43" s="26"/>
      <c r="DX43" s="7"/>
      <c r="DY43" s="26"/>
      <c r="DZ43" s="7"/>
      <c r="EA43" s="26"/>
      <c r="EB43" s="7"/>
      <c r="EC43" s="26"/>
      <c r="ED43" s="7"/>
      <c r="EE43" s="26"/>
      <c r="EF43" s="7"/>
      <c r="EG43" s="26"/>
      <c r="EH43" s="7"/>
      <c r="EI43" s="26"/>
      <c r="EJ43" s="7"/>
      <c r="EK43" s="26"/>
      <c r="EL43" s="7"/>
    </row>
    <row r="44" spans="1:142" s="9" customFormat="1" x14ac:dyDescent="0.2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7"/>
      <c r="BA44" s="26"/>
      <c r="BB44" s="7"/>
      <c r="BC44" s="26"/>
      <c r="BD44" s="7"/>
      <c r="BE44" s="26"/>
      <c r="BF44" s="7"/>
      <c r="BG44" s="26"/>
      <c r="BH44" s="7"/>
      <c r="BI44" s="26"/>
      <c r="BJ44" s="7"/>
      <c r="BK44" s="26"/>
      <c r="BL44" s="7"/>
      <c r="BM44" s="26"/>
      <c r="BN44" s="7"/>
      <c r="BO44" s="26"/>
      <c r="BP44" s="7"/>
      <c r="BQ44" s="26"/>
      <c r="BR44" s="7"/>
      <c r="BS44" s="26"/>
      <c r="BT44" s="7"/>
      <c r="BU44" s="26"/>
      <c r="BV44" s="7"/>
      <c r="BW44" s="26"/>
      <c r="BX44" s="7"/>
      <c r="BY44" s="26"/>
      <c r="BZ44" s="7"/>
      <c r="CA44" s="26"/>
      <c r="CB44" s="7"/>
      <c r="CC44" s="26"/>
      <c r="CD44" s="7"/>
      <c r="CE44" s="26"/>
      <c r="CF44" s="7"/>
      <c r="CG44" s="26"/>
      <c r="CH44" s="7"/>
      <c r="CI44" s="26"/>
      <c r="CJ44" s="7"/>
      <c r="CK44" s="26"/>
      <c r="CL44" s="7"/>
      <c r="CM44" s="26"/>
      <c r="CN44" s="7"/>
      <c r="CO44" s="26"/>
      <c r="CP44" s="7"/>
      <c r="CQ44" s="26"/>
      <c r="CR44" s="7"/>
      <c r="CS44" s="26"/>
      <c r="CT44" s="7"/>
      <c r="CU44" s="26"/>
      <c r="CV44" s="7"/>
      <c r="CW44" s="26"/>
      <c r="CX44" s="7"/>
      <c r="CY44" s="26"/>
      <c r="CZ44" s="7"/>
      <c r="DA44" s="26"/>
      <c r="DB44" s="7"/>
      <c r="DC44" s="26"/>
      <c r="DD44" s="7"/>
      <c r="DE44" s="26"/>
      <c r="DF44" s="7"/>
      <c r="DG44" s="26"/>
      <c r="DH44" s="7"/>
      <c r="DI44" s="26"/>
      <c r="DJ44" s="7"/>
      <c r="DK44" s="26"/>
      <c r="DL44" s="7"/>
      <c r="DM44" s="26"/>
      <c r="DN44" s="7"/>
      <c r="DO44" s="26"/>
      <c r="DP44" s="7"/>
      <c r="DQ44" s="26"/>
      <c r="DR44" s="7"/>
      <c r="DS44" s="26"/>
      <c r="DT44" s="7"/>
      <c r="DU44" s="26"/>
      <c r="DV44" s="7"/>
      <c r="DW44" s="26"/>
      <c r="DX44" s="7"/>
      <c r="DY44" s="26"/>
      <c r="DZ44" s="7"/>
      <c r="EA44" s="26"/>
      <c r="EB44" s="7"/>
      <c r="EC44" s="26"/>
      <c r="ED44" s="7"/>
      <c r="EE44" s="26"/>
      <c r="EF44" s="7"/>
      <c r="EG44" s="26"/>
      <c r="EH44" s="7"/>
      <c r="EI44" s="26"/>
      <c r="EJ44" s="7"/>
      <c r="EK44" s="26"/>
      <c r="EL44" s="7"/>
    </row>
    <row r="45" spans="1:142" s="9" customFormat="1" x14ac:dyDescent="0.2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7"/>
      <c r="BA45" s="26"/>
      <c r="BB45" s="7"/>
      <c r="BC45" s="26"/>
      <c r="BD45" s="7"/>
      <c r="BE45" s="26"/>
      <c r="BF45" s="7"/>
      <c r="BG45" s="26"/>
      <c r="BH45" s="7"/>
      <c r="BI45" s="26"/>
      <c r="BJ45" s="7"/>
      <c r="BK45" s="26"/>
      <c r="BL45" s="7"/>
      <c r="BM45" s="26"/>
      <c r="BN45" s="7"/>
      <c r="BO45" s="26"/>
      <c r="BP45" s="7"/>
      <c r="BQ45" s="26"/>
      <c r="BR45" s="7"/>
      <c r="BS45" s="26"/>
      <c r="BT45" s="7"/>
      <c r="BU45" s="26"/>
      <c r="BV45" s="7"/>
      <c r="BW45" s="26"/>
      <c r="BX45" s="7"/>
      <c r="BY45" s="26"/>
      <c r="BZ45" s="7"/>
      <c r="CA45" s="26"/>
      <c r="CB45" s="7"/>
      <c r="CC45" s="26"/>
      <c r="CD45" s="7"/>
      <c r="CE45" s="26"/>
      <c r="CF45" s="7"/>
      <c r="CG45" s="26"/>
      <c r="CH45" s="7"/>
      <c r="CI45" s="26"/>
      <c r="CJ45" s="7"/>
      <c r="CK45" s="26"/>
      <c r="CL45" s="7"/>
      <c r="CM45" s="26"/>
      <c r="CN45" s="7"/>
      <c r="CO45" s="26"/>
      <c r="CP45" s="7"/>
      <c r="CQ45" s="26"/>
      <c r="CR45" s="7"/>
      <c r="CS45" s="26"/>
      <c r="CT45" s="7"/>
      <c r="CU45" s="26"/>
      <c r="CV45" s="7"/>
      <c r="CW45" s="26"/>
      <c r="CX45" s="7"/>
      <c r="CY45" s="26"/>
      <c r="CZ45" s="7"/>
      <c r="DA45" s="26"/>
      <c r="DB45" s="7"/>
      <c r="DC45" s="26"/>
      <c r="DD45" s="7"/>
      <c r="DE45" s="26"/>
      <c r="DF45" s="7"/>
      <c r="DG45" s="26"/>
      <c r="DH45" s="7"/>
      <c r="DI45" s="26"/>
      <c r="DJ45" s="7"/>
      <c r="DK45" s="26"/>
      <c r="DL45" s="7"/>
      <c r="DM45" s="26"/>
      <c r="DN45" s="7"/>
      <c r="DO45" s="26"/>
      <c r="DP45" s="7"/>
      <c r="DQ45" s="26"/>
      <c r="DR45" s="7"/>
      <c r="DS45" s="26"/>
      <c r="DT45" s="7"/>
      <c r="DU45" s="26"/>
      <c r="DV45" s="7"/>
      <c r="DW45" s="26"/>
      <c r="DX45" s="7"/>
      <c r="DY45" s="26"/>
      <c r="DZ45" s="7"/>
      <c r="EA45" s="26"/>
      <c r="EB45" s="7"/>
      <c r="EC45" s="26"/>
      <c r="ED45" s="7"/>
      <c r="EE45" s="26"/>
      <c r="EF45" s="7"/>
      <c r="EG45" s="26"/>
      <c r="EH45" s="7"/>
      <c r="EI45" s="26"/>
      <c r="EJ45" s="7"/>
      <c r="EK45" s="26"/>
      <c r="EL45" s="7"/>
    </row>
    <row r="46" spans="1:142" s="9" customFormat="1" x14ac:dyDescent="0.2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7"/>
      <c r="BA46" s="26"/>
      <c r="BB46" s="7"/>
      <c r="BC46" s="26"/>
      <c r="BD46" s="7"/>
      <c r="BE46" s="26"/>
      <c r="BF46" s="7"/>
      <c r="BG46" s="26"/>
      <c r="BH46" s="7"/>
      <c r="BI46" s="26"/>
      <c r="BJ46" s="7"/>
      <c r="BK46" s="26"/>
      <c r="BL46" s="7"/>
      <c r="BM46" s="26"/>
      <c r="BN46" s="7"/>
      <c r="BO46" s="26"/>
      <c r="BP46" s="7"/>
      <c r="BQ46" s="26"/>
      <c r="BR46" s="7"/>
      <c r="BS46" s="26"/>
      <c r="BT46" s="7"/>
      <c r="BU46" s="26"/>
      <c r="BV46" s="7"/>
      <c r="BW46" s="26"/>
      <c r="BX46" s="7"/>
      <c r="BY46" s="26"/>
      <c r="BZ46" s="7"/>
      <c r="CA46" s="26"/>
      <c r="CB46" s="7"/>
      <c r="CC46" s="26"/>
      <c r="CD46" s="7"/>
      <c r="CE46" s="26"/>
      <c r="CF46" s="7"/>
      <c r="CG46" s="26"/>
      <c r="CH46" s="7"/>
      <c r="CI46" s="26"/>
      <c r="CJ46" s="7"/>
      <c r="CK46" s="26"/>
      <c r="CL46" s="7"/>
      <c r="CM46" s="26"/>
      <c r="CN46" s="7"/>
      <c r="CO46" s="26"/>
      <c r="CP46" s="7"/>
      <c r="CQ46" s="26"/>
      <c r="CR46" s="7"/>
      <c r="CS46" s="26"/>
      <c r="CT46" s="7"/>
      <c r="CU46" s="26"/>
      <c r="CV46" s="7"/>
      <c r="CW46" s="26"/>
      <c r="CX46" s="7"/>
      <c r="CY46" s="26"/>
      <c r="CZ46" s="7"/>
      <c r="DA46" s="26"/>
      <c r="DB46" s="7"/>
      <c r="DC46" s="26"/>
      <c r="DD46" s="7"/>
      <c r="DE46" s="26"/>
      <c r="DF46" s="7"/>
      <c r="DG46" s="26"/>
      <c r="DH46" s="7"/>
      <c r="DI46" s="26"/>
      <c r="DJ46" s="7"/>
      <c r="DK46" s="26"/>
      <c r="DL46" s="7"/>
      <c r="DM46" s="26"/>
      <c r="DN46" s="7"/>
      <c r="DO46" s="26"/>
      <c r="DP46" s="7"/>
      <c r="DQ46" s="26"/>
      <c r="DR46" s="7"/>
      <c r="DS46" s="26"/>
      <c r="DT46" s="7"/>
      <c r="DU46" s="26"/>
      <c r="DV46" s="7"/>
      <c r="DW46" s="26"/>
      <c r="DX46" s="7"/>
      <c r="DY46" s="26"/>
      <c r="DZ46" s="7"/>
      <c r="EA46" s="26"/>
      <c r="EB46" s="7"/>
      <c r="EC46" s="26"/>
      <c r="ED46" s="7"/>
      <c r="EE46" s="26"/>
      <c r="EF46" s="7"/>
      <c r="EG46" s="26"/>
      <c r="EH46" s="7"/>
      <c r="EI46" s="26"/>
      <c r="EJ46" s="7"/>
      <c r="EK46" s="26"/>
      <c r="EL46" s="7"/>
    </row>
    <row r="47" spans="1:142" s="9" customFormat="1" x14ac:dyDescent="0.2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7"/>
      <c r="BA47" s="26"/>
      <c r="BB47" s="7"/>
      <c r="BC47" s="26"/>
      <c r="BD47" s="7"/>
      <c r="BE47" s="26"/>
      <c r="BF47" s="7"/>
      <c r="BG47" s="26"/>
      <c r="BH47" s="7"/>
      <c r="BI47" s="26"/>
      <c r="BJ47" s="7"/>
      <c r="BK47" s="26"/>
      <c r="BL47" s="7"/>
      <c r="BM47" s="26"/>
      <c r="BN47" s="7"/>
      <c r="BO47" s="26"/>
      <c r="BP47" s="7"/>
      <c r="BQ47" s="26"/>
      <c r="BR47" s="7"/>
      <c r="BS47" s="26"/>
      <c r="BT47" s="7"/>
      <c r="BU47" s="26"/>
      <c r="BV47" s="7"/>
      <c r="BW47" s="26"/>
      <c r="BX47" s="7"/>
      <c r="BY47" s="26"/>
      <c r="BZ47" s="7"/>
      <c r="CA47" s="26"/>
      <c r="CB47" s="7"/>
      <c r="CC47" s="26"/>
      <c r="CD47" s="7"/>
      <c r="CE47" s="26"/>
      <c r="CF47" s="7"/>
      <c r="CG47" s="26"/>
      <c r="CH47" s="7"/>
      <c r="CI47" s="26"/>
      <c r="CJ47" s="7"/>
      <c r="CK47" s="26"/>
      <c r="CL47" s="7"/>
      <c r="CM47" s="26"/>
      <c r="CN47" s="7"/>
      <c r="CO47" s="26"/>
      <c r="CP47" s="7"/>
      <c r="CQ47" s="26"/>
      <c r="CR47" s="7"/>
      <c r="CS47" s="26"/>
      <c r="CT47" s="7"/>
      <c r="CU47" s="26"/>
      <c r="CV47" s="7"/>
      <c r="CW47" s="26"/>
      <c r="CX47" s="7"/>
      <c r="CY47" s="26"/>
      <c r="CZ47" s="7"/>
      <c r="DA47" s="26"/>
      <c r="DB47" s="7"/>
      <c r="DC47" s="26"/>
      <c r="DD47" s="7"/>
      <c r="DE47" s="26"/>
      <c r="DF47" s="7"/>
      <c r="DG47" s="26"/>
      <c r="DH47" s="7"/>
      <c r="DI47" s="26"/>
      <c r="DJ47" s="7"/>
      <c r="DK47" s="26"/>
      <c r="DL47" s="7"/>
      <c r="DM47" s="26"/>
      <c r="DN47" s="7"/>
      <c r="DO47" s="26"/>
      <c r="DP47" s="7"/>
      <c r="DQ47" s="26"/>
      <c r="DR47" s="7"/>
      <c r="DS47" s="26"/>
      <c r="DT47" s="7"/>
      <c r="DU47" s="26"/>
      <c r="DV47" s="7"/>
      <c r="DW47" s="26"/>
      <c r="DX47" s="7"/>
      <c r="DY47" s="26"/>
      <c r="DZ47" s="7"/>
      <c r="EA47" s="26"/>
      <c r="EB47" s="7"/>
      <c r="EC47" s="26"/>
      <c r="ED47" s="7"/>
      <c r="EE47" s="26"/>
      <c r="EF47" s="7"/>
      <c r="EG47" s="26"/>
      <c r="EH47" s="7"/>
      <c r="EI47" s="26"/>
      <c r="EJ47" s="7"/>
      <c r="EK47" s="26"/>
      <c r="EL47" s="7"/>
    </row>
    <row r="48" spans="1:142" s="9" customFormat="1" x14ac:dyDescent="0.2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7"/>
      <c r="BA48" s="26"/>
      <c r="BB48" s="7"/>
      <c r="BC48" s="26"/>
      <c r="BD48" s="7"/>
      <c r="BE48" s="26"/>
      <c r="BF48" s="7"/>
      <c r="BG48" s="26"/>
      <c r="BH48" s="7"/>
      <c r="BI48" s="26"/>
      <c r="BJ48" s="7"/>
      <c r="BK48" s="26"/>
      <c r="BL48" s="7"/>
      <c r="BM48" s="26"/>
      <c r="BN48" s="7"/>
      <c r="BO48" s="26"/>
      <c r="BP48" s="7"/>
      <c r="BQ48" s="26"/>
      <c r="BR48" s="7"/>
      <c r="BS48" s="26"/>
      <c r="BT48" s="7"/>
      <c r="BU48" s="26"/>
      <c r="BV48" s="7"/>
      <c r="BW48" s="26"/>
      <c r="BX48" s="7"/>
      <c r="BY48" s="26"/>
      <c r="BZ48" s="7"/>
      <c r="CA48" s="26"/>
      <c r="CB48" s="7"/>
      <c r="CC48" s="26"/>
      <c r="CD48" s="7"/>
      <c r="CE48" s="26"/>
      <c r="CF48" s="7"/>
      <c r="CG48" s="26"/>
      <c r="CH48" s="7"/>
      <c r="CI48" s="26"/>
      <c r="CJ48" s="7"/>
      <c r="CK48" s="26"/>
      <c r="CL48" s="7"/>
      <c r="CM48" s="26"/>
      <c r="CN48" s="7"/>
      <c r="CO48" s="26"/>
      <c r="CP48" s="7"/>
      <c r="CQ48" s="26"/>
      <c r="CR48" s="7"/>
      <c r="CS48" s="26"/>
      <c r="CT48" s="7"/>
      <c r="CU48" s="26"/>
      <c r="CV48" s="7"/>
      <c r="CW48" s="26"/>
      <c r="CX48" s="7"/>
      <c r="CY48" s="26"/>
      <c r="CZ48" s="7"/>
      <c r="DA48" s="26"/>
      <c r="DB48" s="7"/>
      <c r="DC48" s="26"/>
      <c r="DD48" s="7"/>
      <c r="DE48" s="26"/>
      <c r="DF48" s="7"/>
      <c r="DG48" s="26"/>
      <c r="DH48" s="7"/>
      <c r="DI48" s="26"/>
      <c r="DJ48" s="7"/>
      <c r="DK48" s="26"/>
      <c r="DL48" s="7"/>
      <c r="DM48" s="26"/>
      <c r="DN48" s="7"/>
      <c r="DO48" s="26"/>
      <c r="DP48" s="7"/>
      <c r="DQ48" s="26"/>
      <c r="DR48" s="7"/>
      <c r="DS48" s="26"/>
      <c r="DT48" s="7"/>
      <c r="DU48" s="26"/>
      <c r="DV48" s="7"/>
      <c r="DW48" s="26"/>
      <c r="DX48" s="7"/>
      <c r="DY48" s="26"/>
      <c r="DZ48" s="7"/>
      <c r="EA48" s="26"/>
      <c r="EB48" s="7"/>
      <c r="EC48" s="26"/>
      <c r="ED48" s="7"/>
      <c r="EE48" s="26"/>
      <c r="EF48" s="7"/>
      <c r="EG48" s="26"/>
      <c r="EH48" s="7"/>
      <c r="EI48" s="26"/>
      <c r="EJ48" s="7"/>
      <c r="EK48" s="26"/>
      <c r="EL48" s="7"/>
    </row>
    <row r="49" spans="1:142" s="9" customFormat="1" x14ac:dyDescent="0.2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7"/>
      <c r="BA49" s="26"/>
      <c r="BB49" s="7"/>
      <c r="BC49" s="26"/>
      <c r="BD49" s="7"/>
      <c r="BE49" s="26"/>
      <c r="BF49" s="7"/>
      <c r="BG49" s="26"/>
      <c r="BH49" s="7"/>
      <c r="BI49" s="26"/>
      <c r="BJ49" s="7"/>
      <c r="BK49" s="26"/>
      <c r="BL49" s="7"/>
      <c r="BM49" s="26"/>
      <c r="BN49" s="7"/>
      <c r="BO49" s="26"/>
      <c r="BP49" s="7"/>
      <c r="BQ49" s="26"/>
      <c r="BR49" s="7"/>
      <c r="BS49" s="26"/>
      <c r="BT49" s="7"/>
      <c r="BU49" s="26"/>
      <c r="BV49" s="7"/>
      <c r="BW49" s="26"/>
      <c r="BX49" s="7"/>
      <c r="BY49" s="26"/>
      <c r="BZ49" s="7"/>
      <c r="CA49" s="26"/>
      <c r="CB49" s="7"/>
      <c r="CC49" s="26"/>
      <c r="CD49" s="7"/>
      <c r="CE49" s="26"/>
      <c r="CF49" s="7"/>
      <c r="CG49" s="26"/>
      <c r="CH49" s="7"/>
      <c r="CI49" s="26"/>
      <c r="CJ49" s="7"/>
      <c r="CK49" s="26"/>
      <c r="CL49" s="7"/>
      <c r="CM49" s="26"/>
      <c r="CN49" s="7"/>
      <c r="CO49" s="26"/>
      <c r="CP49" s="7"/>
      <c r="CQ49" s="26"/>
      <c r="CR49" s="7"/>
      <c r="CS49" s="26"/>
      <c r="CT49" s="7"/>
      <c r="CU49" s="26"/>
      <c r="CV49" s="7"/>
      <c r="CW49" s="26"/>
      <c r="CX49" s="7"/>
      <c r="CY49" s="26"/>
      <c r="CZ49" s="7"/>
      <c r="DA49" s="26"/>
      <c r="DB49" s="7"/>
      <c r="DC49" s="26"/>
      <c r="DD49" s="7"/>
      <c r="DE49" s="26"/>
      <c r="DF49" s="7"/>
      <c r="DG49" s="26"/>
      <c r="DH49" s="7"/>
      <c r="DI49" s="26"/>
      <c r="DJ49" s="7"/>
      <c r="DK49" s="26"/>
      <c r="DL49" s="7"/>
      <c r="DM49" s="26"/>
      <c r="DN49" s="7"/>
      <c r="DO49" s="26"/>
      <c r="DP49" s="7"/>
      <c r="DQ49" s="26"/>
      <c r="DR49" s="7"/>
      <c r="DS49" s="26"/>
      <c r="DT49" s="7"/>
      <c r="DU49" s="26"/>
      <c r="DV49" s="7"/>
      <c r="DW49" s="26"/>
      <c r="DX49" s="7"/>
      <c r="DY49" s="26"/>
      <c r="DZ49" s="7"/>
      <c r="EA49" s="26"/>
      <c r="EB49" s="7"/>
      <c r="EC49" s="26"/>
      <c r="ED49" s="7"/>
      <c r="EE49" s="26"/>
      <c r="EF49" s="7"/>
      <c r="EG49" s="26"/>
      <c r="EH49" s="7"/>
      <c r="EI49" s="26"/>
      <c r="EJ49" s="7"/>
      <c r="EK49" s="26"/>
      <c r="EL49" s="7"/>
    </row>
    <row r="50" spans="1:142" s="9" customFormat="1" x14ac:dyDescent="0.2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7"/>
      <c r="BA50" s="26"/>
      <c r="BB50" s="7"/>
      <c r="BC50" s="26"/>
      <c r="BD50" s="7"/>
      <c r="BE50" s="26"/>
      <c r="BF50" s="7"/>
      <c r="BG50" s="26"/>
      <c r="BH50" s="7"/>
      <c r="BI50" s="26"/>
      <c r="BJ50" s="7"/>
      <c r="BK50" s="26"/>
      <c r="BL50" s="7"/>
      <c r="BM50" s="26"/>
      <c r="BN50" s="7"/>
      <c r="BO50" s="26"/>
      <c r="BP50" s="7"/>
      <c r="BQ50" s="26"/>
      <c r="BR50" s="7"/>
      <c r="BS50" s="26"/>
      <c r="BT50" s="7"/>
      <c r="BU50" s="26"/>
      <c r="BV50" s="7"/>
      <c r="BW50" s="26"/>
      <c r="BX50" s="7"/>
      <c r="BY50" s="26"/>
      <c r="BZ50" s="7"/>
      <c r="CA50" s="26"/>
      <c r="CB50" s="7"/>
      <c r="CC50" s="26"/>
      <c r="CD50" s="7"/>
      <c r="CE50" s="26"/>
      <c r="CF50" s="7"/>
      <c r="CG50" s="26"/>
      <c r="CH50" s="7"/>
      <c r="CI50" s="26"/>
      <c r="CJ50" s="7"/>
      <c r="CK50" s="26"/>
      <c r="CL50" s="7"/>
      <c r="CM50" s="26"/>
      <c r="CN50" s="7"/>
      <c r="CO50" s="26"/>
      <c r="CP50" s="7"/>
      <c r="CQ50" s="26"/>
      <c r="CR50" s="7"/>
      <c r="CS50" s="26"/>
      <c r="CT50" s="7"/>
      <c r="CU50" s="26"/>
      <c r="CV50" s="7"/>
      <c r="CW50" s="26"/>
      <c r="CX50" s="7"/>
      <c r="CY50" s="26"/>
      <c r="CZ50" s="7"/>
      <c r="DA50" s="26"/>
      <c r="DB50" s="7"/>
      <c r="DC50" s="26"/>
      <c r="DD50" s="7"/>
      <c r="DE50" s="26"/>
      <c r="DF50" s="7"/>
      <c r="DG50" s="26"/>
      <c r="DH50" s="7"/>
      <c r="DI50" s="26"/>
      <c r="DJ50" s="7"/>
      <c r="DK50" s="26"/>
      <c r="DL50" s="7"/>
      <c r="DM50" s="26"/>
      <c r="DN50" s="7"/>
      <c r="DO50" s="26"/>
      <c r="DP50" s="7"/>
      <c r="DQ50" s="26"/>
      <c r="DR50" s="7"/>
      <c r="DS50" s="26"/>
      <c r="DT50" s="7"/>
      <c r="DU50" s="26"/>
      <c r="DV50" s="7"/>
      <c r="DW50" s="26"/>
      <c r="DX50" s="7"/>
      <c r="DY50" s="26"/>
      <c r="DZ50" s="7"/>
      <c r="EA50" s="26"/>
      <c r="EB50" s="7"/>
      <c r="EC50" s="26"/>
      <c r="ED50" s="7"/>
      <c r="EE50" s="26"/>
      <c r="EF50" s="7"/>
      <c r="EG50" s="26"/>
      <c r="EH50" s="7"/>
      <c r="EI50" s="26"/>
      <c r="EJ50" s="7"/>
      <c r="EK50" s="26"/>
      <c r="EL50" s="7"/>
    </row>
    <row r="51" spans="1:142" s="66" customFormat="1" x14ac:dyDescent="0.2">
      <c r="A51" s="39" t="s">
        <v>1</v>
      </c>
      <c r="B51" s="8">
        <f>+B3+B4</f>
        <v>50980</v>
      </c>
      <c r="C51" s="16"/>
      <c r="D51" s="8">
        <f>+D3+D4</f>
        <v>298527.89</v>
      </c>
      <c r="E51" s="16"/>
      <c r="F51" s="8">
        <f>+F3+F4</f>
        <v>292267.78000000003</v>
      </c>
      <c r="G51" s="16"/>
      <c r="H51" s="8">
        <f>+H3+H4</f>
        <v>45851.98</v>
      </c>
      <c r="I51" s="16"/>
      <c r="J51" s="8">
        <f>+J3+J4</f>
        <v>152367.71</v>
      </c>
      <c r="K51" s="16"/>
      <c r="L51" s="8">
        <f>+L3+L4</f>
        <v>19110.21</v>
      </c>
      <c r="M51" s="16"/>
      <c r="N51" s="8">
        <f>+N3+N4</f>
        <v>213938.88</v>
      </c>
      <c r="O51" s="16"/>
      <c r="P51" s="8">
        <f>+P3+P4</f>
        <v>62330.3</v>
      </c>
      <c r="Q51" s="16"/>
      <c r="R51" s="8">
        <f>+R3+R4</f>
        <v>336633.27</v>
      </c>
      <c r="S51" s="16"/>
      <c r="T51" s="8">
        <f>+T3+T4</f>
        <v>30705.32</v>
      </c>
      <c r="U51" s="16"/>
      <c r="V51" s="8">
        <f>+V3+V4</f>
        <v>178154.05</v>
      </c>
      <c r="W51" s="16"/>
      <c r="X51" s="8">
        <f>+X3+X4</f>
        <v>223003.91</v>
      </c>
      <c r="Y51" s="16"/>
      <c r="Z51" s="8">
        <f>+Z3+Z4</f>
        <v>0</v>
      </c>
      <c r="AA51" s="16"/>
      <c r="AB51" s="8">
        <v>178078.37</v>
      </c>
      <c r="AC51" s="16"/>
      <c r="AD51" s="8">
        <v>100318.09</v>
      </c>
      <c r="AE51" s="16"/>
      <c r="AF51" s="8">
        <f>+AF3+AF4</f>
        <v>39993.74</v>
      </c>
      <c r="AG51" s="16"/>
      <c r="AH51" s="8">
        <v>88584.05</v>
      </c>
      <c r="AI51" s="16"/>
      <c r="AJ51" s="8">
        <f>+AJ3+AJ4</f>
        <v>36730.07</v>
      </c>
      <c r="AK51" s="16"/>
      <c r="AL51" s="8">
        <f>+AL3+AL4</f>
        <v>227491.43</v>
      </c>
      <c r="AM51" s="16"/>
      <c r="AN51" s="8">
        <f>+AN3+AN4</f>
        <v>0</v>
      </c>
      <c r="AO51" s="16"/>
      <c r="AP51" s="8">
        <f>+AP3+AP4</f>
        <v>84681.42</v>
      </c>
      <c r="AQ51" s="16"/>
      <c r="AR51" s="8">
        <f>+AR3+AR4</f>
        <v>74692.350000000006</v>
      </c>
      <c r="AS51" s="16"/>
      <c r="AT51" s="8">
        <f>+AT3+AT4</f>
        <v>460033.48</v>
      </c>
      <c r="AU51" s="16"/>
      <c r="AV51" s="8">
        <f>+AV3+AV4</f>
        <v>338442.02</v>
      </c>
      <c r="AW51" s="16"/>
      <c r="AX51" s="8">
        <f>+AX3+AX4</f>
        <v>203003</v>
      </c>
      <c r="AY51" s="16"/>
      <c r="AZ51" s="8">
        <f>+AZ3+AZ4</f>
        <v>37489.14</v>
      </c>
      <c r="BA51" s="16"/>
      <c r="BB51" s="8">
        <f>+BB3+BB4</f>
        <v>0</v>
      </c>
      <c r="BC51" s="16"/>
      <c r="BD51" s="8">
        <f>+BD3+BD4</f>
        <v>481638.71</v>
      </c>
      <c r="BE51" s="16"/>
      <c r="BF51" s="8">
        <f>+BF3+BF4</f>
        <v>356373.99</v>
      </c>
      <c r="BG51" s="16"/>
      <c r="BH51" s="8"/>
      <c r="BI51" s="16"/>
      <c r="BJ51" s="8">
        <f>+BJ3+BJ4</f>
        <v>0</v>
      </c>
      <c r="BK51" s="16"/>
      <c r="BL51" s="8"/>
      <c r="BM51" s="16"/>
      <c r="BN51" s="8"/>
      <c r="BO51" s="16"/>
      <c r="BP51" s="8"/>
      <c r="BQ51" s="16"/>
      <c r="BR51" s="8"/>
      <c r="BS51" s="16"/>
      <c r="BT51" s="8"/>
      <c r="BU51" s="16"/>
      <c r="BV51" s="8"/>
      <c r="BW51" s="16"/>
      <c r="BX51" s="8"/>
      <c r="BY51" s="16"/>
      <c r="BZ51" s="8"/>
      <c r="CA51" s="16"/>
      <c r="CB51" s="8"/>
      <c r="CC51" s="16"/>
      <c r="CD51" s="8"/>
      <c r="CE51" s="16"/>
      <c r="CF51" s="8"/>
      <c r="CG51" s="16"/>
      <c r="CH51" s="8"/>
      <c r="CI51" s="16"/>
      <c r="CJ51" s="8"/>
      <c r="CK51" s="16"/>
      <c r="CL51" s="8"/>
      <c r="CM51" s="16"/>
      <c r="CN51" s="8"/>
      <c r="CO51" s="16"/>
      <c r="CP51" s="8"/>
      <c r="CQ51" s="16"/>
      <c r="CR51" s="8"/>
      <c r="CS51" s="16"/>
      <c r="CT51" s="8"/>
      <c r="CU51" s="16"/>
      <c r="CV51" s="8"/>
      <c r="CW51" s="16"/>
      <c r="CX51" s="8"/>
      <c r="CY51" s="16"/>
      <c r="CZ51" s="8"/>
      <c r="DA51" s="16"/>
      <c r="DB51" s="8"/>
      <c r="DC51" s="16"/>
      <c r="DD51" s="8"/>
      <c r="DE51" s="16"/>
      <c r="DF51" s="8"/>
      <c r="DG51" s="16"/>
      <c r="DH51" s="8"/>
      <c r="DI51" s="16"/>
      <c r="DJ51" s="8"/>
      <c r="DK51" s="16"/>
      <c r="DL51" s="8"/>
      <c r="DM51" s="16"/>
      <c r="DN51" s="8"/>
      <c r="DO51" s="16"/>
      <c r="DP51" s="8"/>
      <c r="DQ51" s="16"/>
      <c r="DR51" s="8"/>
      <c r="DS51" s="16"/>
      <c r="DT51" s="8"/>
      <c r="DU51" s="16"/>
      <c r="DV51" s="8"/>
      <c r="DW51" s="16"/>
      <c r="DX51" s="8"/>
      <c r="DY51" s="16"/>
      <c r="DZ51" s="8"/>
      <c r="EA51" s="16"/>
      <c r="EB51" s="8"/>
      <c r="EC51" s="16"/>
      <c r="ED51" s="8"/>
      <c r="EE51" s="16"/>
      <c r="EF51" s="8"/>
      <c r="EG51" s="16"/>
      <c r="EH51" s="8"/>
      <c r="EI51" s="16"/>
      <c r="EJ51" s="8"/>
      <c r="EK51" s="16"/>
      <c r="EL51" s="8"/>
    </row>
    <row r="52" spans="1:142" s="60" customFormat="1" x14ac:dyDescent="0.2">
      <c r="A52" s="39" t="s">
        <v>2</v>
      </c>
      <c r="B52" s="16">
        <f>SUM(B5:B46)</f>
        <v>50979.999999999993</v>
      </c>
      <c r="C52" s="16"/>
      <c r="D52" s="16">
        <f>SUM(D5:D46)</f>
        <v>298527.87000000005</v>
      </c>
      <c r="E52" s="16"/>
      <c r="F52" s="16">
        <f>SUM(F5:F46)</f>
        <v>292267.78000000003</v>
      </c>
      <c r="G52" s="16"/>
      <c r="H52" s="16">
        <f>SUM(H5:H46)</f>
        <v>45851.979999999996</v>
      </c>
      <c r="I52" s="16"/>
      <c r="J52" s="16">
        <f>SUM(J5:J46)</f>
        <v>152367.70000000004</v>
      </c>
      <c r="K52" s="16"/>
      <c r="L52" s="16">
        <f>SUM(L5:L46)</f>
        <v>19110.210000000003</v>
      </c>
      <c r="M52" s="16"/>
      <c r="N52" s="16">
        <f>SUM(N5:N46)</f>
        <v>213938.86000000002</v>
      </c>
      <c r="O52" s="16"/>
      <c r="P52" s="16">
        <f>SUM(P5:P46)</f>
        <v>62330.279999999992</v>
      </c>
      <c r="Q52" s="16"/>
      <c r="R52" s="16">
        <f>SUM(R5:R46)</f>
        <v>336633.26000000007</v>
      </c>
      <c r="S52" s="16"/>
      <c r="T52" s="16">
        <f>SUM(T5:T46)</f>
        <v>30705.299999999996</v>
      </c>
      <c r="U52" s="16"/>
      <c r="V52" s="16">
        <f>SUM(V5:V46)</f>
        <v>178157.02999999997</v>
      </c>
      <c r="W52" s="16"/>
      <c r="X52" s="16">
        <f>SUM(X5:X46)</f>
        <v>223003.91</v>
      </c>
      <c r="Y52" s="16"/>
      <c r="Z52" s="16">
        <f>SUM(Z5:Z46)</f>
        <v>0</v>
      </c>
      <c r="AA52" s="16"/>
      <c r="AB52" s="16">
        <f>SUM(AB5:AB46)</f>
        <v>178078.37000000002</v>
      </c>
      <c r="AC52" s="16"/>
      <c r="AD52" s="16">
        <f>SUM(AD5:AD46)</f>
        <v>100318.09200000002</v>
      </c>
      <c r="AE52" s="16"/>
      <c r="AF52" s="16">
        <f>SUM(AF5:AF46)</f>
        <v>39994.140000000007</v>
      </c>
      <c r="AG52" s="16"/>
      <c r="AH52" s="16">
        <f>SUM(AH6:AH46)</f>
        <v>88584.050000000017</v>
      </c>
      <c r="AI52" s="16"/>
      <c r="AJ52" s="16">
        <f>SUM(AJ5:AJ46)</f>
        <v>36730.07</v>
      </c>
      <c r="AK52" s="16"/>
      <c r="AL52" s="16">
        <f>SUM(AL5:AL46)</f>
        <v>227491.43000000005</v>
      </c>
      <c r="AM52" s="16"/>
      <c r="AN52" s="16">
        <f>SUM(AN5:AN46)</f>
        <v>0</v>
      </c>
      <c r="AO52" s="16"/>
      <c r="AP52" s="16">
        <f>SUM(AP5:AP46)</f>
        <v>84681.420000000013</v>
      </c>
      <c r="AQ52" s="16"/>
      <c r="AR52" s="16">
        <f>SUM(AR5:AR47)</f>
        <v>74692.349999999991</v>
      </c>
      <c r="AS52" s="16"/>
      <c r="AT52" s="16">
        <f>SUM(AT5:AT46)</f>
        <v>460033.47000000003</v>
      </c>
      <c r="AU52" s="16"/>
      <c r="AV52" s="16">
        <f>SUM(AV5:AV46)</f>
        <v>338442.01000000007</v>
      </c>
      <c r="AW52" s="16"/>
      <c r="AX52" s="16">
        <f>SUM(AX5:AX46)</f>
        <v>203003.00000000006</v>
      </c>
      <c r="AY52" s="16"/>
      <c r="AZ52" s="16">
        <f>SUM(AZ5:AZ46)</f>
        <v>37489.14</v>
      </c>
      <c r="BA52" s="16"/>
      <c r="BB52" s="16">
        <f>SUM(BB5:BB49)</f>
        <v>0</v>
      </c>
      <c r="BC52" s="16"/>
      <c r="BD52" s="16">
        <f>SUM(BD5:BD46)</f>
        <v>481638.70999999996</v>
      </c>
      <c r="BE52" s="16"/>
      <c r="BF52" s="16">
        <f>SUM(BF5:BF46)</f>
        <v>356373.39000000007</v>
      </c>
      <c r="BG52" s="16"/>
      <c r="BH52" s="16"/>
      <c r="BI52" s="16"/>
      <c r="BJ52" s="16">
        <f>SUM(BJ5:BJ46)</f>
        <v>0</v>
      </c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</row>
    <row r="53" spans="1:142" s="67" customFormat="1" x14ac:dyDescent="0.2">
      <c r="A53" s="39" t="s">
        <v>3</v>
      </c>
      <c r="B53" s="17">
        <f>+B51-B52</f>
        <v>0</v>
      </c>
      <c r="C53" s="17"/>
      <c r="D53" s="17">
        <f>+D51-D52</f>
        <v>1.9999999960418791E-2</v>
      </c>
      <c r="E53" s="17"/>
      <c r="F53" s="17">
        <f>+F51-F52</f>
        <v>0</v>
      </c>
      <c r="G53" s="17"/>
      <c r="H53" s="17">
        <f>+H51-H52</f>
        <v>0</v>
      </c>
      <c r="I53" s="17"/>
      <c r="J53" s="17">
        <f>+J51-J52</f>
        <v>9.9999999511055648E-3</v>
      </c>
      <c r="K53" s="17"/>
      <c r="L53" s="17">
        <f>+L51-L52</f>
        <v>0</v>
      </c>
      <c r="M53" s="17"/>
      <c r="N53" s="17">
        <f>+N51-N52</f>
        <v>1.9999999989522621E-2</v>
      </c>
      <c r="O53" s="17"/>
      <c r="P53" s="17">
        <f>+P51-P52</f>
        <v>2.0000000011350494E-2</v>
      </c>
      <c r="Q53" s="17"/>
      <c r="R53" s="17">
        <f>+R51-R52</f>
        <v>9.9999999511055648E-3</v>
      </c>
      <c r="S53" s="17"/>
      <c r="T53" s="17">
        <f>+T51-T52</f>
        <v>2.0000000004074536E-2</v>
      </c>
      <c r="U53" s="17"/>
      <c r="V53" s="17">
        <f>+V51-V52</f>
        <v>-2.9799999999813735</v>
      </c>
      <c r="W53" s="17"/>
      <c r="X53" s="17">
        <f>+X51-X52</f>
        <v>0</v>
      </c>
      <c r="Y53" s="17"/>
      <c r="Z53" s="17">
        <f>+Z51-Z52</f>
        <v>0</v>
      </c>
      <c r="AA53" s="17"/>
      <c r="AB53" s="17">
        <f>+AB51-AB52</f>
        <v>0</v>
      </c>
      <c r="AC53" s="17"/>
      <c r="AD53" s="17">
        <f>+AD51-AD52</f>
        <v>-2.0000000222353265E-3</v>
      </c>
      <c r="AE53" s="17"/>
      <c r="AF53" s="17">
        <f>+AF51-AF52</f>
        <v>-0.40000000000873115</v>
      </c>
      <c r="AG53" s="17"/>
      <c r="AH53" s="17">
        <f>+AH51-AH52</f>
        <v>0</v>
      </c>
      <c r="AI53" s="17"/>
      <c r="AJ53" s="17">
        <f>+AJ51-AJ52</f>
        <v>0</v>
      </c>
      <c r="AK53" s="17"/>
      <c r="AL53" s="17">
        <f>+AL51-AL52</f>
        <v>0</v>
      </c>
      <c r="AM53" s="17"/>
      <c r="AN53" s="17">
        <f>+AN51-AN52</f>
        <v>0</v>
      </c>
      <c r="AO53" s="17"/>
      <c r="AP53" s="17">
        <f>+AP51-AP52</f>
        <v>0</v>
      </c>
      <c r="AQ53" s="17"/>
      <c r="AR53" s="17">
        <f>+AR51-AR52</f>
        <v>0</v>
      </c>
      <c r="AS53" s="17"/>
      <c r="AT53" s="17">
        <f>+AT51-AT52</f>
        <v>9.9999999511055648E-3</v>
      </c>
      <c r="AU53" s="17"/>
      <c r="AV53" s="17">
        <f>+AV51-AV52</f>
        <v>9.9999999511055648E-3</v>
      </c>
      <c r="AW53" s="17"/>
      <c r="AX53" s="17">
        <f>+AX51-AX52</f>
        <v>0</v>
      </c>
      <c r="AY53" s="17"/>
      <c r="AZ53" s="17">
        <f>+AZ51-AZ52</f>
        <v>0</v>
      </c>
      <c r="BA53" s="17"/>
      <c r="BB53" s="17">
        <f>+BB51-BB52</f>
        <v>0</v>
      </c>
      <c r="BC53" s="17"/>
      <c r="BD53" s="17">
        <f>+BD51-BD52</f>
        <v>0</v>
      </c>
      <c r="BE53" s="17"/>
      <c r="BF53" s="17">
        <f>+BF51-BF52</f>
        <v>0.59999999991850927</v>
      </c>
      <c r="BG53" s="17"/>
      <c r="BH53" s="17"/>
      <c r="BI53" s="17"/>
      <c r="BJ53" s="17">
        <f>+BJ51-BJ52</f>
        <v>0</v>
      </c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</row>
    <row r="56" spans="1:142" s="11" customFormat="1" x14ac:dyDescent="0.2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0"/>
      <c r="BA56" s="12"/>
      <c r="BB56" s="10"/>
      <c r="BC56" s="12"/>
      <c r="BD56" s="10"/>
      <c r="BE56" s="12"/>
      <c r="BF56" s="10"/>
      <c r="BG56" s="12"/>
      <c r="BH56" s="10"/>
      <c r="BI56" s="12"/>
      <c r="BJ56" s="10"/>
      <c r="BK56" s="12"/>
      <c r="BL56" s="10"/>
      <c r="BM56" s="12"/>
      <c r="BN56" s="10"/>
      <c r="BO56" s="12"/>
      <c r="BP56" s="10"/>
      <c r="BQ56" s="12"/>
      <c r="BR56" s="10"/>
      <c r="BS56" s="12"/>
      <c r="BT56" s="10"/>
      <c r="BU56" s="12"/>
      <c r="BV56" s="10"/>
      <c r="BW56" s="12"/>
      <c r="BX56" s="10"/>
      <c r="BY56" s="12"/>
      <c r="BZ56" s="10"/>
      <c r="CA56" s="12"/>
      <c r="CB56" s="10"/>
      <c r="CC56" s="12"/>
      <c r="CD56" s="10"/>
      <c r="CE56" s="12"/>
      <c r="CF56" s="10"/>
      <c r="CG56" s="12"/>
      <c r="CH56" s="10"/>
      <c r="CI56" s="12"/>
      <c r="CJ56" s="10"/>
      <c r="CK56" s="12"/>
      <c r="CL56" s="10"/>
      <c r="CM56" s="12"/>
      <c r="CN56" s="10"/>
      <c r="CO56" s="12"/>
      <c r="CP56" s="10"/>
      <c r="CQ56" s="12"/>
      <c r="CR56" s="10"/>
      <c r="CS56" s="12"/>
      <c r="CT56" s="10"/>
      <c r="CU56" s="12"/>
      <c r="CV56" s="10"/>
      <c r="CW56" s="12"/>
      <c r="CX56" s="10"/>
      <c r="CY56" s="12"/>
      <c r="CZ56" s="10"/>
      <c r="DA56" s="12"/>
      <c r="DB56" s="10"/>
      <c r="DC56" s="12"/>
      <c r="DD56" s="10"/>
      <c r="DE56" s="12"/>
      <c r="DF56" s="10"/>
      <c r="DG56" s="12"/>
      <c r="DH56" s="10"/>
      <c r="DI56" s="12"/>
      <c r="DJ56" s="10"/>
      <c r="DK56" s="12"/>
      <c r="DL56" s="10"/>
      <c r="DM56" s="12"/>
      <c r="DN56" s="10"/>
      <c r="DO56" s="12"/>
      <c r="DP56" s="10"/>
      <c r="DQ56" s="12"/>
      <c r="DR56" s="10"/>
      <c r="DS56" s="12"/>
      <c r="DT56" s="10"/>
      <c r="DU56" s="12"/>
      <c r="DV56" s="10"/>
      <c r="DW56" s="12"/>
      <c r="DX56" s="10"/>
      <c r="DY56" s="12"/>
      <c r="DZ56" s="10"/>
      <c r="EA56" s="12"/>
      <c r="EB56" s="10"/>
      <c r="EC56" s="12"/>
      <c r="ED56" s="10"/>
      <c r="EE56" s="12"/>
      <c r="EF56" s="10"/>
      <c r="EG56" s="12"/>
      <c r="EH56" s="10"/>
      <c r="EI56" s="12"/>
      <c r="EJ56" s="10"/>
      <c r="EK56" s="12"/>
      <c r="EL56" s="10"/>
    </row>
    <row r="57" spans="1:142" s="20" customFormat="1" x14ac:dyDescent="0.2">
      <c r="A57" s="40" t="s">
        <v>4</v>
      </c>
    </row>
    <row r="58" spans="1:142" s="68" customFormat="1" x14ac:dyDescent="0.2">
      <c r="A58" s="49"/>
      <c r="B58" s="19">
        <v>42737</v>
      </c>
      <c r="C58" s="21"/>
      <c r="D58" s="19">
        <v>42738</v>
      </c>
      <c r="E58" s="21"/>
      <c r="F58" s="19">
        <v>42373</v>
      </c>
      <c r="G58" s="21"/>
      <c r="H58" s="19">
        <v>42740</v>
      </c>
      <c r="I58" s="21"/>
      <c r="J58" s="19">
        <v>42741</v>
      </c>
      <c r="K58" s="21"/>
      <c r="L58" s="19">
        <v>42742</v>
      </c>
      <c r="M58" s="21"/>
      <c r="N58" s="19">
        <v>42744</v>
      </c>
      <c r="O58" s="21"/>
      <c r="P58" s="19">
        <v>42745</v>
      </c>
      <c r="Q58" s="21"/>
      <c r="R58" s="19">
        <v>42746</v>
      </c>
      <c r="S58" s="21"/>
      <c r="T58" s="19">
        <v>42747</v>
      </c>
      <c r="U58" s="21"/>
      <c r="V58" s="19">
        <v>42748</v>
      </c>
      <c r="W58" s="21"/>
      <c r="X58" s="19">
        <v>42749</v>
      </c>
      <c r="Y58" s="21"/>
      <c r="Z58" s="19">
        <v>42750</v>
      </c>
      <c r="AA58" s="21"/>
      <c r="AB58" s="19">
        <v>42751</v>
      </c>
      <c r="AC58" s="21"/>
      <c r="AD58" s="19">
        <v>42752</v>
      </c>
      <c r="AE58" s="21"/>
      <c r="AF58" s="19">
        <v>42753</v>
      </c>
      <c r="AG58" s="21"/>
      <c r="AH58" s="19">
        <v>42754</v>
      </c>
      <c r="AI58" s="21"/>
      <c r="AJ58" s="19">
        <v>42755</v>
      </c>
      <c r="AK58" s="21"/>
      <c r="AL58" s="19">
        <v>42756</v>
      </c>
      <c r="AM58" s="21"/>
      <c r="AN58" s="19">
        <v>42757</v>
      </c>
      <c r="AO58" s="21"/>
      <c r="AP58" s="19">
        <v>42758</v>
      </c>
      <c r="AQ58" s="21"/>
      <c r="AR58" s="19">
        <v>42759</v>
      </c>
      <c r="AS58" s="21"/>
      <c r="AT58" s="19">
        <v>42760</v>
      </c>
      <c r="AU58" s="21"/>
      <c r="AV58" s="19">
        <v>42761</v>
      </c>
      <c r="AW58" s="21"/>
      <c r="AX58" s="19">
        <v>42762</v>
      </c>
      <c r="AY58" s="21"/>
      <c r="AZ58" s="19">
        <v>42763</v>
      </c>
      <c r="BA58" s="21"/>
      <c r="BB58" s="19">
        <v>42764</v>
      </c>
      <c r="BC58" s="21"/>
      <c r="BD58" s="19">
        <v>42765</v>
      </c>
      <c r="BE58" s="21"/>
      <c r="BF58" s="19">
        <v>42766</v>
      </c>
      <c r="BG58" s="21"/>
      <c r="BH58" s="19"/>
      <c r="BI58" s="21"/>
      <c r="BJ58" s="19"/>
      <c r="BK58" s="21"/>
      <c r="BL58" s="19"/>
      <c r="BM58" s="21"/>
      <c r="BN58" s="19"/>
      <c r="BO58" s="21"/>
      <c r="BP58" s="19"/>
      <c r="BQ58" s="21"/>
      <c r="BR58" s="19"/>
      <c r="BS58" s="21"/>
      <c r="BT58" s="19"/>
      <c r="BU58" s="21"/>
      <c r="BV58" s="19"/>
      <c r="BW58" s="21"/>
      <c r="BX58" s="19"/>
      <c r="BY58" s="21"/>
      <c r="BZ58" s="19"/>
      <c r="CA58" s="21"/>
      <c r="CB58" s="19"/>
      <c r="CC58" s="21"/>
      <c r="CD58" s="19"/>
      <c r="CE58" s="21"/>
      <c r="CF58" s="19"/>
      <c r="CG58" s="21"/>
      <c r="CH58" s="19"/>
      <c r="CI58" s="21"/>
      <c r="CJ58" s="19"/>
      <c r="CK58" s="21"/>
      <c r="CL58" s="19"/>
      <c r="CM58" s="21"/>
      <c r="CN58" s="19"/>
      <c r="CO58" s="21"/>
      <c r="CP58" s="19"/>
      <c r="CQ58" s="21"/>
      <c r="CR58" s="19"/>
      <c r="CS58" s="21"/>
      <c r="CT58" s="19"/>
      <c r="CU58" s="21"/>
      <c r="CV58" s="19"/>
      <c r="CW58" s="21"/>
      <c r="CX58" s="19"/>
      <c r="CY58" s="21"/>
      <c r="CZ58" s="19"/>
      <c r="DA58" s="21"/>
      <c r="DB58" s="19"/>
      <c r="DC58" s="21"/>
      <c r="DD58" s="19"/>
      <c r="DE58" s="21"/>
      <c r="DF58" s="19"/>
      <c r="DG58" s="21"/>
      <c r="DH58" s="19"/>
      <c r="DI58" s="21"/>
      <c r="DJ58" s="19"/>
      <c r="DK58" s="21"/>
      <c r="DL58" s="19"/>
      <c r="DM58" s="21"/>
      <c r="DN58" s="19"/>
      <c r="DO58" s="21"/>
      <c r="DP58" s="19"/>
      <c r="DQ58" s="21"/>
      <c r="DR58" s="19"/>
      <c r="DS58" s="21"/>
      <c r="DT58" s="19"/>
      <c r="DU58" s="21"/>
      <c r="DV58" s="19"/>
      <c r="DW58" s="21"/>
      <c r="DX58" s="19"/>
      <c r="DY58" s="21"/>
      <c r="DZ58" s="19"/>
      <c r="EA58" s="21"/>
      <c r="EB58" s="19"/>
      <c r="EC58" s="21"/>
      <c r="ED58" s="19"/>
      <c r="EE58" s="21"/>
      <c r="EF58" s="19"/>
      <c r="EG58" s="21"/>
      <c r="EH58" s="19"/>
      <c r="EI58" s="21"/>
      <c r="EJ58" s="19"/>
      <c r="EK58" s="21"/>
      <c r="EL58" s="19"/>
    </row>
    <row r="59" spans="1:142" s="9" customFormat="1" x14ac:dyDescent="0.2">
      <c r="A59" s="41" t="s">
        <v>5</v>
      </c>
      <c r="C59" s="15"/>
      <c r="E59" s="15"/>
      <c r="G59" s="15"/>
      <c r="I59" s="15"/>
      <c r="K59" s="15"/>
      <c r="M59" s="15"/>
      <c r="O59" s="15"/>
      <c r="Q59" s="15"/>
      <c r="S59" s="15"/>
      <c r="U59" s="15"/>
      <c r="W59" s="15"/>
      <c r="Y59" s="15"/>
      <c r="AA59" s="15"/>
      <c r="AC59" s="15"/>
      <c r="AE59" s="15"/>
      <c r="AG59" s="15"/>
      <c r="AI59" s="15"/>
      <c r="AK59" s="15"/>
      <c r="AM59" s="15"/>
      <c r="AO59" s="15"/>
      <c r="AQ59" s="15"/>
      <c r="AS59" s="15"/>
      <c r="AU59" s="15"/>
      <c r="AW59" s="15"/>
      <c r="AY59" s="15"/>
      <c r="BA59" s="15"/>
      <c r="BC59" s="15"/>
      <c r="BE59" s="15"/>
      <c r="BG59" s="15"/>
      <c r="BI59" s="15"/>
      <c r="BK59" s="15"/>
      <c r="BM59" s="15"/>
      <c r="BO59" s="15"/>
      <c r="BQ59" s="15"/>
      <c r="BS59" s="15"/>
      <c r="BU59" s="15"/>
      <c r="BW59" s="15"/>
      <c r="BY59" s="15"/>
      <c r="CA59" s="15"/>
      <c r="CC59" s="15"/>
      <c r="CE59" s="15"/>
      <c r="CG59" s="15"/>
      <c r="CI59" s="15"/>
      <c r="CK59" s="15"/>
      <c r="CM59" s="15"/>
      <c r="CO59" s="15"/>
      <c r="CQ59" s="15"/>
      <c r="CS59" s="15"/>
      <c r="CU59" s="15"/>
      <c r="CW59" s="15"/>
      <c r="CY59" s="15"/>
      <c r="DA59" s="15"/>
      <c r="DC59" s="15"/>
      <c r="DE59" s="15"/>
      <c r="DG59" s="15"/>
      <c r="DI59" s="15"/>
      <c r="DK59" s="15"/>
      <c r="DM59" s="15"/>
      <c r="DO59" s="15"/>
      <c r="DQ59" s="15"/>
      <c r="DS59" s="15"/>
      <c r="DU59" s="15"/>
      <c r="DW59" s="15"/>
      <c r="DY59" s="15"/>
      <c r="EA59" s="15"/>
      <c r="EC59" s="15"/>
      <c r="EE59" s="15"/>
      <c r="EG59" s="15"/>
      <c r="EI59" s="15"/>
      <c r="EK59" s="15"/>
    </row>
    <row r="60" spans="1:142" s="9" customFormat="1" x14ac:dyDescent="0.2">
      <c r="A60" s="41"/>
      <c r="B60" s="9">
        <v>10000</v>
      </c>
      <c r="C60" s="15" t="s">
        <v>15</v>
      </c>
      <c r="D60" s="9">
        <v>12000</v>
      </c>
      <c r="E60" s="15" t="s">
        <v>67</v>
      </c>
      <c r="F60" s="9">
        <v>287</v>
      </c>
      <c r="G60" s="15" t="s">
        <v>144</v>
      </c>
      <c r="H60" s="9">
        <v>128000</v>
      </c>
      <c r="I60" s="15" t="s">
        <v>203</v>
      </c>
      <c r="J60" s="9">
        <v>20000</v>
      </c>
      <c r="K60" s="15" t="s">
        <v>249</v>
      </c>
      <c r="L60" s="9">
        <v>11200</v>
      </c>
      <c r="M60" s="15" t="s">
        <v>312</v>
      </c>
      <c r="N60" s="9">
        <v>5000</v>
      </c>
      <c r="O60" s="15" t="s">
        <v>365</v>
      </c>
      <c r="P60" s="9">
        <v>10900</v>
      </c>
      <c r="Q60" s="15" t="s">
        <v>399</v>
      </c>
      <c r="R60" s="9">
        <v>3000</v>
      </c>
      <c r="S60" s="15" t="s">
        <v>457</v>
      </c>
      <c r="T60" s="9">
        <v>2704.9</v>
      </c>
      <c r="U60" s="15" t="s">
        <v>506</v>
      </c>
      <c r="V60" s="9">
        <v>9500</v>
      </c>
      <c r="W60" s="15" t="s">
        <v>587</v>
      </c>
      <c r="X60" s="9">
        <v>20000</v>
      </c>
      <c r="Y60" s="15" t="s">
        <v>542</v>
      </c>
      <c r="Z60" s="9">
        <v>40000</v>
      </c>
      <c r="AA60" s="15" t="s">
        <v>633</v>
      </c>
      <c r="AB60" s="72">
        <v>1995</v>
      </c>
      <c r="AC60" s="15" t="s">
        <v>677</v>
      </c>
      <c r="AD60" s="9">
        <v>3723.46</v>
      </c>
      <c r="AE60" s="15" t="s">
        <v>716</v>
      </c>
      <c r="AF60" s="9">
        <v>2000</v>
      </c>
      <c r="AG60" s="15" t="s">
        <v>811</v>
      </c>
      <c r="AH60" s="72">
        <v>5947.76</v>
      </c>
      <c r="AI60" s="15" t="s">
        <v>771</v>
      </c>
      <c r="AJ60" s="9">
        <v>1614</v>
      </c>
      <c r="AK60" s="15" t="s">
        <v>873</v>
      </c>
      <c r="AL60" s="9">
        <v>15000</v>
      </c>
      <c r="AM60" s="15" t="s">
        <v>909</v>
      </c>
      <c r="AN60" s="9">
        <v>5000</v>
      </c>
      <c r="AO60" s="15" t="s">
        <v>970</v>
      </c>
      <c r="AP60" s="9">
        <v>193.18</v>
      </c>
      <c r="AQ60" s="15" t="s">
        <v>977</v>
      </c>
      <c r="AR60" s="9">
        <v>3788.54</v>
      </c>
      <c r="AS60" s="15" t="s">
        <v>1041</v>
      </c>
      <c r="AT60" s="9">
        <v>2891.48</v>
      </c>
      <c r="AU60" s="15" t="s">
        <v>1103</v>
      </c>
      <c r="AV60" s="9">
        <v>1521.44</v>
      </c>
      <c r="AW60" s="15" t="s">
        <v>1181</v>
      </c>
      <c r="AX60" s="9">
        <v>5000</v>
      </c>
      <c r="AY60" s="15" t="s">
        <v>1217</v>
      </c>
      <c r="AZ60" s="112">
        <v>4556.95</v>
      </c>
      <c r="BA60" s="15" t="s">
        <v>1269</v>
      </c>
      <c r="BC60" s="15"/>
      <c r="BD60" s="9">
        <v>10000</v>
      </c>
      <c r="BE60" s="15" t="s">
        <v>1315</v>
      </c>
      <c r="BF60" s="9">
        <v>20000</v>
      </c>
      <c r="BG60" s="15" t="s">
        <v>1415</v>
      </c>
      <c r="BI60" s="15"/>
      <c r="BK60" s="15"/>
      <c r="BM60" s="15"/>
      <c r="BO60" s="15"/>
      <c r="BQ60" s="15"/>
      <c r="BS60" s="15"/>
      <c r="BU60" s="15"/>
      <c r="BW60" s="15"/>
      <c r="BY60" s="15"/>
      <c r="CA60" s="15"/>
      <c r="CC60" s="15"/>
      <c r="CE60" s="15"/>
      <c r="CG60" s="15"/>
      <c r="CI60" s="15"/>
      <c r="CK60" s="15"/>
      <c r="CM60" s="15"/>
      <c r="CO60" s="15"/>
      <c r="CQ60" s="15"/>
      <c r="CS60" s="15"/>
      <c r="CU60" s="15"/>
      <c r="CW60" s="15"/>
      <c r="CY60" s="15"/>
      <c r="DA60" s="15"/>
      <c r="DC60" s="15"/>
      <c r="DE60" s="15"/>
      <c r="DG60" s="15"/>
      <c r="DI60" s="15"/>
      <c r="DK60" s="15"/>
      <c r="DM60" s="15"/>
      <c r="DO60" s="15"/>
      <c r="DQ60" s="15"/>
      <c r="DS60" s="15"/>
      <c r="DU60" s="15"/>
      <c r="DW60" s="15"/>
      <c r="DY60" s="15"/>
      <c r="EA60" s="15"/>
      <c r="EC60" s="15"/>
      <c r="EE60" s="15"/>
      <c r="EG60" s="15"/>
      <c r="EI60" s="15"/>
      <c r="EK60" s="15"/>
    </row>
    <row r="61" spans="1:142" s="11" customFormat="1" x14ac:dyDescent="0.2">
      <c r="A61" s="43"/>
      <c r="B61" s="10">
        <v>20000</v>
      </c>
      <c r="C61" s="12" t="s">
        <v>22</v>
      </c>
      <c r="D61" s="10">
        <v>5000</v>
      </c>
      <c r="E61" s="12" t="s">
        <v>73</v>
      </c>
      <c r="F61" s="10">
        <v>5000</v>
      </c>
      <c r="G61" s="12" t="s">
        <v>145</v>
      </c>
      <c r="H61" s="10">
        <v>12977.5</v>
      </c>
      <c r="I61" s="12" t="s">
        <v>204</v>
      </c>
      <c r="J61" s="10">
        <v>9885.93</v>
      </c>
      <c r="K61" s="12" t="s">
        <v>264</v>
      </c>
      <c r="L61" s="10">
        <v>10000</v>
      </c>
      <c r="M61" s="12" t="s">
        <v>313</v>
      </c>
      <c r="N61" s="10">
        <v>30000</v>
      </c>
      <c r="O61" s="12" t="s">
        <v>368</v>
      </c>
      <c r="P61" s="10">
        <v>9321.9500000000007</v>
      </c>
      <c r="Q61" s="12" t="s">
        <v>402</v>
      </c>
      <c r="R61" s="10">
        <v>1479.95</v>
      </c>
      <c r="S61" s="12" t="s">
        <v>472</v>
      </c>
      <c r="T61" s="10">
        <v>5100</v>
      </c>
      <c r="U61" s="12" t="s">
        <v>509</v>
      </c>
      <c r="V61" s="10">
        <v>1313.97</v>
      </c>
      <c r="W61" s="12" t="s">
        <v>597</v>
      </c>
      <c r="X61" s="10">
        <v>137.24</v>
      </c>
      <c r="Y61" s="12" t="s">
        <v>543</v>
      </c>
      <c r="Z61" s="10">
        <v>40000</v>
      </c>
      <c r="AA61" s="12" t="s">
        <v>634</v>
      </c>
      <c r="AB61" s="87">
        <v>5000</v>
      </c>
      <c r="AC61" s="12" t="s">
        <v>678</v>
      </c>
      <c r="AD61" s="10">
        <v>1099.01</v>
      </c>
      <c r="AE61" s="12" t="s">
        <v>717</v>
      </c>
      <c r="AF61" s="11">
        <v>5000</v>
      </c>
      <c r="AG61" s="12" t="s">
        <v>813</v>
      </c>
      <c r="AH61" s="87">
        <v>1970</v>
      </c>
      <c r="AI61" s="12" t="s">
        <v>772</v>
      </c>
      <c r="AJ61" s="10">
        <v>1000</v>
      </c>
      <c r="AK61" s="12" t="s">
        <v>875</v>
      </c>
      <c r="AL61" s="10">
        <v>20000</v>
      </c>
      <c r="AM61" s="12" t="s">
        <v>910</v>
      </c>
      <c r="AN61" s="10"/>
      <c r="AO61" s="12"/>
      <c r="AP61" s="10">
        <v>5000</v>
      </c>
      <c r="AQ61" s="12" t="s">
        <v>980</v>
      </c>
      <c r="AR61" s="9">
        <v>368.67</v>
      </c>
      <c r="AS61" s="15" t="s">
        <v>1045</v>
      </c>
      <c r="AT61" s="10">
        <v>17000</v>
      </c>
      <c r="AU61" s="12" t="s">
        <v>1106</v>
      </c>
      <c r="AV61" s="10">
        <v>1099.01</v>
      </c>
      <c r="AW61" s="12" t="s">
        <v>1191</v>
      </c>
      <c r="AX61" s="10">
        <v>4640</v>
      </c>
      <c r="AY61" s="12" t="s">
        <v>1218</v>
      </c>
      <c r="AZ61" s="113">
        <v>4634.43</v>
      </c>
      <c r="BA61" s="12" t="s">
        <v>1268</v>
      </c>
      <c r="BB61" s="10"/>
      <c r="BC61" s="12"/>
      <c r="BD61" s="10">
        <v>60728.95</v>
      </c>
      <c r="BE61" s="12" t="s">
        <v>1318</v>
      </c>
      <c r="BF61" s="9">
        <v>6587.01</v>
      </c>
      <c r="BG61" s="15" t="s">
        <v>1427</v>
      </c>
      <c r="BH61" s="10"/>
      <c r="BI61" s="12"/>
      <c r="BJ61" s="10"/>
      <c r="BK61" s="12"/>
      <c r="BL61" s="10"/>
      <c r="BM61" s="12"/>
      <c r="BN61" s="10"/>
      <c r="BO61" s="12"/>
      <c r="BP61" s="10"/>
      <c r="BQ61" s="12"/>
      <c r="BR61" s="10"/>
      <c r="BS61" s="12"/>
      <c r="BT61" s="10"/>
      <c r="BU61" s="12"/>
      <c r="BV61" s="10"/>
      <c r="BW61" s="12"/>
      <c r="BX61" s="10"/>
      <c r="BY61" s="12"/>
      <c r="BZ61" s="10"/>
      <c r="CA61" s="12"/>
      <c r="CB61" s="10"/>
      <c r="CC61" s="12"/>
      <c r="CD61" s="10"/>
      <c r="CE61" s="12"/>
      <c r="CF61" s="10"/>
      <c r="CG61" s="12"/>
      <c r="CH61" s="10"/>
      <c r="CI61" s="12"/>
      <c r="CJ61" s="10"/>
      <c r="CK61" s="12"/>
      <c r="CL61" s="10"/>
      <c r="CM61" s="12"/>
      <c r="CN61" s="10"/>
      <c r="CO61" s="12"/>
      <c r="CP61" s="10"/>
      <c r="CQ61" s="12"/>
      <c r="CR61" s="10"/>
      <c r="CS61" s="12"/>
      <c r="CT61" s="10"/>
      <c r="CU61" s="12"/>
      <c r="CV61" s="10"/>
      <c r="CW61" s="12"/>
      <c r="CX61" s="10"/>
      <c r="CY61" s="12"/>
      <c r="CZ61" s="10"/>
      <c r="DA61" s="12"/>
      <c r="DB61" s="10"/>
      <c r="DC61" s="12"/>
      <c r="DD61" s="10"/>
      <c r="DE61" s="12"/>
      <c r="DF61" s="10"/>
      <c r="DG61" s="12"/>
      <c r="DH61" s="10"/>
      <c r="DI61" s="12"/>
      <c r="DJ61" s="10"/>
      <c r="DK61" s="12"/>
      <c r="DL61" s="10"/>
      <c r="DM61" s="12"/>
      <c r="DN61" s="10"/>
      <c r="DO61" s="12"/>
      <c r="DP61" s="10"/>
      <c r="DQ61" s="12"/>
      <c r="DR61" s="10"/>
      <c r="DS61" s="12"/>
      <c r="DT61" s="10"/>
      <c r="DU61" s="12"/>
      <c r="DV61" s="10"/>
      <c r="DW61" s="12"/>
      <c r="DX61" s="10"/>
      <c r="DY61" s="12"/>
      <c r="DZ61" s="10"/>
      <c r="EA61" s="12"/>
      <c r="EB61" s="10"/>
      <c r="EC61" s="12"/>
      <c r="ED61" s="10"/>
      <c r="EE61" s="12"/>
      <c r="EF61" s="10"/>
      <c r="EG61" s="12"/>
      <c r="EH61" s="10"/>
      <c r="EI61" s="12"/>
      <c r="EJ61" s="10"/>
      <c r="EK61" s="12"/>
      <c r="EL61" s="10"/>
    </row>
    <row r="62" spans="1:142" s="9" customFormat="1" x14ac:dyDescent="0.2">
      <c r="A62" s="41"/>
      <c r="B62" s="9">
        <v>8685.66</v>
      </c>
      <c r="C62" s="15" t="s">
        <v>35</v>
      </c>
      <c r="D62" s="9">
        <v>20000</v>
      </c>
      <c r="E62" s="15" t="s">
        <v>85</v>
      </c>
      <c r="F62" s="9">
        <v>3200</v>
      </c>
      <c r="G62" s="15" t="s">
        <v>147</v>
      </c>
      <c r="H62" s="9">
        <v>1997.28</v>
      </c>
      <c r="I62" s="15" t="s">
        <v>205</v>
      </c>
      <c r="J62" s="9">
        <v>20000</v>
      </c>
      <c r="K62" s="15" t="s">
        <v>258</v>
      </c>
      <c r="L62" s="9">
        <v>1970</v>
      </c>
      <c r="M62" s="15" t="s">
        <v>325</v>
      </c>
      <c r="N62" s="9">
        <v>535.91999999999996</v>
      </c>
      <c r="O62" s="15" t="s">
        <v>369</v>
      </c>
      <c r="P62" s="9">
        <v>813.26</v>
      </c>
      <c r="Q62" s="15" t="s">
        <v>409</v>
      </c>
      <c r="R62" s="9">
        <v>5065</v>
      </c>
      <c r="S62" s="15" t="s">
        <v>480</v>
      </c>
      <c r="T62" s="9">
        <v>2360.0100000000002</v>
      </c>
      <c r="U62" s="15" t="s">
        <v>524</v>
      </c>
      <c r="V62" s="9">
        <v>2031.01</v>
      </c>
      <c r="W62" s="15" t="s">
        <v>609</v>
      </c>
      <c r="X62" s="9">
        <v>67.19</v>
      </c>
      <c r="Y62" s="15" t="s">
        <v>545</v>
      </c>
      <c r="Z62" s="9">
        <v>5000</v>
      </c>
      <c r="AA62" s="15" t="s">
        <v>635</v>
      </c>
      <c r="AB62" s="72">
        <v>1099.01</v>
      </c>
      <c r="AC62" s="15" t="s">
        <v>679</v>
      </c>
      <c r="AD62" s="9">
        <v>2022.53</v>
      </c>
      <c r="AE62" s="15" t="s">
        <v>718</v>
      </c>
      <c r="AF62" s="9">
        <v>2000</v>
      </c>
      <c r="AG62" s="15" t="s">
        <v>814</v>
      </c>
      <c r="AH62" s="72">
        <v>10000</v>
      </c>
      <c r="AI62" s="15" t="s">
        <v>773</v>
      </c>
      <c r="AJ62" s="9">
        <v>1000</v>
      </c>
      <c r="AK62" s="15" t="s">
        <v>878</v>
      </c>
      <c r="AL62" s="9">
        <v>15137.25</v>
      </c>
      <c r="AM62" s="15" t="s">
        <v>911</v>
      </c>
      <c r="AO62" s="15"/>
      <c r="AP62" s="9">
        <v>327.84</v>
      </c>
      <c r="AQ62" s="15" t="s">
        <v>983</v>
      </c>
      <c r="AR62" s="9">
        <v>1987.01</v>
      </c>
      <c r="AS62" s="15" t="s">
        <v>1046</v>
      </c>
      <c r="AT62" s="9">
        <v>2100.1799999999998</v>
      </c>
      <c r="AU62" s="15" t="s">
        <v>1123</v>
      </c>
      <c r="AV62" s="9">
        <v>3764.01</v>
      </c>
      <c r="AW62" s="15" t="s">
        <v>1193</v>
      </c>
      <c r="AX62" s="9">
        <v>3500</v>
      </c>
      <c r="AY62" s="15" t="s">
        <v>1222</v>
      </c>
      <c r="AZ62" s="112">
        <v>8685.66</v>
      </c>
      <c r="BA62" s="15" t="s">
        <v>1272</v>
      </c>
      <c r="BC62" s="15"/>
      <c r="BD62" s="9">
        <v>5000</v>
      </c>
      <c r="BE62" s="15" t="s">
        <v>1326</v>
      </c>
      <c r="BF62" s="7">
        <v>1968.74</v>
      </c>
      <c r="BG62" s="26" t="s">
        <v>1428</v>
      </c>
      <c r="BI62" s="15"/>
      <c r="BK62" s="15"/>
      <c r="BM62" s="15"/>
      <c r="BO62" s="15"/>
      <c r="BQ62" s="15"/>
      <c r="BS62" s="15"/>
      <c r="BU62" s="15"/>
      <c r="BW62" s="15"/>
      <c r="BY62" s="15"/>
      <c r="CA62" s="15"/>
      <c r="CC62" s="15"/>
      <c r="CE62" s="15"/>
      <c r="CG62" s="15"/>
      <c r="CI62" s="15"/>
      <c r="CK62" s="15"/>
      <c r="CM62" s="15"/>
      <c r="CO62" s="15"/>
      <c r="CQ62" s="15"/>
      <c r="CS62" s="15"/>
      <c r="CU62" s="15"/>
      <c r="CW62" s="15"/>
      <c r="CY62" s="15"/>
      <c r="DA62" s="15"/>
      <c r="DC62" s="15"/>
      <c r="DE62" s="15"/>
      <c r="DG62" s="15"/>
      <c r="DI62" s="15"/>
      <c r="DK62" s="15"/>
      <c r="DM62" s="15"/>
      <c r="DO62" s="15"/>
      <c r="DQ62" s="15"/>
      <c r="DS62" s="15"/>
      <c r="DU62" s="15"/>
      <c r="DW62" s="15"/>
      <c r="DY62" s="15"/>
      <c r="EA62" s="15"/>
      <c r="EC62" s="15"/>
      <c r="EE62" s="15"/>
      <c r="EG62" s="15"/>
      <c r="EI62" s="15"/>
      <c r="EK62" s="15"/>
    </row>
    <row r="63" spans="1:142" s="9" customFormat="1" x14ac:dyDescent="0.2">
      <c r="A63" s="41"/>
      <c r="B63" s="7">
        <v>3250</v>
      </c>
      <c r="C63" s="26" t="s">
        <v>48</v>
      </c>
      <c r="D63" s="7">
        <v>1800</v>
      </c>
      <c r="E63" s="26" t="s">
        <v>97</v>
      </c>
      <c r="F63" s="7">
        <v>20000</v>
      </c>
      <c r="G63" s="26" t="s">
        <v>151</v>
      </c>
      <c r="H63" s="7">
        <v>60</v>
      </c>
      <c r="I63" s="26" t="s">
        <v>206</v>
      </c>
      <c r="J63" s="7">
        <v>504.99</v>
      </c>
      <c r="K63" s="26" t="s">
        <v>282</v>
      </c>
      <c r="L63" s="7">
        <v>1099</v>
      </c>
      <c r="M63" s="26" t="s">
        <v>327</v>
      </c>
      <c r="N63" s="7">
        <v>1000</v>
      </c>
      <c r="O63" s="26" t="s">
        <v>370</v>
      </c>
      <c r="P63" s="7">
        <v>20000</v>
      </c>
      <c r="Q63" s="26" t="s">
        <v>400</v>
      </c>
      <c r="R63" s="7">
        <v>1969.99</v>
      </c>
      <c r="S63" s="26" t="s">
        <v>481</v>
      </c>
      <c r="T63" s="7">
        <v>1969.99</v>
      </c>
      <c r="U63" s="26" t="s">
        <v>526</v>
      </c>
      <c r="V63" s="7">
        <v>396.43</v>
      </c>
      <c r="W63" s="26" t="s">
        <v>617</v>
      </c>
      <c r="X63" s="7">
        <v>2685.35</v>
      </c>
      <c r="Y63" s="26" t="s">
        <v>552</v>
      </c>
      <c r="Z63" s="7">
        <v>5000</v>
      </c>
      <c r="AA63" s="26" t="s">
        <v>636</v>
      </c>
      <c r="AB63" s="87">
        <v>2050</v>
      </c>
      <c r="AC63" s="26" t="s">
        <v>680</v>
      </c>
      <c r="AD63" s="7">
        <v>1099</v>
      </c>
      <c r="AE63" s="26" t="s">
        <v>719</v>
      </c>
      <c r="AF63" s="9">
        <v>5000</v>
      </c>
      <c r="AG63" s="26" t="s">
        <v>816</v>
      </c>
      <c r="AH63" s="87">
        <v>1099.01</v>
      </c>
      <c r="AI63" s="26" t="s">
        <v>774</v>
      </c>
      <c r="AJ63" s="7">
        <v>8000</v>
      </c>
      <c r="AK63" s="26" t="s">
        <v>881</v>
      </c>
      <c r="AL63" s="7">
        <v>5000</v>
      </c>
      <c r="AM63" s="26" t="s">
        <v>912</v>
      </c>
      <c r="AN63" s="7"/>
      <c r="AO63" s="26"/>
      <c r="AP63" s="7">
        <v>5000</v>
      </c>
      <c r="AQ63" s="26" t="s">
        <v>986</v>
      </c>
      <c r="AR63" s="7">
        <v>5000</v>
      </c>
      <c r="AS63" s="26" t="s">
        <v>1049</v>
      </c>
      <c r="AT63" s="7">
        <v>1750</v>
      </c>
      <c r="AU63" s="26" t="s">
        <v>1125</v>
      </c>
      <c r="AV63" s="7">
        <v>1995</v>
      </c>
      <c r="AW63" s="26" t="s">
        <v>1201</v>
      </c>
      <c r="AX63" s="7">
        <v>2937</v>
      </c>
      <c r="AY63" s="26" t="s">
        <v>1223</v>
      </c>
      <c r="AZ63" s="112">
        <v>1099</v>
      </c>
      <c r="BA63" s="26" t="s">
        <v>1278</v>
      </c>
      <c r="BB63" s="7"/>
      <c r="BC63" s="26"/>
      <c r="BD63" s="7">
        <v>34761.589999999997</v>
      </c>
      <c r="BE63" s="26" t="s">
        <v>1327</v>
      </c>
      <c r="BF63" s="9">
        <v>28587</v>
      </c>
      <c r="BG63" s="15" t="s">
        <v>1439</v>
      </c>
      <c r="BH63" s="7"/>
      <c r="BI63" s="26"/>
      <c r="BJ63" s="7"/>
      <c r="BK63" s="26"/>
      <c r="BL63" s="7"/>
      <c r="BM63" s="26"/>
      <c r="BN63" s="7"/>
      <c r="BO63" s="26"/>
      <c r="BP63" s="7"/>
      <c r="BQ63" s="26"/>
      <c r="BR63" s="7"/>
      <c r="BS63" s="26"/>
      <c r="BT63" s="7"/>
      <c r="BU63" s="26"/>
      <c r="BV63" s="7"/>
      <c r="BW63" s="26"/>
      <c r="BX63" s="7"/>
      <c r="BY63" s="26"/>
      <c r="BZ63" s="7"/>
      <c r="CA63" s="26"/>
      <c r="CB63" s="7"/>
      <c r="CC63" s="26"/>
      <c r="CD63" s="7"/>
      <c r="CE63" s="26"/>
      <c r="CF63" s="7"/>
      <c r="CG63" s="26"/>
      <c r="CH63" s="7"/>
      <c r="CI63" s="26"/>
      <c r="CJ63" s="7"/>
      <c r="CK63" s="26"/>
      <c r="CL63" s="7"/>
      <c r="CM63" s="26"/>
      <c r="CN63" s="7"/>
      <c r="CO63" s="26"/>
      <c r="CP63" s="7"/>
      <c r="CQ63" s="26"/>
      <c r="CR63" s="7"/>
      <c r="CS63" s="26"/>
      <c r="CT63" s="7"/>
      <c r="CU63" s="26"/>
      <c r="CV63" s="7"/>
      <c r="CW63" s="26"/>
      <c r="CX63" s="7"/>
      <c r="CY63" s="26"/>
      <c r="CZ63" s="7"/>
      <c r="DA63" s="26"/>
      <c r="DB63" s="7"/>
      <c r="DC63" s="26"/>
      <c r="DD63" s="7"/>
      <c r="DE63" s="26"/>
      <c r="DF63" s="7"/>
      <c r="DG63" s="26"/>
      <c r="DH63" s="7"/>
      <c r="DI63" s="26"/>
      <c r="DJ63" s="7"/>
      <c r="DK63" s="26"/>
      <c r="DL63" s="7"/>
      <c r="DM63" s="26"/>
      <c r="DN63" s="7"/>
      <c r="DO63" s="26"/>
      <c r="DP63" s="7"/>
      <c r="DQ63" s="26"/>
      <c r="DR63" s="7"/>
      <c r="DS63" s="26"/>
      <c r="DT63" s="7"/>
      <c r="DU63" s="26"/>
      <c r="DV63" s="7"/>
      <c r="DW63" s="26"/>
      <c r="DX63" s="7"/>
      <c r="DY63" s="26"/>
      <c r="DZ63" s="7"/>
      <c r="EA63" s="26"/>
      <c r="EB63" s="7"/>
      <c r="EC63" s="26"/>
      <c r="ED63" s="7"/>
      <c r="EE63" s="26"/>
      <c r="EF63" s="7"/>
      <c r="EG63" s="26"/>
      <c r="EH63" s="7"/>
      <c r="EI63" s="26"/>
      <c r="EJ63" s="7"/>
      <c r="EK63" s="26"/>
      <c r="EL63" s="7"/>
    </row>
    <row r="64" spans="1:142" s="15" customFormat="1" x14ac:dyDescent="0.2">
      <c r="A64" s="41"/>
      <c r="B64" s="15">
        <v>2675.66</v>
      </c>
      <c r="C64" s="15" t="s">
        <v>52</v>
      </c>
      <c r="D64" s="15">
        <v>20000</v>
      </c>
      <c r="E64" s="15" t="s">
        <v>102</v>
      </c>
      <c r="F64" s="15">
        <v>704</v>
      </c>
      <c r="G64" s="15" t="s">
        <v>157</v>
      </c>
      <c r="H64" s="15">
        <v>242.13</v>
      </c>
      <c r="I64" s="15" t="s">
        <v>209</v>
      </c>
      <c r="J64" s="9">
        <v>4675</v>
      </c>
      <c r="K64" s="15" t="s">
        <v>283</v>
      </c>
      <c r="L64" s="9">
        <v>1099</v>
      </c>
      <c r="M64" s="15" t="s">
        <v>330</v>
      </c>
      <c r="N64" s="15">
        <v>96.8</v>
      </c>
      <c r="O64" s="15" t="s">
        <v>375</v>
      </c>
      <c r="P64" s="15">
        <v>1970</v>
      </c>
      <c r="Q64" s="15" t="s">
        <v>425</v>
      </c>
      <c r="R64" s="15">
        <v>1969.99</v>
      </c>
      <c r="S64" s="15" t="s">
        <v>484</v>
      </c>
      <c r="T64" s="15">
        <v>1099.01</v>
      </c>
      <c r="U64" s="15" t="s">
        <v>507</v>
      </c>
      <c r="V64" s="15">
        <v>1099</v>
      </c>
      <c r="W64" s="15" t="s">
        <v>586</v>
      </c>
      <c r="X64" s="15">
        <v>1099</v>
      </c>
      <c r="Y64" s="15" t="s">
        <v>557</v>
      </c>
      <c r="Z64" s="51">
        <f>SUM(Z60:Z63)</f>
        <v>90000</v>
      </c>
      <c r="AB64" s="72">
        <v>1995</v>
      </c>
      <c r="AC64" s="15" t="s">
        <v>681</v>
      </c>
      <c r="AD64" s="9">
        <v>1399.71</v>
      </c>
      <c r="AE64" s="15" t="s">
        <v>720</v>
      </c>
      <c r="AF64" s="9">
        <v>4242.3900000000003</v>
      </c>
      <c r="AG64" s="15" t="s">
        <v>819</v>
      </c>
      <c r="AH64" s="24">
        <v>1099.01</v>
      </c>
      <c r="AI64" s="15" t="s">
        <v>775</v>
      </c>
      <c r="AJ64" s="15">
        <v>800</v>
      </c>
      <c r="AK64" s="15" t="s">
        <v>883</v>
      </c>
      <c r="AL64" s="9">
        <v>121.93</v>
      </c>
      <c r="AM64" s="15" t="s">
        <v>923</v>
      </c>
      <c r="AP64" s="9">
        <v>444.63</v>
      </c>
      <c r="AQ64" s="15" t="s">
        <v>987</v>
      </c>
      <c r="AR64" s="9">
        <v>3750</v>
      </c>
      <c r="AS64" s="15" t="s">
        <v>1050</v>
      </c>
      <c r="AT64" s="9">
        <v>1969.99</v>
      </c>
      <c r="AU64" s="15" t="s">
        <v>1128</v>
      </c>
      <c r="AV64" s="9">
        <v>3015</v>
      </c>
      <c r="AW64" s="15" t="s">
        <v>1209</v>
      </c>
      <c r="AX64" s="9">
        <v>14297</v>
      </c>
      <c r="AY64" s="15" t="s">
        <v>1224</v>
      </c>
      <c r="AZ64" s="112">
        <v>1207.3399999999999</v>
      </c>
      <c r="BA64" s="15" t="s">
        <v>1279</v>
      </c>
      <c r="BD64" s="9">
        <v>1099</v>
      </c>
      <c r="BE64" s="15" t="s">
        <v>1340</v>
      </c>
      <c r="BF64" s="9">
        <v>4752.2299999999996</v>
      </c>
      <c r="BG64" s="15" t="s">
        <v>1453</v>
      </c>
    </row>
    <row r="65" spans="1:142" s="9" customFormat="1" x14ac:dyDescent="0.2">
      <c r="A65" s="41"/>
      <c r="B65" s="9">
        <v>1920</v>
      </c>
      <c r="C65" s="15" t="s">
        <v>53</v>
      </c>
      <c r="D65" s="9">
        <v>1240.32</v>
      </c>
      <c r="E65" s="15" t="s">
        <v>105</v>
      </c>
      <c r="F65" s="9">
        <v>1226</v>
      </c>
      <c r="G65" s="15" t="s">
        <v>158</v>
      </c>
      <c r="H65" s="9">
        <v>987.42</v>
      </c>
      <c r="I65" s="15" t="s">
        <v>211</v>
      </c>
      <c r="J65" s="9">
        <v>4169.01</v>
      </c>
      <c r="K65" s="15" t="s">
        <v>284</v>
      </c>
      <c r="L65" s="9">
        <v>1099.01</v>
      </c>
      <c r="M65" s="15" t="s">
        <v>331</v>
      </c>
      <c r="N65" s="9">
        <v>1099.01</v>
      </c>
      <c r="O65" s="15" t="s">
        <v>381</v>
      </c>
      <c r="P65" s="9">
        <v>1994.99</v>
      </c>
      <c r="Q65" s="15" t="s">
        <v>427</v>
      </c>
      <c r="R65" s="9">
        <v>1099</v>
      </c>
      <c r="S65" s="15" t="s">
        <v>486</v>
      </c>
      <c r="T65" s="9">
        <v>3250.01</v>
      </c>
      <c r="U65" s="15" t="s">
        <v>512</v>
      </c>
      <c r="V65" s="9">
        <v>1099.01</v>
      </c>
      <c r="W65" s="15" t="s">
        <v>601</v>
      </c>
      <c r="X65" s="9">
        <v>1970</v>
      </c>
      <c r="Y65" s="15" t="s">
        <v>559</v>
      </c>
      <c r="AA65" s="15"/>
      <c r="AB65" s="72">
        <v>4169.01</v>
      </c>
      <c r="AC65" s="15" t="s">
        <v>682</v>
      </c>
      <c r="AD65" s="9">
        <v>3915.01</v>
      </c>
      <c r="AE65" s="15" t="s">
        <v>721</v>
      </c>
      <c r="AF65" s="9">
        <v>1268.03</v>
      </c>
      <c r="AG65" s="15" t="s">
        <v>822</v>
      </c>
      <c r="AH65" s="72">
        <v>2294.9899999999998</v>
      </c>
      <c r="AI65" s="15" t="s">
        <v>776</v>
      </c>
      <c r="AJ65" s="9">
        <v>1099</v>
      </c>
      <c r="AK65" s="15" t="s">
        <v>884</v>
      </c>
      <c r="AL65" s="9">
        <v>6486.57</v>
      </c>
      <c r="AM65" s="15" t="s">
        <v>924</v>
      </c>
      <c r="AO65" s="15"/>
      <c r="AP65" s="9">
        <v>10007.6</v>
      </c>
      <c r="AQ65" s="15" t="s">
        <v>988</v>
      </c>
      <c r="AR65" s="9">
        <v>2176.6999999999998</v>
      </c>
      <c r="AS65" s="15" t="s">
        <v>1054</v>
      </c>
      <c r="AT65" s="9">
        <v>1099.01</v>
      </c>
      <c r="AU65" s="15" t="s">
        <v>1131</v>
      </c>
      <c r="AV65" s="9">
        <v>1099.02</v>
      </c>
      <c r="AW65" s="15" t="s">
        <v>1210</v>
      </c>
      <c r="AX65" s="9">
        <v>32872.58</v>
      </c>
      <c r="AY65" s="15" t="s">
        <v>1226</v>
      </c>
      <c r="AZ65" s="112">
        <v>4360.01</v>
      </c>
      <c r="BA65" s="15" t="s">
        <v>1281</v>
      </c>
      <c r="BC65" s="15"/>
      <c r="BD65" s="9">
        <v>1970</v>
      </c>
      <c r="BE65" s="15" t="s">
        <v>1342</v>
      </c>
      <c r="BF65" s="9">
        <v>1099.01</v>
      </c>
      <c r="BG65" s="15" t="s">
        <v>1461</v>
      </c>
      <c r="BI65" s="15"/>
      <c r="BK65" s="15"/>
      <c r="BM65" s="15"/>
      <c r="BO65" s="15"/>
      <c r="BQ65" s="15"/>
      <c r="BS65" s="15"/>
      <c r="BU65" s="15"/>
      <c r="BW65" s="15"/>
      <c r="BY65" s="15"/>
      <c r="CA65" s="15"/>
      <c r="CC65" s="15"/>
      <c r="CE65" s="15"/>
      <c r="CG65" s="15"/>
      <c r="CI65" s="15"/>
      <c r="CK65" s="15"/>
      <c r="CM65" s="15"/>
      <c r="CO65" s="15"/>
      <c r="CQ65" s="15"/>
      <c r="CS65" s="15"/>
      <c r="CU65" s="15"/>
      <c r="CW65" s="15"/>
      <c r="CY65" s="15"/>
      <c r="DA65" s="15"/>
      <c r="DC65" s="15"/>
      <c r="DE65" s="15"/>
      <c r="DG65" s="15"/>
      <c r="DI65" s="15"/>
      <c r="DK65" s="15"/>
      <c r="DM65" s="15"/>
      <c r="DO65" s="15"/>
      <c r="DQ65" s="15"/>
      <c r="DS65" s="15"/>
      <c r="DU65" s="15"/>
      <c r="DW65" s="15"/>
      <c r="DY65" s="15"/>
      <c r="EA65" s="15"/>
      <c r="EC65" s="15"/>
      <c r="EE65" s="15"/>
      <c r="EG65" s="15"/>
      <c r="EI65" s="15"/>
      <c r="EK65" s="15"/>
    </row>
    <row r="66" spans="1:142" s="9" customFormat="1" x14ac:dyDescent="0.2">
      <c r="A66" s="41"/>
      <c r="B66" s="9">
        <v>1025</v>
      </c>
      <c r="C66" s="15" t="s">
        <v>54</v>
      </c>
      <c r="D66" s="9">
        <v>1928.13</v>
      </c>
      <c r="E66" s="15" t="s">
        <v>110</v>
      </c>
      <c r="F66" s="9">
        <v>148.4</v>
      </c>
      <c r="G66" s="15" t="s">
        <v>166</v>
      </c>
      <c r="H66" s="9">
        <v>484.01</v>
      </c>
      <c r="I66" s="15" t="s">
        <v>217</v>
      </c>
      <c r="J66" s="9">
        <v>2270</v>
      </c>
      <c r="K66" s="15" t="s">
        <v>285</v>
      </c>
      <c r="L66" s="11">
        <v>5800</v>
      </c>
      <c r="M66" s="13" t="s">
        <v>332</v>
      </c>
      <c r="N66" s="9">
        <v>1099</v>
      </c>
      <c r="O66" s="15" t="s">
        <v>382</v>
      </c>
      <c r="P66" s="9">
        <v>3250</v>
      </c>
      <c r="Q66" s="15" t="s">
        <v>437</v>
      </c>
      <c r="R66" s="9">
        <v>52.2</v>
      </c>
      <c r="S66" s="15" t="s">
        <v>489</v>
      </c>
      <c r="T66" s="9">
        <v>7220.1</v>
      </c>
      <c r="U66" s="15" t="s">
        <v>532</v>
      </c>
      <c r="V66" s="9">
        <v>1099.01</v>
      </c>
      <c r="W66" s="15" t="s">
        <v>627</v>
      </c>
      <c r="X66" s="9">
        <v>822.93</v>
      </c>
      <c r="Y66" s="15" t="s">
        <v>560</v>
      </c>
      <c r="AA66" s="15"/>
      <c r="AB66" s="72">
        <v>137.24</v>
      </c>
      <c r="AC66" s="15" t="s">
        <v>683</v>
      </c>
      <c r="AD66" s="9">
        <v>11412.83</v>
      </c>
      <c r="AE66" s="15" t="s">
        <v>723</v>
      </c>
      <c r="AF66" s="9">
        <v>3554.01</v>
      </c>
      <c r="AG66" s="15" t="s">
        <v>833</v>
      </c>
      <c r="AH66" s="72">
        <v>1099</v>
      </c>
      <c r="AI66" s="15" t="s">
        <v>777</v>
      </c>
      <c r="AJ66" s="9">
        <v>1099.01</v>
      </c>
      <c r="AK66" s="15" t="s">
        <v>885</v>
      </c>
      <c r="AL66" s="9">
        <v>18000</v>
      </c>
      <c r="AM66" s="15" t="s">
        <v>932</v>
      </c>
      <c r="AO66" s="15"/>
      <c r="AP66" s="9">
        <v>2270</v>
      </c>
      <c r="AQ66" s="15" t="s">
        <v>992</v>
      </c>
      <c r="AR66" s="9">
        <v>5826.14</v>
      </c>
      <c r="AS66" s="15" t="s">
        <v>1055</v>
      </c>
      <c r="AT66" s="9">
        <v>1099.01</v>
      </c>
      <c r="AU66" s="15" t="s">
        <v>1134</v>
      </c>
      <c r="AV66" s="9">
        <v>10101.450000000001</v>
      </c>
      <c r="AW66" s="15" t="s">
        <v>1211</v>
      </c>
      <c r="AX66" s="9">
        <v>1970</v>
      </c>
      <c r="AY66" s="15" t="s">
        <v>1239</v>
      </c>
      <c r="AZ66" s="11">
        <v>3169</v>
      </c>
      <c r="BA66" s="13" t="s">
        <v>1282</v>
      </c>
      <c r="BC66" s="15"/>
      <c r="BD66" s="11">
        <v>1970</v>
      </c>
      <c r="BE66" s="13" t="s">
        <v>1346</v>
      </c>
      <c r="BF66" s="11">
        <v>1004.43</v>
      </c>
      <c r="BG66" s="13" t="s">
        <v>1468</v>
      </c>
      <c r="BI66" s="15"/>
      <c r="BK66" s="15"/>
      <c r="BM66" s="15"/>
      <c r="BO66" s="15"/>
      <c r="BQ66" s="15"/>
      <c r="BS66" s="15"/>
      <c r="BU66" s="15"/>
      <c r="BW66" s="15"/>
      <c r="BY66" s="15"/>
      <c r="CA66" s="15"/>
      <c r="CC66" s="15"/>
      <c r="CE66" s="15"/>
      <c r="CG66" s="15"/>
      <c r="CI66" s="15"/>
      <c r="CK66" s="15"/>
      <c r="CM66" s="15"/>
      <c r="CO66" s="15"/>
      <c r="CQ66" s="15"/>
      <c r="CS66" s="15"/>
      <c r="CU66" s="15"/>
      <c r="CW66" s="15"/>
      <c r="CY66" s="15"/>
      <c r="DA66" s="15"/>
      <c r="DC66" s="15"/>
      <c r="DE66" s="15"/>
      <c r="DG66" s="15"/>
      <c r="DI66" s="15"/>
      <c r="DK66" s="15"/>
      <c r="DM66" s="15"/>
      <c r="DO66" s="15"/>
      <c r="DQ66" s="15"/>
      <c r="DS66" s="15"/>
      <c r="DU66" s="15"/>
      <c r="DW66" s="15"/>
      <c r="DY66" s="15"/>
      <c r="EA66" s="15"/>
      <c r="EC66" s="15"/>
      <c r="EE66" s="15"/>
      <c r="EG66" s="15"/>
      <c r="EI66" s="15"/>
      <c r="EK66" s="15"/>
    </row>
    <row r="67" spans="1:142" s="11" customFormat="1" x14ac:dyDescent="0.2">
      <c r="A67" s="43"/>
      <c r="B67" s="11">
        <v>3250.01</v>
      </c>
      <c r="C67" s="13" t="s">
        <v>60</v>
      </c>
      <c r="D67" s="11">
        <v>380.36</v>
      </c>
      <c r="E67" s="13" t="s">
        <v>111</v>
      </c>
      <c r="F67" s="11">
        <v>9657.52</v>
      </c>
      <c r="G67" s="13" t="s">
        <v>167</v>
      </c>
      <c r="H67" s="11">
        <v>3335.92</v>
      </c>
      <c r="I67" s="13" t="s">
        <v>220</v>
      </c>
      <c r="J67" s="11">
        <v>5291</v>
      </c>
      <c r="K67" s="13" t="s">
        <v>286</v>
      </c>
      <c r="L67" s="7">
        <v>2360.0100000000002</v>
      </c>
      <c r="M67" s="26" t="s">
        <v>333</v>
      </c>
      <c r="N67" s="11">
        <v>3250</v>
      </c>
      <c r="O67" s="13" t="s">
        <v>347</v>
      </c>
      <c r="P67" s="11">
        <v>11314.2</v>
      </c>
      <c r="Q67" s="13" t="s">
        <v>440</v>
      </c>
      <c r="R67" s="11">
        <v>618.46</v>
      </c>
      <c r="S67" s="13" t="s">
        <v>490</v>
      </c>
      <c r="U67" s="13"/>
      <c r="V67" s="11">
        <v>4046.01</v>
      </c>
      <c r="W67" s="13" t="s">
        <v>628</v>
      </c>
      <c r="X67" s="11">
        <v>4395</v>
      </c>
      <c r="Y67" s="13" t="s">
        <v>562</v>
      </c>
      <c r="AA67" s="13"/>
      <c r="AB67" s="72">
        <v>1970</v>
      </c>
      <c r="AC67" s="13" t="s">
        <v>684</v>
      </c>
      <c r="AD67" s="72">
        <v>11162.91</v>
      </c>
      <c r="AE67" s="13" t="s">
        <v>722</v>
      </c>
      <c r="AF67" s="11">
        <v>400</v>
      </c>
      <c r="AG67" s="13" t="s">
        <v>837</v>
      </c>
      <c r="AH67" s="72">
        <v>1969.99</v>
      </c>
      <c r="AI67" s="13" t="s">
        <v>778</v>
      </c>
      <c r="AJ67" s="11">
        <v>1970</v>
      </c>
      <c r="AK67" s="13" t="s">
        <v>886</v>
      </c>
      <c r="AL67" s="11">
        <v>2866</v>
      </c>
      <c r="AM67" s="13" t="s">
        <v>935</v>
      </c>
      <c r="AO67" s="13"/>
      <c r="AP67" s="11">
        <v>6396.68</v>
      </c>
      <c r="AQ67" s="13" t="s">
        <v>999</v>
      </c>
      <c r="AR67" s="11">
        <v>380.12</v>
      </c>
      <c r="AS67" s="13" t="s">
        <v>1059</v>
      </c>
      <c r="AT67" s="11">
        <v>1796.94</v>
      </c>
      <c r="AU67" s="13" t="s">
        <v>1135</v>
      </c>
      <c r="AV67" s="11">
        <v>5000</v>
      </c>
      <c r="AW67" s="13" t="s">
        <v>1214</v>
      </c>
      <c r="AX67" s="11">
        <v>499.99</v>
      </c>
      <c r="AY67" s="13" t="s">
        <v>1240</v>
      </c>
      <c r="AZ67" s="112">
        <v>600.01</v>
      </c>
      <c r="BA67" s="26" t="s">
        <v>1283</v>
      </c>
      <c r="BC67" s="13"/>
      <c r="BD67" s="7">
        <v>1099.01</v>
      </c>
      <c r="BE67" s="26" t="s">
        <v>1348</v>
      </c>
      <c r="BF67" s="9">
        <v>600</v>
      </c>
      <c r="BG67" s="26" t="s">
        <v>1473</v>
      </c>
      <c r="BI67" s="13"/>
      <c r="BK67" s="13"/>
      <c r="BM67" s="13"/>
      <c r="BO67" s="13"/>
      <c r="BQ67" s="13"/>
      <c r="BS67" s="13"/>
      <c r="BU67" s="13"/>
      <c r="BW67" s="13"/>
      <c r="BY67" s="13"/>
      <c r="CA67" s="13"/>
      <c r="CC67" s="13"/>
      <c r="CE67" s="13"/>
      <c r="CG67" s="13"/>
      <c r="CI67" s="13"/>
      <c r="CK67" s="13"/>
      <c r="CM67" s="13"/>
      <c r="CO67" s="13"/>
      <c r="CQ67" s="13"/>
      <c r="CS67" s="13"/>
      <c r="CU67" s="13"/>
      <c r="CW67" s="13"/>
      <c r="CY67" s="13"/>
      <c r="DA67" s="13"/>
      <c r="DC67" s="13"/>
      <c r="DE67" s="13"/>
      <c r="DG67" s="13"/>
      <c r="DI67" s="13"/>
      <c r="DK67" s="13"/>
      <c r="DM67" s="13"/>
      <c r="DO67" s="13"/>
      <c r="DQ67" s="13"/>
      <c r="DS67" s="13"/>
      <c r="DU67" s="13"/>
      <c r="DW67" s="13"/>
      <c r="DY67" s="13"/>
      <c r="EA67" s="13"/>
      <c r="EC67" s="13"/>
      <c r="EE67" s="13"/>
      <c r="EG67" s="13"/>
      <c r="EI67" s="13"/>
      <c r="EK67" s="13"/>
    </row>
    <row r="68" spans="1:142" s="9" customFormat="1" x14ac:dyDescent="0.2">
      <c r="A68" s="41"/>
      <c r="B68" s="7">
        <v>1025</v>
      </c>
      <c r="C68" s="26" t="s">
        <v>58</v>
      </c>
      <c r="D68" s="7">
        <v>1035</v>
      </c>
      <c r="E68" s="26" t="s">
        <v>104</v>
      </c>
      <c r="F68" s="7">
        <v>1039.31</v>
      </c>
      <c r="G68" s="26" t="s">
        <v>168</v>
      </c>
      <c r="H68" s="7">
        <v>3250.01</v>
      </c>
      <c r="I68" s="26" t="s">
        <v>221</v>
      </c>
      <c r="J68" s="7">
        <v>1099</v>
      </c>
      <c r="K68" s="26" t="s">
        <v>288</v>
      </c>
      <c r="L68" s="15">
        <v>2270</v>
      </c>
      <c r="M68" s="15" t="s">
        <v>337</v>
      </c>
      <c r="N68" s="7">
        <v>1099</v>
      </c>
      <c r="O68" s="26" t="s">
        <v>384</v>
      </c>
      <c r="P68" s="7">
        <v>1099</v>
      </c>
      <c r="Q68" s="26" t="s">
        <v>441</v>
      </c>
      <c r="R68" s="81">
        <f>SUM(R60:R67)</f>
        <v>15254.59</v>
      </c>
      <c r="S68" s="26"/>
      <c r="T68" s="7"/>
      <c r="U68" s="26"/>
      <c r="V68" s="81">
        <f>SUM(V60:V67)</f>
        <v>20584.440000000002</v>
      </c>
      <c r="W68" s="26"/>
      <c r="X68" s="7">
        <v>200.01</v>
      </c>
      <c r="Y68" s="26" t="s">
        <v>568</v>
      </c>
      <c r="Z68" s="7"/>
      <c r="AA68" s="26"/>
      <c r="AB68" s="87">
        <v>4395.01</v>
      </c>
      <c r="AC68" s="26" t="s">
        <v>685</v>
      </c>
      <c r="AD68" s="7">
        <v>1099.01</v>
      </c>
      <c r="AE68" s="26" t="s">
        <v>724</v>
      </c>
      <c r="AF68" s="9">
        <v>1499.01</v>
      </c>
      <c r="AG68" s="26" t="s">
        <v>838</v>
      </c>
      <c r="AH68" s="87">
        <v>1099.01</v>
      </c>
      <c r="AI68" s="26" t="s">
        <v>779</v>
      </c>
      <c r="AJ68" s="7">
        <v>2350</v>
      </c>
      <c r="AK68" s="26" t="s">
        <v>889</v>
      </c>
      <c r="AL68" s="7">
        <v>1970</v>
      </c>
      <c r="AM68" s="26" t="s">
        <v>936</v>
      </c>
      <c r="AN68" s="7"/>
      <c r="AO68" s="26"/>
      <c r="AP68" s="7">
        <v>15000</v>
      </c>
      <c r="AQ68" s="26" t="s">
        <v>1001</v>
      </c>
      <c r="AR68" s="7">
        <v>2000</v>
      </c>
      <c r="AS68" s="26" t="s">
        <v>1061</v>
      </c>
      <c r="AT68" s="7">
        <v>1099</v>
      </c>
      <c r="AU68" s="26" t="s">
        <v>1147</v>
      </c>
      <c r="AV68" s="72">
        <v>6755</v>
      </c>
      <c r="AW68" s="26" t="s">
        <v>1216</v>
      </c>
      <c r="AX68" s="7">
        <v>1479.01</v>
      </c>
      <c r="AY68" s="26" t="s">
        <v>1241</v>
      </c>
      <c r="AZ68" s="112">
        <v>1099.01</v>
      </c>
      <c r="BA68" s="15" t="s">
        <v>1287</v>
      </c>
      <c r="BB68" s="7"/>
      <c r="BC68" s="26"/>
      <c r="BD68" s="9">
        <v>1099</v>
      </c>
      <c r="BE68" s="15" t="s">
        <v>1349</v>
      </c>
      <c r="BF68" s="95">
        <f>+SUM(BF60:BF67)</f>
        <v>64598.42</v>
      </c>
      <c r="BG68" s="15"/>
      <c r="BH68" s="7"/>
      <c r="BI68" s="26"/>
      <c r="BJ68" s="7"/>
      <c r="BK68" s="26"/>
      <c r="BL68" s="7"/>
      <c r="BM68" s="26"/>
      <c r="BN68" s="7"/>
      <c r="BO68" s="26"/>
      <c r="BP68" s="7"/>
      <c r="BQ68" s="26"/>
      <c r="BR68" s="7"/>
      <c r="BS68" s="26"/>
      <c r="BT68" s="7"/>
      <c r="BU68" s="26"/>
      <c r="BV68" s="7"/>
      <c r="BW68" s="26"/>
      <c r="BX68" s="7"/>
      <c r="BY68" s="26"/>
      <c r="BZ68" s="7"/>
      <c r="CA68" s="26"/>
      <c r="CB68" s="7"/>
      <c r="CC68" s="26"/>
      <c r="CD68" s="7"/>
      <c r="CE68" s="26"/>
      <c r="CF68" s="7"/>
      <c r="CG68" s="26"/>
      <c r="CH68" s="7"/>
      <c r="CI68" s="26"/>
      <c r="CJ68" s="7"/>
      <c r="CK68" s="26"/>
      <c r="CL68" s="7"/>
      <c r="CM68" s="26"/>
      <c r="CN68" s="7"/>
      <c r="CO68" s="26"/>
      <c r="CP68" s="7"/>
      <c r="CQ68" s="26"/>
      <c r="CR68" s="7"/>
      <c r="CS68" s="26"/>
      <c r="CT68" s="7"/>
      <c r="CU68" s="26"/>
      <c r="CV68" s="7"/>
      <c r="CW68" s="26"/>
      <c r="CX68" s="7"/>
      <c r="CY68" s="26"/>
      <c r="CZ68" s="7"/>
      <c r="DA68" s="26"/>
      <c r="DB68" s="7"/>
      <c r="DC68" s="26"/>
      <c r="DD68" s="7"/>
      <c r="DE68" s="26"/>
      <c r="DF68" s="7"/>
      <c r="DG68" s="26"/>
      <c r="DH68" s="7"/>
      <c r="DI68" s="26"/>
      <c r="DJ68" s="7"/>
      <c r="DK68" s="26"/>
      <c r="DL68" s="7"/>
      <c r="DM68" s="26"/>
      <c r="DN68" s="7"/>
      <c r="DO68" s="26"/>
      <c r="DP68" s="7"/>
      <c r="DQ68" s="26"/>
      <c r="DR68" s="7"/>
      <c r="DS68" s="26"/>
      <c r="DT68" s="7"/>
      <c r="DU68" s="26"/>
      <c r="DV68" s="7"/>
      <c r="DW68" s="26"/>
      <c r="DX68" s="7"/>
      <c r="DY68" s="26"/>
      <c r="DZ68" s="7"/>
      <c r="EA68" s="26"/>
      <c r="EB68" s="7"/>
      <c r="EC68" s="26"/>
      <c r="ED68" s="7"/>
      <c r="EE68" s="26"/>
      <c r="EF68" s="7"/>
      <c r="EG68" s="26"/>
      <c r="EH68" s="7"/>
      <c r="EI68" s="26"/>
      <c r="EJ68" s="7"/>
      <c r="EK68" s="26"/>
      <c r="EL68" s="7"/>
    </row>
    <row r="69" spans="1:142" s="9" customFormat="1" x14ac:dyDescent="0.2">
      <c r="A69" s="41"/>
      <c r="B69" s="51">
        <f>SUM(B60:B68)</f>
        <v>51831.330000000009</v>
      </c>
      <c r="C69" s="15"/>
      <c r="D69" s="9">
        <v>580.53</v>
      </c>
      <c r="E69" s="15" t="s">
        <v>118</v>
      </c>
      <c r="F69" s="15">
        <v>4457.28</v>
      </c>
      <c r="G69" s="15" t="s">
        <v>169</v>
      </c>
      <c r="H69" s="15">
        <v>1291.3499999999999</v>
      </c>
      <c r="I69" s="15" t="s">
        <v>216</v>
      </c>
      <c r="J69" s="9">
        <v>1299.1099999999999</v>
      </c>
      <c r="K69" s="15" t="s">
        <v>295</v>
      </c>
      <c r="L69" s="9">
        <v>2101.9499999999998</v>
      </c>
      <c r="M69" s="15" t="s">
        <v>338</v>
      </c>
      <c r="N69" s="15">
        <v>1099</v>
      </c>
      <c r="O69" s="15" t="s">
        <v>389</v>
      </c>
      <c r="P69" s="15">
        <v>1099</v>
      </c>
      <c r="Q69" s="15" t="s">
        <v>442</v>
      </c>
      <c r="R69" s="15"/>
      <c r="S69" s="15"/>
      <c r="T69" s="15"/>
      <c r="U69" s="15"/>
      <c r="V69" s="15"/>
      <c r="W69" s="15"/>
      <c r="X69" s="15">
        <v>1970</v>
      </c>
      <c r="Y69" s="15" t="s">
        <v>569</v>
      </c>
      <c r="Z69" s="15"/>
      <c r="AA69" s="15"/>
      <c r="AB69" s="72">
        <v>4515.01</v>
      </c>
      <c r="AC69" s="15" t="s">
        <v>686</v>
      </c>
      <c r="AD69" s="9">
        <v>6503.01</v>
      </c>
      <c r="AE69" s="15" t="s">
        <v>725</v>
      </c>
      <c r="AF69" s="9">
        <v>1970</v>
      </c>
      <c r="AG69" s="15" t="s">
        <v>843</v>
      </c>
      <c r="AH69" s="24">
        <v>9500</v>
      </c>
      <c r="AI69" s="15" t="s">
        <v>780</v>
      </c>
      <c r="AJ69" s="15">
        <v>1970</v>
      </c>
      <c r="AK69" s="15" t="s">
        <v>890</v>
      </c>
      <c r="AL69" s="9">
        <v>4449.9799999999996</v>
      </c>
      <c r="AM69" s="15" t="s">
        <v>940</v>
      </c>
      <c r="AN69" s="15"/>
      <c r="AO69" s="15"/>
      <c r="AP69" s="15">
        <v>3298.66</v>
      </c>
      <c r="AQ69" s="15" t="s">
        <v>1007</v>
      </c>
      <c r="AR69" s="9">
        <v>1099.01</v>
      </c>
      <c r="AS69" s="15" t="s">
        <v>1063</v>
      </c>
      <c r="AT69" s="9">
        <v>6088</v>
      </c>
      <c r="AU69" s="15" t="s">
        <v>1148</v>
      </c>
      <c r="AV69" s="99">
        <f>SUM(AV60:AV68)</f>
        <v>34349.93</v>
      </c>
      <c r="AW69" s="15"/>
      <c r="AX69" s="9">
        <v>1969.99</v>
      </c>
      <c r="AY69" s="15" t="s">
        <v>1245</v>
      </c>
      <c r="AZ69" s="112">
        <v>1969.99</v>
      </c>
      <c r="BA69" s="15" t="s">
        <v>1289</v>
      </c>
      <c r="BB69" s="15"/>
      <c r="BC69" s="15"/>
      <c r="BD69" s="9">
        <v>1099.01</v>
      </c>
      <c r="BE69" s="15" t="s">
        <v>1350</v>
      </c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</row>
    <row r="70" spans="1:142" s="9" customFormat="1" x14ac:dyDescent="0.2">
      <c r="A70" s="41"/>
      <c r="C70" s="15"/>
      <c r="D70" s="9">
        <v>1099.01</v>
      </c>
      <c r="E70" s="15" t="s">
        <v>123</v>
      </c>
      <c r="F70" s="9">
        <v>2249.9899999999998</v>
      </c>
      <c r="G70" s="15" t="s">
        <v>170</v>
      </c>
      <c r="H70" s="9">
        <v>1099.01</v>
      </c>
      <c r="I70" s="15" t="s">
        <v>225</v>
      </c>
      <c r="J70" s="9">
        <v>2294.9899999999998</v>
      </c>
      <c r="K70" s="15" t="s">
        <v>296</v>
      </c>
      <c r="L70" s="9">
        <v>4210.25</v>
      </c>
      <c r="M70" s="15" t="s">
        <v>340</v>
      </c>
      <c r="N70" s="9">
        <v>2400.9899999999998</v>
      </c>
      <c r="O70" s="15" t="s">
        <v>373</v>
      </c>
      <c r="P70" s="9">
        <v>5169.01</v>
      </c>
      <c r="Q70" s="15" t="s">
        <v>445</v>
      </c>
      <c r="S70" s="15"/>
      <c r="U70" s="15"/>
      <c r="W70" s="15"/>
      <c r="X70" s="9">
        <v>1970</v>
      </c>
      <c r="Y70" s="15" t="s">
        <v>572</v>
      </c>
      <c r="AA70" s="15"/>
      <c r="AB70" s="72">
        <v>11595.42</v>
      </c>
      <c r="AC70" s="15" t="s">
        <v>687</v>
      </c>
      <c r="AD70" s="9">
        <v>1099.01</v>
      </c>
      <c r="AE70" s="15" t="s">
        <v>726</v>
      </c>
      <c r="AF70" s="72">
        <v>1995</v>
      </c>
      <c r="AG70" s="24" t="s">
        <v>872</v>
      </c>
      <c r="AH70" s="72">
        <v>4395.01</v>
      </c>
      <c r="AI70" s="15" t="s">
        <v>781</v>
      </c>
      <c r="AJ70" s="9">
        <v>104.4</v>
      </c>
      <c r="AK70" s="15" t="s">
        <v>891</v>
      </c>
      <c r="AL70" s="9">
        <v>3250.01</v>
      </c>
      <c r="AM70" s="15" t="s">
        <v>943</v>
      </c>
      <c r="AO70" s="15"/>
      <c r="AP70" s="9">
        <v>3152.6</v>
      </c>
      <c r="AQ70" s="15" t="s">
        <v>1009</v>
      </c>
      <c r="AR70" s="9">
        <v>1995</v>
      </c>
      <c r="AS70" s="15" t="s">
        <v>1068</v>
      </c>
      <c r="AT70" s="9">
        <v>3250</v>
      </c>
      <c r="AU70" s="15" t="s">
        <v>1152</v>
      </c>
      <c r="AW70" s="15"/>
      <c r="AX70" s="9">
        <v>1970</v>
      </c>
      <c r="AY70" s="15" t="s">
        <v>1247</v>
      </c>
      <c r="AZ70" s="112">
        <v>2916.98</v>
      </c>
      <c r="BA70" s="15" t="s">
        <v>1290</v>
      </c>
      <c r="BC70" s="15"/>
      <c r="BD70" s="9">
        <v>3250.01</v>
      </c>
      <c r="BE70" s="15" t="s">
        <v>1351</v>
      </c>
      <c r="BF70" s="72"/>
      <c r="BG70" s="15"/>
      <c r="BI70" s="15"/>
      <c r="BK70" s="15"/>
      <c r="BM70" s="15"/>
      <c r="BO70" s="15"/>
      <c r="BQ70" s="15"/>
      <c r="BS70" s="15"/>
      <c r="BU70" s="15"/>
      <c r="BW70" s="15"/>
      <c r="BY70" s="15"/>
      <c r="CA70" s="15"/>
      <c r="CC70" s="15"/>
      <c r="CE70" s="15"/>
      <c r="CG70" s="15"/>
      <c r="CI70" s="15"/>
      <c r="CK70" s="15"/>
      <c r="CM70" s="15"/>
      <c r="CO70" s="15"/>
      <c r="CQ70" s="15"/>
      <c r="CS70" s="15"/>
      <c r="CU70" s="15"/>
      <c r="CW70" s="15"/>
      <c r="CY70" s="15"/>
      <c r="DA70" s="15"/>
      <c r="DC70" s="15"/>
      <c r="DE70" s="15"/>
      <c r="DG70" s="15"/>
      <c r="DI70" s="15"/>
      <c r="DK70" s="15"/>
      <c r="DM70" s="15"/>
      <c r="DO70" s="15"/>
      <c r="DQ70" s="15"/>
      <c r="DS70" s="15"/>
      <c r="DU70" s="15"/>
      <c r="DW70" s="15"/>
      <c r="DY70" s="15"/>
      <c r="EA70" s="15"/>
      <c r="EC70" s="15"/>
      <c r="EE70" s="15"/>
      <c r="EG70" s="15"/>
      <c r="EI70" s="15"/>
      <c r="EK70" s="15"/>
    </row>
    <row r="71" spans="1:142" s="9" customFormat="1" x14ac:dyDescent="0.2">
      <c r="A71" s="41"/>
      <c r="C71" s="15"/>
      <c r="D71" s="9">
        <v>500</v>
      </c>
      <c r="E71" s="15" t="s">
        <v>129</v>
      </c>
      <c r="F71" s="9">
        <v>1110.98</v>
      </c>
      <c r="G71" s="15" t="s">
        <v>175</v>
      </c>
      <c r="H71" s="9">
        <v>1099</v>
      </c>
      <c r="I71" s="15" t="s">
        <v>235</v>
      </c>
      <c r="J71" s="9">
        <v>3250.01</v>
      </c>
      <c r="K71" s="15" t="s">
        <v>298</v>
      </c>
      <c r="L71" s="51">
        <f>SUM(L60:L70)</f>
        <v>43209.219999999994</v>
      </c>
      <c r="N71" s="9">
        <v>1099</v>
      </c>
      <c r="O71" s="15" t="s">
        <v>393</v>
      </c>
      <c r="P71" s="51">
        <f>SUM(P60:P70)</f>
        <v>66931.409999999989</v>
      </c>
      <c r="Q71" s="15"/>
      <c r="S71" s="15"/>
      <c r="U71" s="15"/>
      <c r="W71" s="15"/>
      <c r="X71" s="51">
        <f>SUM(X60:X70)</f>
        <v>35316.720000000001</v>
      </c>
      <c r="AA71" s="15"/>
      <c r="AB71" s="89">
        <v>353.9</v>
      </c>
      <c r="AC71" s="15" t="s">
        <v>688</v>
      </c>
      <c r="AD71" s="9">
        <v>1099.01</v>
      </c>
      <c r="AE71" s="15" t="s">
        <v>727</v>
      </c>
      <c r="AF71" s="9">
        <v>1094.26</v>
      </c>
      <c r="AG71" s="15" t="s">
        <v>849</v>
      </c>
      <c r="AH71" s="72">
        <v>1919</v>
      </c>
      <c r="AI71" s="15" t="s">
        <v>782</v>
      </c>
      <c r="AJ71" s="9">
        <v>1099.01</v>
      </c>
      <c r="AK71" s="15" t="s">
        <v>893</v>
      </c>
      <c r="AL71" s="9">
        <v>1579</v>
      </c>
      <c r="AM71" s="15" t="s">
        <v>944</v>
      </c>
      <c r="AO71" s="15"/>
      <c r="AP71" s="9">
        <v>1099.01</v>
      </c>
      <c r="AQ71" s="15" t="s">
        <v>1015</v>
      </c>
      <c r="AR71" s="9">
        <v>1995</v>
      </c>
      <c r="AS71" s="15" t="s">
        <v>1078</v>
      </c>
      <c r="AT71" s="9">
        <v>2865.99</v>
      </c>
      <c r="AU71" s="15" t="s">
        <v>1154</v>
      </c>
      <c r="AW71" s="15"/>
      <c r="AX71" s="9">
        <v>5299.88</v>
      </c>
      <c r="AY71" s="15" t="s">
        <v>1250</v>
      </c>
      <c r="AZ71" s="112">
        <v>1479</v>
      </c>
      <c r="BA71" s="15" t="s">
        <v>1295</v>
      </c>
      <c r="BC71" s="15"/>
      <c r="BD71" s="9">
        <v>2866</v>
      </c>
      <c r="BE71" s="15" t="s">
        <v>1353</v>
      </c>
      <c r="BF71" s="24"/>
      <c r="BG71" s="15"/>
      <c r="BI71" s="15"/>
      <c r="BK71" s="15"/>
      <c r="BM71" s="15"/>
      <c r="BO71" s="15"/>
      <c r="BQ71" s="15"/>
      <c r="BS71" s="15"/>
      <c r="BU71" s="15"/>
      <c r="BW71" s="15"/>
      <c r="BY71" s="15"/>
      <c r="CA71" s="15"/>
      <c r="CC71" s="15"/>
      <c r="CE71" s="15"/>
      <c r="CG71" s="15"/>
      <c r="CI71" s="15"/>
      <c r="CK71" s="15"/>
      <c r="CM71" s="15"/>
      <c r="CO71" s="15"/>
      <c r="CQ71" s="15"/>
      <c r="CS71" s="15"/>
      <c r="CU71" s="15"/>
      <c r="CW71" s="15"/>
      <c r="CY71" s="15"/>
      <c r="DA71" s="15"/>
      <c r="DC71" s="15"/>
      <c r="DE71" s="15"/>
      <c r="DG71" s="15"/>
      <c r="DI71" s="15"/>
      <c r="DK71" s="15"/>
      <c r="DM71" s="15"/>
      <c r="DO71" s="15"/>
      <c r="DQ71" s="15"/>
      <c r="DS71" s="15"/>
      <c r="DU71" s="15"/>
      <c r="DW71" s="15"/>
      <c r="DY71" s="15"/>
      <c r="EA71" s="15"/>
      <c r="EC71" s="15"/>
      <c r="EE71" s="15"/>
      <c r="EG71" s="15"/>
      <c r="EI71" s="15"/>
      <c r="EK71" s="15"/>
    </row>
    <row r="72" spans="1:142" s="15" customFormat="1" x14ac:dyDescent="0.2">
      <c r="A72" s="41"/>
      <c r="D72" s="15">
        <v>4100</v>
      </c>
      <c r="E72" s="15" t="s">
        <v>130</v>
      </c>
      <c r="F72" s="15">
        <v>237.48</v>
      </c>
      <c r="G72" s="15" t="s">
        <v>178</v>
      </c>
      <c r="H72" s="15">
        <v>1969.99</v>
      </c>
      <c r="I72" s="15" t="s">
        <v>240</v>
      </c>
      <c r="J72" s="9">
        <v>1969.99</v>
      </c>
      <c r="K72" s="15" t="s">
        <v>299</v>
      </c>
      <c r="N72" s="15">
        <v>1099</v>
      </c>
      <c r="O72" s="15" t="s">
        <v>394</v>
      </c>
      <c r="AB72" s="15">
        <f>SUM(AB60:AB71)</f>
        <v>39274.600000000006</v>
      </c>
      <c r="AD72" s="9">
        <v>14000</v>
      </c>
      <c r="AE72" s="15" t="s">
        <v>728</v>
      </c>
      <c r="AF72" s="9">
        <v>4394.9799999999996</v>
      </c>
      <c r="AG72" s="15" t="s">
        <v>856</v>
      </c>
      <c r="AH72" s="24">
        <v>1099.01</v>
      </c>
      <c r="AI72" s="15" t="s">
        <v>783</v>
      </c>
      <c r="AJ72" s="15">
        <v>1970</v>
      </c>
      <c r="AK72" s="15" t="s">
        <v>894</v>
      </c>
      <c r="AL72" s="9">
        <v>663.31</v>
      </c>
      <c r="AM72" s="15" t="s">
        <v>945</v>
      </c>
      <c r="AP72" s="15">
        <v>1970</v>
      </c>
      <c r="AQ72" s="15" t="s">
        <v>1020</v>
      </c>
      <c r="AR72" s="9">
        <v>2350</v>
      </c>
      <c r="AS72" s="15" t="s">
        <v>1079</v>
      </c>
      <c r="AT72" s="99">
        <f>SUM(AT60:AT71)</f>
        <v>43009.599999999999</v>
      </c>
      <c r="AX72" s="9">
        <v>1700</v>
      </c>
      <c r="AY72" s="15" t="s">
        <v>1260</v>
      </c>
      <c r="AZ72" s="112">
        <v>504.99</v>
      </c>
      <c r="BA72" s="15" t="s">
        <v>1296</v>
      </c>
      <c r="BD72" s="9">
        <v>4346.87</v>
      </c>
      <c r="BE72" s="15" t="s">
        <v>1354</v>
      </c>
    </row>
    <row r="73" spans="1:142" s="9" customFormat="1" x14ac:dyDescent="0.2">
      <c r="A73" s="41"/>
      <c r="C73" s="15"/>
      <c r="D73" s="9">
        <v>1969.99</v>
      </c>
      <c r="E73" s="15" t="s">
        <v>133</v>
      </c>
      <c r="F73" s="9">
        <v>5245.09</v>
      </c>
      <c r="G73" s="15" t="s">
        <v>181</v>
      </c>
      <c r="H73" s="9">
        <v>1970</v>
      </c>
      <c r="I73" s="15" t="s">
        <v>241</v>
      </c>
      <c r="J73" s="9">
        <v>3250</v>
      </c>
      <c r="K73" s="15" t="s">
        <v>263</v>
      </c>
      <c r="M73" s="15"/>
      <c r="N73" s="51">
        <f>SUM(N60:N72)</f>
        <v>48877.72</v>
      </c>
      <c r="O73" s="15"/>
      <c r="Q73" s="15"/>
      <c r="S73" s="15"/>
      <c r="U73" s="15"/>
      <c r="W73" s="15"/>
      <c r="Y73" s="15"/>
      <c r="AA73" s="15"/>
      <c r="AC73" s="15"/>
      <c r="AD73" s="9">
        <v>3169</v>
      </c>
      <c r="AE73" s="15" t="s">
        <v>729</v>
      </c>
      <c r="AF73" s="9">
        <v>1800</v>
      </c>
      <c r="AG73" s="15" t="s">
        <v>859</v>
      </c>
      <c r="AH73" s="72">
        <v>13471.67</v>
      </c>
      <c r="AI73" s="15" t="s">
        <v>784</v>
      </c>
      <c r="AJ73" s="9">
        <v>1099.01</v>
      </c>
      <c r="AK73" s="15" t="s">
        <v>895</v>
      </c>
      <c r="AL73" s="9">
        <v>1969.99</v>
      </c>
      <c r="AM73" s="15" t="s">
        <v>946</v>
      </c>
      <c r="AO73" s="15"/>
      <c r="AP73" s="9">
        <v>2360.0100000000002</v>
      </c>
      <c r="AQ73" s="15" t="s">
        <v>1021</v>
      </c>
      <c r="AR73" s="9">
        <v>3168.99</v>
      </c>
      <c r="AS73" s="15" t="s">
        <v>1080</v>
      </c>
      <c r="AU73" s="15"/>
      <c r="AW73" s="15"/>
      <c r="AX73" s="99">
        <f>SUM(AX60:AX72)</f>
        <v>78135.450000000012</v>
      </c>
      <c r="AY73" s="15"/>
      <c r="AZ73" s="112">
        <v>1994.99</v>
      </c>
      <c r="BA73" s="15" t="s">
        <v>1299</v>
      </c>
      <c r="BC73" s="15"/>
      <c r="BD73" s="9">
        <v>2692.94</v>
      </c>
      <c r="BE73" s="15" t="s">
        <v>1358</v>
      </c>
      <c r="BG73" s="15"/>
      <c r="BI73" s="15"/>
      <c r="BK73" s="15"/>
      <c r="BM73" s="15"/>
      <c r="BO73" s="15"/>
      <c r="BQ73" s="15"/>
      <c r="BS73" s="15"/>
      <c r="BU73" s="15"/>
      <c r="BW73" s="15"/>
      <c r="BY73" s="15"/>
      <c r="CA73" s="15"/>
      <c r="CC73" s="15"/>
      <c r="CE73" s="15"/>
      <c r="CG73" s="15"/>
      <c r="CI73" s="15"/>
      <c r="CK73" s="15"/>
      <c r="CM73" s="15"/>
      <c r="CO73" s="15"/>
      <c r="CQ73" s="15"/>
      <c r="CS73" s="15"/>
      <c r="CU73" s="15"/>
      <c r="CW73" s="15"/>
      <c r="CY73" s="15"/>
      <c r="DA73" s="15"/>
      <c r="DC73" s="15"/>
      <c r="DE73" s="15"/>
      <c r="DG73" s="15"/>
      <c r="DI73" s="15"/>
      <c r="DK73" s="15"/>
      <c r="DM73" s="15"/>
      <c r="DO73" s="15"/>
      <c r="DQ73" s="15"/>
      <c r="DS73" s="15"/>
      <c r="DU73" s="15"/>
      <c r="DW73" s="15"/>
      <c r="DY73" s="15"/>
      <c r="EA73" s="15"/>
      <c r="EC73" s="15"/>
      <c r="EE73" s="15"/>
      <c r="EG73" s="15"/>
      <c r="EI73" s="15"/>
      <c r="EK73" s="15"/>
    </row>
    <row r="74" spans="1:142" s="9" customFormat="1" x14ac:dyDescent="0.2">
      <c r="A74" s="41"/>
      <c r="C74" s="15"/>
      <c r="D74" s="9">
        <v>1099</v>
      </c>
      <c r="E74" s="15" t="s">
        <v>134</v>
      </c>
      <c r="F74" s="9">
        <v>1970</v>
      </c>
      <c r="G74" s="15" t="s">
        <v>182</v>
      </c>
      <c r="H74" s="9">
        <v>3039.98</v>
      </c>
      <c r="I74" s="15" t="s">
        <v>237</v>
      </c>
      <c r="J74" s="9">
        <v>2000</v>
      </c>
      <c r="K74" s="15" t="s">
        <v>266</v>
      </c>
      <c r="M74" s="15"/>
      <c r="O74" s="15"/>
      <c r="Q74" s="15"/>
      <c r="S74" s="15"/>
      <c r="U74" s="15"/>
      <c r="W74" s="15"/>
      <c r="Y74" s="15"/>
      <c r="AA74" s="15"/>
      <c r="AC74" s="15"/>
      <c r="AD74" s="90">
        <v>5000</v>
      </c>
      <c r="AE74" s="15" t="s">
        <v>730</v>
      </c>
      <c r="AF74" s="9">
        <v>474.29</v>
      </c>
      <c r="AG74" s="15" t="s">
        <v>860</v>
      </c>
      <c r="AH74" s="72">
        <v>800.01</v>
      </c>
      <c r="AI74" s="15" t="s">
        <v>785</v>
      </c>
      <c r="AJ74" s="9">
        <v>4395.01</v>
      </c>
      <c r="AK74" s="15" t="s">
        <v>897</v>
      </c>
      <c r="AL74" s="9">
        <v>1969.99</v>
      </c>
      <c r="AM74" s="15" t="s">
        <v>947</v>
      </c>
      <c r="AO74" s="15"/>
      <c r="AP74" s="9">
        <v>912.87</v>
      </c>
      <c r="AQ74" s="15" t="s">
        <v>1029</v>
      </c>
      <c r="AR74" s="9">
        <v>1995</v>
      </c>
      <c r="AS74" s="15" t="s">
        <v>1081</v>
      </c>
      <c r="AU74" s="15"/>
      <c r="AW74" s="15"/>
      <c r="AY74" s="15"/>
      <c r="AZ74" s="112">
        <v>52.2</v>
      </c>
      <c r="BA74" s="15" t="s">
        <v>1300</v>
      </c>
      <c r="BC74" s="15"/>
      <c r="BD74" s="9">
        <v>2032.87</v>
      </c>
      <c r="BE74" s="15" t="s">
        <v>1359</v>
      </c>
      <c r="BG74" s="15"/>
      <c r="BI74" s="15"/>
      <c r="BK74" s="15"/>
      <c r="BM74" s="15"/>
      <c r="BO74" s="15"/>
      <c r="BQ74" s="15"/>
      <c r="BS74" s="15"/>
      <c r="BU74" s="15"/>
      <c r="BW74" s="15"/>
      <c r="BY74" s="15"/>
      <c r="CA74" s="15"/>
      <c r="CC74" s="15"/>
      <c r="CE74" s="15"/>
      <c r="CG74" s="15"/>
      <c r="CI74" s="15"/>
      <c r="CK74" s="15"/>
      <c r="CM74" s="15"/>
      <c r="CO74" s="15"/>
      <c r="CQ74" s="15"/>
      <c r="CS74" s="15"/>
      <c r="CU74" s="15"/>
      <c r="CW74" s="15"/>
      <c r="CY74" s="15"/>
      <c r="DA74" s="15"/>
      <c r="DC74" s="15"/>
      <c r="DE74" s="15"/>
      <c r="DG74" s="15"/>
      <c r="DI74" s="15"/>
      <c r="DK74" s="15"/>
      <c r="DM74" s="15"/>
      <c r="DO74" s="15"/>
      <c r="DQ74" s="15"/>
      <c r="DS74" s="15"/>
      <c r="DU74" s="15"/>
      <c r="DW74" s="15"/>
      <c r="DY74" s="15"/>
      <c r="EA74" s="15"/>
      <c r="EC74" s="15"/>
      <c r="EE74" s="15"/>
      <c r="EG74" s="15"/>
      <c r="EI74" s="15"/>
      <c r="EK74" s="15"/>
    </row>
    <row r="75" spans="1:142" s="9" customFormat="1" x14ac:dyDescent="0.2">
      <c r="A75" s="41"/>
      <c r="C75" s="15"/>
      <c r="D75" s="9">
        <v>1970</v>
      </c>
      <c r="E75" s="15" t="s">
        <v>137</v>
      </c>
      <c r="F75" s="9">
        <v>400</v>
      </c>
      <c r="G75" s="15" t="s">
        <v>184</v>
      </c>
      <c r="H75" s="9">
        <v>1829</v>
      </c>
      <c r="I75" s="15" t="s">
        <v>238</v>
      </c>
      <c r="J75" s="9">
        <v>1969.99</v>
      </c>
      <c r="K75" s="15" t="s">
        <v>261</v>
      </c>
      <c r="M75" s="15"/>
      <c r="O75" s="15"/>
      <c r="Q75" s="15"/>
      <c r="S75" s="15"/>
      <c r="U75" s="15"/>
      <c r="W75" s="15"/>
      <c r="AA75" s="15"/>
      <c r="AC75" s="15"/>
      <c r="AD75" s="15">
        <f>SUM(AD60:AD74)</f>
        <v>67803.5</v>
      </c>
      <c r="AE75" s="15"/>
      <c r="AF75" s="9">
        <v>923.7</v>
      </c>
      <c r="AG75" s="15" t="s">
        <v>869</v>
      </c>
      <c r="AH75" s="72">
        <v>1099.01</v>
      </c>
      <c r="AI75" s="15" t="s">
        <v>786</v>
      </c>
      <c r="AJ75" s="9">
        <v>1449</v>
      </c>
      <c r="AK75" s="15" t="s">
        <v>900</v>
      </c>
      <c r="AL75" s="9">
        <v>4169.01</v>
      </c>
      <c r="AM75" s="15" t="s">
        <v>949</v>
      </c>
      <c r="AO75" s="15"/>
      <c r="AP75" s="99">
        <f>SUM(AP60:AP74)</f>
        <v>57433.08</v>
      </c>
      <c r="AQ75" s="15"/>
      <c r="AR75" s="9">
        <v>1987</v>
      </c>
      <c r="AS75" s="15" t="s">
        <v>1087</v>
      </c>
      <c r="AU75" s="15"/>
      <c r="AW75" s="15"/>
      <c r="AY75" s="15"/>
      <c r="AZ75" s="112">
        <v>1970</v>
      </c>
      <c r="BA75" s="15" t="s">
        <v>1301</v>
      </c>
      <c r="BC75" s="15"/>
      <c r="BD75" s="7">
        <v>5291</v>
      </c>
      <c r="BE75" s="26" t="s">
        <v>1357</v>
      </c>
      <c r="BG75" s="15"/>
      <c r="BI75" s="15"/>
      <c r="BK75" s="15"/>
      <c r="BM75" s="15"/>
      <c r="BO75" s="15"/>
      <c r="BQ75" s="15"/>
      <c r="BS75" s="15"/>
      <c r="BU75" s="15"/>
      <c r="BW75" s="15"/>
      <c r="BY75" s="15"/>
      <c r="CA75" s="15"/>
      <c r="CC75" s="15"/>
      <c r="CE75" s="15"/>
      <c r="CG75" s="15"/>
      <c r="CI75" s="15"/>
      <c r="CK75" s="15"/>
      <c r="CM75" s="15"/>
      <c r="CO75" s="15"/>
      <c r="CQ75" s="15"/>
      <c r="CS75" s="15"/>
      <c r="CU75" s="15"/>
      <c r="CW75" s="15"/>
      <c r="CY75" s="15"/>
      <c r="DA75" s="15"/>
      <c r="DC75" s="15"/>
      <c r="DE75" s="15"/>
      <c r="DG75" s="15"/>
      <c r="DI75" s="15"/>
      <c r="DK75" s="15"/>
      <c r="DM75" s="15"/>
      <c r="DO75" s="15"/>
      <c r="DQ75" s="15"/>
      <c r="DS75" s="15"/>
      <c r="DU75" s="15"/>
      <c r="DW75" s="15"/>
      <c r="DY75" s="15"/>
      <c r="EA75" s="15"/>
      <c r="EC75" s="15"/>
      <c r="EE75" s="15"/>
      <c r="EG75" s="15"/>
      <c r="EI75" s="15"/>
      <c r="EK75" s="15"/>
    </row>
    <row r="76" spans="1:142" s="9" customFormat="1" x14ac:dyDescent="0.2">
      <c r="A76" s="41"/>
      <c r="C76" s="15"/>
      <c r="D76" s="9">
        <v>1970</v>
      </c>
      <c r="E76" s="15" t="s">
        <v>139</v>
      </c>
      <c r="F76" s="9">
        <v>1099.01</v>
      </c>
      <c r="G76" s="15" t="s">
        <v>163</v>
      </c>
      <c r="H76" s="51">
        <f>SUM(H60:H75)</f>
        <v>163632.60000000006</v>
      </c>
      <c r="I76" s="15"/>
      <c r="J76" s="51">
        <f>SUM(J60:J75)</f>
        <v>83929.02</v>
      </c>
      <c r="M76" s="15"/>
      <c r="O76" s="15"/>
      <c r="Q76" s="15"/>
      <c r="S76" s="15"/>
      <c r="U76" s="15"/>
      <c r="W76" s="15"/>
      <c r="Y76" s="15"/>
      <c r="AA76" s="15"/>
      <c r="AC76" s="15"/>
      <c r="AD76" s="9" t="s">
        <v>715</v>
      </c>
      <c r="AE76" s="15"/>
      <c r="AF76" s="95">
        <f>SUM(AF59:AF75)</f>
        <v>37615.669999999991</v>
      </c>
      <c r="AG76" s="15"/>
      <c r="AH76" s="72">
        <v>15000</v>
      </c>
      <c r="AI76" s="15" t="s">
        <v>787</v>
      </c>
      <c r="AJ76" s="9">
        <v>150</v>
      </c>
      <c r="AK76" s="15" t="s">
        <v>903</v>
      </c>
      <c r="AL76" s="9">
        <v>1099.01</v>
      </c>
      <c r="AM76" s="15" t="s">
        <v>950</v>
      </c>
      <c r="AO76" s="15"/>
      <c r="AQ76" s="15"/>
      <c r="AR76" s="9">
        <v>1099.01</v>
      </c>
      <c r="AS76" s="15" t="s">
        <v>1089</v>
      </c>
      <c r="AU76" s="15"/>
      <c r="AW76" s="15"/>
      <c r="AY76" s="15"/>
      <c r="AZ76" s="9">
        <v>1099.01</v>
      </c>
      <c r="BA76" s="15" t="s">
        <v>1304</v>
      </c>
      <c r="BC76" s="15"/>
      <c r="BD76" s="99">
        <f>+SUM(BD59:BD75)</f>
        <v>139306.24999999997</v>
      </c>
      <c r="BE76" s="15"/>
      <c r="BG76" s="15"/>
      <c r="BI76" s="15"/>
      <c r="BK76" s="15"/>
      <c r="BM76" s="15"/>
      <c r="BO76" s="15"/>
      <c r="BQ76" s="15"/>
      <c r="BS76" s="15"/>
      <c r="BU76" s="15"/>
      <c r="BW76" s="15"/>
      <c r="BY76" s="15"/>
      <c r="CA76" s="15"/>
      <c r="CC76" s="15"/>
      <c r="CE76" s="15"/>
      <c r="CG76" s="15"/>
      <c r="CI76" s="15"/>
      <c r="CK76" s="15"/>
      <c r="CM76" s="15"/>
      <c r="CO76" s="15"/>
      <c r="CQ76" s="15"/>
      <c r="CS76" s="15"/>
      <c r="CU76" s="15"/>
      <c r="CW76" s="15"/>
      <c r="CY76" s="15"/>
      <c r="DA76" s="15"/>
      <c r="DC76" s="15"/>
      <c r="DE76" s="15"/>
      <c r="DG76" s="15"/>
      <c r="DI76" s="15"/>
      <c r="DK76" s="15"/>
      <c r="DM76" s="15"/>
      <c r="DO76" s="15"/>
      <c r="DQ76" s="15"/>
      <c r="DS76" s="15"/>
      <c r="DU76" s="15"/>
      <c r="DW76" s="15"/>
      <c r="DY76" s="15"/>
      <c r="EA76" s="15"/>
      <c r="EC76" s="15"/>
      <c r="EE76" s="15"/>
      <c r="EG76" s="15"/>
      <c r="EI76" s="15"/>
      <c r="EK76" s="15"/>
    </row>
    <row r="77" spans="1:142" s="9" customFormat="1" x14ac:dyDescent="0.2">
      <c r="A77" s="41"/>
      <c r="C77" s="15"/>
      <c r="D77" s="52">
        <f>SUM(D60:D76)</f>
        <v>76672.340000000011</v>
      </c>
      <c r="E77" s="15"/>
      <c r="F77" s="9">
        <v>1970</v>
      </c>
      <c r="G77" s="15" t="s">
        <v>188</v>
      </c>
      <c r="I77" s="15"/>
      <c r="M77" s="15"/>
      <c r="O77" s="15"/>
      <c r="Q77" s="15"/>
      <c r="S77" s="15"/>
      <c r="U77" s="15"/>
      <c r="W77" s="15"/>
      <c r="Y77" s="15"/>
      <c r="AA77" s="15"/>
      <c r="AC77" s="15"/>
      <c r="AE77" s="15"/>
      <c r="AG77" s="15"/>
      <c r="AH77" s="72">
        <v>1766.93</v>
      </c>
      <c r="AI77" s="15" t="s">
        <v>788</v>
      </c>
      <c r="AJ77" s="99">
        <f>SUM(AJ60:AJ76)</f>
        <v>31168.440000000002</v>
      </c>
      <c r="AK77" s="15"/>
      <c r="AL77" s="9">
        <v>3169</v>
      </c>
      <c r="AM77" s="15" t="s">
        <v>951</v>
      </c>
      <c r="AO77" s="15"/>
      <c r="AQ77" s="15"/>
      <c r="AR77" s="9">
        <v>1432.25</v>
      </c>
      <c r="AS77" s="15" t="s">
        <v>1093</v>
      </c>
      <c r="AU77" s="15"/>
      <c r="AW77" s="15"/>
      <c r="AY77" s="15"/>
      <c r="AZ77" s="9">
        <v>4146</v>
      </c>
      <c r="BA77" s="15" t="s">
        <v>1305</v>
      </c>
      <c r="BC77" s="15"/>
      <c r="BD77" s="99"/>
      <c r="BE77" s="15"/>
      <c r="BG77" s="15"/>
      <c r="BI77" s="15"/>
      <c r="BK77" s="15"/>
      <c r="BM77" s="15"/>
      <c r="BO77" s="15"/>
      <c r="BQ77" s="15"/>
      <c r="BS77" s="15"/>
      <c r="BU77" s="15"/>
      <c r="BW77" s="15"/>
      <c r="BY77" s="15"/>
      <c r="CA77" s="15"/>
      <c r="CC77" s="15"/>
      <c r="CE77" s="15"/>
      <c r="CG77" s="15"/>
      <c r="CI77" s="15"/>
      <c r="CK77" s="15"/>
      <c r="CM77" s="15"/>
      <c r="CO77" s="15"/>
      <c r="CQ77" s="15"/>
      <c r="CS77" s="15"/>
      <c r="CU77" s="15"/>
      <c r="CW77" s="15"/>
      <c r="CY77" s="15"/>
      <c r="DA77" s="15"/>
      <c r="DC77" s="15"/>
      <c r="DE77" s="15"/>
      <c r="DG77" s="15"/>
      <c r="DI77" s="15"/>
      <c r="DK77" s="15"/>
      <c r="DM77" s="15"/>
      <c r="DO77" s="15"/>
      <c r="DQ77" s="15"/>
      <c r="DS77" s="15"/>
      <c r="DU77" s="15"/>
      <c r="DW77" s="15"/>
      <c r="DY77" s="15"/>
      <c r="EA77" s="15"/>
      <c r="EC77" s="15"/>
      <c r="EE77" s="15"/>
      <c r="EG77" s="15"/>
      <c r="EI77" s="15"/>
      <c r="EK77" s="15"/>
    </row>
    <row r="78" spans="1:142" s="9" customFormat="1" x14ac:dyDescent="0.2">
      <c r="A78" s="41"/>
      <c r="C78" s="15"/>
      <c r="E78" s="15"/>
      <c r="F78" s="9">
        <v>3549.01</v>
      </c>
      <c r="G78" s="15" t="s">
        <v>192</v>
      </c>
      <c r="I78" s="15"/>
      <c r="K78" s="15"/>
      <c r="M78" s="15"/>
      <c r="O78" s="15"/>
      <c r="Q78" s="15"/>
      <c r="S78" s="15"/>
      <c r="U78" s="15"/>
      <c r="W78" s="15"/>
      <c r="Y78" s="15"/>
      <c r="AA78" s="15"/>
      <c r="AC78" s="15"/>
      <c r="AE78" s="15"/>
      <c r="AG78" s="15"/>
      <c r="AH78" s="72">
        <v>1099.01</v>
      </c>
      <c r="AI78" s="15" t="s">
        <v>789</v>
      </c>
      <c r="AK78" s="15"/>
      <c r="AL78" s="9">
        <v>1099.01</v>
      </c>
      <c r="AM78" s="15" t="s">
        <v>952</v>
      </c>
      <c r="AO78" s="15"/>
      <c r="AQ78" s="15"/>
      <c r="AR78" s="99">
        <f>SUM(AR60:AR77)</f>
        <v>42398.44</v>
      </c>
      <c r="AS78" s="15"/>
      <c r="AU78" s="15"/>
      <c r="AW78" s="15"/>
      <c r="AY78" s="15"/>
      <c r="AZ78" s="112">
        <v>1768.15</v>
      </c>
      <c r="BA78" s="15" t="s">
        <v>1307</v>
      </c>
      <c r="BC78" s="15"/>
      <c r="BE78" s="15"/>
      <c r="BG78" s="15"/>
      <c r="BI78" s="15"/>
      <c r="BK78" s="15"/>
      <c r="BM78" s="15"/>
      <c r="BO78" s="15"/>
      <c r="BQ78" s="15"/>
      <c r="BS78" s="15"/>
      <c r="BU78" s="15"/>
      <c r="BW78" s="15"/>
      <c r="BY78" s="15"/>
      <c r="CA78" s="15"/>
      <c r="CC78" s="15"/>
      <c r="CE78" s="15"/>
      <c r="CG78" s="15"/>
      <c r="CI78" s="15"/>
      <c r="CK78" s="15"/>
      <c r="CM78" s="15"/>
      <c r="CO78" s="15"/>
      <c r="CQ78" s="15"/>
      <c r="CS78" s="15"/>
      <c r="CU78" s="15"/>
      <c r="CW78" s="15"/>
      <c r="CY78" s="15"/>
      <c r="DA78" s="15"/>
      <c r="DC78" s="15"/>
      <c r="DE78" s="15"/>
      <c r="DG78" s="15"/>
      <c r="DI78" s="15"/>
      <c r="DK78" s="15"/>
      <c r="DM78" s="15"/>
      <c r="DO78" s="15"/>
      <c r="DQ78" s="15"/>
      <c r="DS78" s="15"/>
      <c r="DU78" s="15"/>
      <c r="DW78" s="15"/>
      <c r="DY78" s="15"/>
      <c r="EA78" s="15"/>
      <c r="EC78" s="15"/>
      <c r="EE78" s="15"/>
      <c r="EG78" s="15"/>
      <c r="EI78" s="15"/>
      <c r="EK78" s="15"/>
    </row>
    <row r="79" spans="1:142" s="9" customFormat="1" x14ac:dyDescent="0.2">
      <c r="A79" s="41"/>
      <c r="C79" s="15"/>
      <c r="E79" s="15"/>
      <c r="F79" s="9">
        <v>635</v>
      </c>
      <c r="G79" s="15" t="s">
        <v>196</v>
      </c>
      <c r="I79" s="15"/>
      <c r="K79" s="15"/>
      <c r="M79" s="15"/>
      <c r="O79" s="15"/>
      <c r="Q79" s="15"/>
      <c r="S79" s="15"/>
      <c r="U79" s="15"/>
      <c r="W79" s="15"/>
      <c r="Y79" s="15"/>
      <c r="AA79" s="15"/>
      <c r="AC79" s="15"/>
      <c r="AE79" s="15"/>
      <c r="AG79" s="15"/>
      <c r="AH79" s="72">
        <v>4630.01</v>
      </c>
      <c r="AI79" s="15" t="s">
        <v>790</v>
      </c>
      <c r="AK79" s="15"/>
      <c r="AL79" s="9">
        <v>1099.01</v>
      </c>
      <c r="AM79" s="15" t="s">
        <v>954</v>
      </c>
      <c r="AO79" s="15"/>
      <c r="AQ79" s="15"/>
      <c r="AS79" s="15"/>
      <c r="AU79" s="15"/>
      <c r="AW79" s="15"/>
      <c r="AY79" s="15"/>
      <c r="AZ79" s="99">
        <f>SUM(AZ60:AZ78)</f>
        <v>47312.719999999994</v>
      </c>
      <c r="BA79" s="15"/>
      <c r="BC79" s="15"/>
      <c r="BE79" s="15"/>
      <c r="BG79" s="15"/>
      <c r="BI79" s="15"/>
      <c r="BK79" s="15"/>
      <c r="BM79" s="15"/>
      <c r="BO79" s="15"/>
      <c r="BQ79" s="15"/>
      <c r="BS79" s="15"/>
      <c r="BU79" s="15"/>
      <c r="BW79" s="15"/>
      <c r="BY79" s="15"/>
      <c r="CA79" s="15"/>
      <c r="CC79" s="15"/>
      <c r="CE79" s="15"/>
      <c r="CG79" s="15"/>
      <c r="CI79" s="15"/>
      <c r="CK79" s="15"/>
      <c r="CM79" s="15"/>
      <c r="CO79" s="15"/>
      <c r="CQ79" s="15"/>
      <c r="CS79" s="15"/>
      <c r="CU79" s="15"/>
      <c r="CW79" s="15"/>
      <c r="CY79" s="15"/>
      <c r="DA79" s="15"/>
      <c r="DC79" s="15"/>
      <c r="DE79" s="15"/>
      <c r="DG79" s="15"/>
      <c r="DI79" s="15"/>
      <c r="DK79" s="15"/>
      <c r="DM79" s="15"/>
      <c r="DO79" s="15"/>
      <c r="DQ79" s="15"/>
      <c r="DS79" s="15"/>
      <c r="DU79" s="15"/>
      <c r="DW79" s="15"/>
      <c r="DY79" s="15"/>
      <c r="EA79" s="15"/>
      <c r="EC79" s="15"/>
      <c r="EE79" s="15"/>
      <c r="EG79" s="15"/>
      <c r="EI79" s="15"/>
      <c r="EK79" s="15"/>
    </row>
    <row r="80" spans="1:142" s="9" customFormat="1" x14ac:dyDescent="0.2">
      <c r="A80" s="41"/>
      <c r="C80" s="15"/>
      <c r="E80" s="15"/>
      <c r="F80" s="51">
        <f>SUM(F60:F79)</f>
        <v>64186.070000000007</v>
      </c>
      <c r="G80" s="15"/>
      <c r="I80" s="15"/>
      <c r="K80" s="15"/>
      <c r="M80" s="15"/>
      <c r="O80" s="15"/>
      <c r="Q80" s="15"/>
      <c r="S80" s="15"/>
      <c r="U80" s="15"/>
      <c r="W80" s="15"/>
      <c r="Y80" s="15"/>
      <c r="AA80" s="15"/>
      <c r="AC80" s="15"/>
      <c r="AE80" s="15"/>
      <c r="AG80" s="15"/>
      <c r="AH80" s="72">
        <v>1099.01</v>
      </c>
      <c r="AI80" s="15" t="s">
        <v>791</v>
      </c>
      <c r="AK80" s="15"/>
      <c r="AL80" s="9">
        <v>1099.01</v>
      </c>
      <c r="AM80" s="15" t="s">
        <v>960</v>
      </c>
      <c r="AO80" s="15"/>
      <c r="AQ80" s="15"/>
      <c r="AS80" s="15"/>
      <c r="AU80" s="15"/>
      <c r="AW80" s="15"/>
      <c r="AY80" s="15"/>
      <c r="BC80" s="15"/>
      <c r="BE80" s="15"/>
      <c r="BG80" s="15"/>
      <c r="BI80" s="15"/>
      <c r="BK80" s="15"/>
      <c r="BM80" s="15"/>
      <c r="BO80" s="15"/>
      <c r="BQ80" s="15"/>
      <c r="BS80" s="15"/>
      <c r="BU80" s="15"/>
      <c r="BW80" s="15"/>
      <c r="BY80" s="15"/>
      <c r="CA80" s="15"/>
      <c r="CC80" s="15"/>
      <c r="CE80" s="15"/>
      <c r="CG80" s="15"/>
      <c r="CI80" s="15"/>
      <c r="CK80" s="15"/>
      <c r="CM80" s="15"/>
      <c r="CO80" s="15"/>
      <c r="CQ80" s="15"/>
      <c r="CS80" s="15"/>
      <c r="CU80" s="15"/>
      <c r="CW80" s="15"/>
      <c r="CY80" s="15"/>
      <c r="DA80" s="15"/>
      <c r="DC80" s="15"/>
      <c r="DE80" s="15"/>
      <c r="DG80" s="15"/>
      <c r="DI80" s="15"/>
      <c r="DK80" s="15"/>
      <c r="DM80" s="15"/>
      <c r="DO80" s="15"/>
      <c r="DQ80" s="15"/>
      <c r="DS80" s="15"/>
      <c r="DU80" s="15"/>
      <c r="DW80" s="15"/>
      <c r="DY80" s="15"/>
      <c r="EA80" s="15"/>
      <c r="EC80" s="15"/>
      <c r="EE80" s="15"/>
      <c r="EG80" s="15"/>
      <c r="EI80" s="15"/>
      <c r="EK80" s="15"/>
    </row>
    <row r="81" spans="1:141" s="9" customFormat="1" x14ac:dyDescent="0.2">
      <c r="A81" s="41"/>
      <c r="C81" s="15"/>
      <c r="E81" s="15"/>
      <c r="G81" s="15"/>
      <c r="I81" s="15"/>
      <c r="K81" s="15"/>
      <c r="M81" s="15"/>
      <c r="O81" s="15"/>
      <c r="Q81" s="15"/>
      <c r="S81" s="15"/>
      <c r="U81" s="15"/>
      <c r="W81" s="15"/>
      <c r="Y81" s="15"/>
      <c r="AA81" s="15"/>
      <c r="AC81" s="15"/>
      <c r="AE81" s="15"/>
      <c r="AG81" s="15"/>
      <c r="AH81" s="89">
        <v>400</v>
      </c>
      <c r="AI81" s="15" t="s">
        <v>792</v>
      </c>
      <c r="AK81" s="15"/>
      <c r="AL81" s="9">
        <v>1995</v>
      </c>
      <c r="AM81" s="15" t="s">
        <v>965</v>
      </c>
      <c r="AO81" s="15"/>
      <c r="AQ81" s="15"/>
      <c r="AS81" s="15"/>
      <c r="AU81" s="15"/>
      <c r="AW81" s="15"/>
      <c r="AY81" s="15"/>
      <c r="BA81" s="15"/>
      <c r="BC81" s="15"/>
      <c r="BE81" s="15"/>
      <c r="BG81" s="15"/>
      <c r="BI81" s="15"/>
      <c r="BK81" s="15"/>
      <c r="BM81" s="15"/>
      <c r="BO81" s="15"/>
      <c r="BQ81" s="15"/>
      <c r="BS81" s="15"/>
      <c r="BU81" s="15"/>
      <c r="BW81" s="15"/>
      <c r="BY81" s="15"/>
      <c r="CA81" s="15"/>
      <c r="CC81" s="15"/>
      <c r="CE81" s="15"/>
      <c r="CG81" s="15"/>
      <c r="CI81" s="15"/>
      <c r="CK81" s="15"/>
      <c r="CM81" s="15"/>
      <c r="CO81" s="15"/>
      <c r="CQ81" s="15"/>
      <c r="CS81" s="15"/>
      <c r="CU81" s="15"/>
      <c r="CW81" s="15"/>
      <c r="CY81" s="15"/>
      <c r="DA81" s="15"/>
      <c r="DC81" s="15"/>
      <c r="DE81" s="15"/>
      <c r="DG81" s="15"/>
      <c r="DI81" s="15"/>
      <c r="DK81" s="15"/>
      <c r="DM81" s="15"/>
      <c r="DO81" s="15"/>
      <c r="DQ81" s="15"/>
      <c r="DS81" s="15"/>
      <c r="DU81" s="15"/>
      <c r="DW81" s="15"/>
      <c r="DY81" s="15"/>
      <c r="EA81" s="15"/>
      <c r="EC81" s="15"/>
      <c r="EE81" s="15"/>
      <c r="EG81" s="15"/>
      <c r="EI81" s="15"/>
      <c r="EK81" s="15"/>
    </row>
    <row r="82" spans="1:141" s="23" customFormat="1" x14ac:dyDescent="0.2">
      <c r="A82" s="42"/>
      <c r="AH82" s="24">
        <f>SUM(AH60:AH81)</f>
        <v>82857.439999999988</v>
      </c>
      <c r="AL82" s="14">
        <v>1148.4000000000001</v>
      </c>
      <c r="AM82" s="23" t="s">
        <v>969</v>
      </c>
    </row>
    <row r="83" spans="1:141" s="9" customFormat="1" x14ac:dyDescent="0.2">
      <c r="A83" s="41"/>
      <c r="C83" s="15"/>
      <c r="E83" s="15"/>
      <c r="G83" s="15"/>
      <c r="I83" s="15"/>
      <c r="K83" s="15"/>
      <c r="M83" s="15"/>
      <c r="O83" s="15"/>
      <c r="Q83" s="15"/>
      <c r="S83" s="15"/>
      <c r="U83" s="15"/>
      <c r="W83" s="15"/>
      <c r="Y83" s="15"/>
      <c r="AA83" s="15"/>
      <c r="AC83" s="15"/>
      <c r="AE83" s="15"/>
      <c r="AG83" s="15"/>
      <c r="AI83" s="15"/>
      <c r="AK83" s="15"/>
      <c r="AL83" s="99">
        <f>SUM(AL60:AL82)</f>
        <v>113341.47999999997</v>
      </c>
      <c r="AM83" s="15"/>
      <c r="AO83" s="15"/>
      <c r="AQ83" s="15"/>
      <c r="AS83" s="15"/>
      <c r="AU83" s="15"/>
      <c r="AW83" s="15"/>
      <c r="AY83" s="15"/>
      <c r="BA83" s="15"/>
      <c r="BC83" s="15"/>
      <c r="BE83" s="15"/>
      <c r="BG83" s="15"/>
      <c r="BI83" s="15"/>
      <c r="BK83" s="15"/>
      <c r="BM83" s="15"/>
      <c r="BO83" s="15"/>
      <c r="BQ83" s="15"/>
      <c r="BS83" s="15"/>
      <c r="BU83" s="15"/>
      <c r="BW83" s="15"/>
      <c r="BY83" s="15"/>
      <c r="CA83" s="15"/>
      <c r="CC83" s="15"/>
      <c r="CE83" s="15"/>
      <c r="CG83" s="15"/>
      <c r="CI83" s="15"/>
      <c r="CK83" s="15"/>
      <c r="CM83" s="15"/>
      <c r="CO83" s="15"/>
      <c r="CQ83" s="15"/>
      <c r="CS83" s="15"/>
      <c r="CU83" s="15"/>
      <c r="CW83" s="15"/>
      <c r="CY83" s="15"/>
      <c r="DA83" s="15"/>
      <c r="DC83" s="15"/>
      <c r="DE83" s="15"/>
      <c r="DG83" s="15"/>
      <c r="DI83" s="15"/>
      <c r="DK83" s="15"/>
      <c r="DM83" s="15"/>
      <c r="DO83" s="15"/>
      <c r="DQ83" s="15"/>
      <c r="DS83" s="15"/>
      <c r="DU83" s="15"/>
      <c r="DW83" s="15"/>
      <c r="DY83" s="15"/>
      <c r="EA83" s="15"/>
      <c r="EC83" s="15"/>
      <c r="EE83" s="15"/>
      <c r="EG83" s="15"/>
      <c r="EI83" s="15"/>
      <c r="EK83" s="15"/>
    </row>
    <row r="84" spans="1:141" s="9" customFormat="1" x14ac:dyDescent="0.2">
      <c r="A84" s="41"/>
      <c r="C84" s="15"/>
      <c r="E84" s="15"/>
      <c r="G84" s="15"/>
      <c r="I84" s="15"/>
      <c r="K84" s="15"/>
      <c r="M84" s="15"/>
      <c r="O84" s="15"/>
      <c r="Q84" s="15"/>
      <c r="S84" s="15"/>
      <c r="U84" s="15"/>
      <c r="W84" s="15"/>
      <c r="Y84" s="15"/>
      <c r="AA84" s="15"/>
      <c r="AC84" s="15"/>
      <c r="AE84" s="15"/>
      <c r="AG84" s="15"/>
      <c r="AI84" s="15"/>
      <c r="AK84" s="15"/>
      <c r="AM84" s="15"/>
      <c r="AO84" s="15"/>
      <c r="AQ84" s="15"/>
      <c r="AS84" s="15"/>
      <c r="AU84" s="15"/>
      <c r="AW84" s="15"/>
      <c r="AY84" s="15"/>
      <c r="BA84" s="15"/>
      <c r="BC84" s="15"/>
      <c r="BE84" s="15"/>
      <c r="BG84" s="15"/>
      <c r="BI84" s="15"/>
      <c r="BK84" s="15"/>
      <c r="BM84" s="15"/>
      <c r="BO84" s="15"/>
      <c r="BQ84" s="15"/>
      <c r="BS84" s="15"/>
      <c r="BU84" s="15"/>
      <c r="BW84" s="15"/>
      <c r="BY84" s="15"/>
      <c r="CA84" s="15"/>
      <c r="CC84" s="15"/>
      <c r="CE84" s="15"/>
      <c r="CG84" s="15"/>
      <c r="CI84" s="15"/>
      <c r="CK84" s="15"/>
      <c r="CM84" s="15"/>
      <c r="CO84" s="15"/>
      <c r="CQ84" s="15"/>
      <c r="CS84" s="15"/>
      <c r="CU84" s="15"/>
      <c r="CW84" s="15"/>
      <c r="CY84" s="15"/>
      <c r="DA84" s="15"/>
      <c r="DC84" s="15"/>
      <c r="DE84" s="15"/>
      <c r="DG84" s="15"/>
      <c r="DI84" s="15"/>
      <c r="DK84" s="15"/>
      <c r="DM84" s="15"/>
      <c r="DO84" s="15"/>
      <c r="DQ84" s="15"/>
      <c r="DS84" s="15"/>
      <c r="DU84" s="15"/>
      <c r="DW84" s="15"/>
      <c r="DY84" s="15"/>
      <c r="EA84" s="15"/>
      <c r="EC84" s="15"/>
      <c r="EE84" s="15"/>
      <c r="EG84" s="15"/>
      <c r="EI84" s="15"/>
      <c r="EK84" s="15"/>
    </row>
    <row r="85" spans="1:141" s="9" customFormat="1" x14ac:dyDescent="0.2">
      <c r="A85" s="41"/>
      <c r="C85" s="15"/>
      <c r="E85" s="15"/>
      <c r="G85" s="15"/>
      <c r="I85" s="15"/>
      <c r="K85" s="15"/>
      <c r="M85" s="15"/>
      <c r="O85" s="15"/>
      <c r="Q85" s="15"/>
      <c r="S85" s="15"/>
      <c r="U85" s="15"/>
      <c r="W85" s="15"/>
      <c r="Y85" s="15"/>
      <c r="AA85" s="15"/>
      <c r="AC85" s="15"/>
      <c r="AE85" s="15"/>
      <c r="AG85" s="15"/>
      <c r="AI85" s="15"/>
      <c r="AK85" s="15"/>
      <c r="AM85" s="15"/>
      <c r="AO85" s="15"/>
      <c r="AQ85" s="15"/>
      <c r="AS85" s="15"/>
      <c r="AU85" s="15"/>
      <c r="AW85" s="15"/>
      <c r="AY85" s="15"/>
      <c r="BA85" s="15"/>
      <c r="BC85" s="15"/>
      <c r="BE85" s="15"/>
      <c r="BG85" s="15"/>
      <c r="BI85" s="15"/>
      <c r="BK85" s="15"/>
      <c r="BM85" s="15"/>
      <c r="BO85" s="15"/>
      <c r="BQ85" s="15"/>
      <c r="BS85" s="15"/>
      <c r="BU85" s="15"/>
      <c r="BW85" s="15"/>
      <c r="BY85" s="15"/>
      <c r="CA85" s="15"/>
      <c r="CC85" s="15"/>
      <c r="CE85" s="15"/>
      <c r="CG85" s="15"/>
      <c r="CI85" s="15"/>
      <c r="CK85" s="15"/>
      <c r="CM85" s="15"/>
      <c r="CO85" s="15"/>
      <c r="CQ85" s="15"/>
      <c r="CS85" s="15"/>
      <c r="CU85" s="15"/>
      <c r="CW85" s="15"/>
      <c r="CY85" s="15"/>
      <c r="DA85" s="15"/>
      <c r="DC85" s="15"/>
      <c r="DE85" s="15"/>
      <c r="DG85" s="15"/>
      <c r="DI85" s="15"/>
      <c r="DK85" s="15"/>
      <c r="DM85" s="15"/>
      <c r="DO85" s="15"/>
      <c r="DQ85" s="15"/>
      <c r="DS85" s="15"/>
      <c r="DU85" s="15"/>
      <c r="DW85" s="15"/>
      <c r="DY85" s="15"/>
      <c r="EA85" s="15"/>
      <c r="EC85" s="15"/>
      <c r="EE85" s="15"/>
      <c r="EG85" s="15"/>
      <c r="EI85" s="15"/>
      <c r="EK85" s="15"/>
    </row>
    <row r="86" spans="1:141" s="9" customFormat="1" x14ac:dyDescent="0.2">
      <c r="A86" s="41"/>
      <c r="C86" s="15"/>
      <c r="E86" s="15"/>
      <c r="G86" s="15"/>
      <c r="I86" s="15"/>
      <c r="K86" s="15"/>
      <c r="M86" s="15"/>
      <c r="O86" s="15"/>
      <c r="Q86" s="15"/>
      <c r="S86" s="15"/>
      <c r="U86" s="15"/>
      <c r="W86" s="15"/>
      <c r="Y86" s="15"/>
      <c r="AA86" s="15"/>
      <c r="AC86" s="15"/>
      <c r="AE86" s="15"/>
      <c r="AG86" s="15"/>
      <c r="AI86" s="15"/>
      <c r="AK86" s="15"/>
      <c r="AM86" s="15"/>
      <c r="AO86" s="15"/>
      <c r="AQ86" s="15"/>
      <c r="AS86" s="15"/>
      <c r="AU86" s="15"/>
      <c r="AW86" s="15"/>
      <c r="AY86" s="15"/>
      <c r="BA86" s="15"/>
      <c r="BC86" s="15"/>
      <c r="BE86" s="15"/>
      <c r="BG86" s="15"/>
      <c r="BI86" s="15"/>
      <c r="BK86" s="15"/>
      <c r="BM86" s="15"/>
      <c r="BO86" s="15"/>
      <c r="BQ86" s="15"/>
      <c r="BS86" s="15"/>
      <c r="BU86" s="15"/>
      <c r="BW86" s="15"/>
      <c r="BY86" s="15"/>
      <c r="CA86" s="15"/>
      <c r="CC86" s="15"/>
      <c r="CE86" s="15"/>
      <c r="CG86" s="15"/>
      <c r="CI86" s="15"/>
      <c r="CK86" s="15"/>
      <c r="CM86" s="15"/>
      <c r="CO86" s="15"/>
      <c r="CQ86" s="15"/>
      <c r="CS86" s="15"/>
      <c r="CU86" s="15"/>
      <c r="CW86" s="15"/>
      <c r="CY86" s="15"/>
      <c r="DA86" s="15"/>
      <c r="DC86" s="15"/>
      <c r="DE86" s="15"/>
      <c r="DG86" s="15"/>
      <c r="DI86" s="15"/>
      <c r="DK86" s="15"/>
      <c r="DM86" s="15"/>
      <c r="DO86" s="15"/>
      <c r="DQ86" s="15"/>
      <c r="DS86" s="15"/>
      <c r="DU86" s="15"/>
      <c r="DW86" s="15"/>
      <c r="DY86" s="15"/>
      <c r="EA86" s="15"/>
      <c r="EC86" s="15"/>
      <c r="EE86" s="15"/>
      <c r="EG86" s="15"/>
      <c r="EI86" s="15"/>
      <c r="EK86" s="15"/>
    </row>
    <row r="87" spans="1:141" s="11" customFormat="1" x14ac:dyDescent="0.2">
      <c r="A87" s="43"/>
      <c r="C87" s="13"/>
      <c r="E87" s="13"/>
      <c r="G87" s="13"/>
      <c r="I87" s="13"/>
      <c r="K87" s="13"/>
      <c r="M87" s="13"/>
      <c r="O87" s="13"/>
      <c r="Q87" s="13"/>
      <c r="S87" s="13"/>
      <c r="U87" s="13"/>
      <c r="W87" s="13"/>
      <c r="Y87" s="13"/>
      <c r="AA87" s="13"/>
      <c r="AC87" s="13"/>
      <c r="AE87" s="13"/>
      <c r="AG87" s="13"/>
      <c r="AI87" s="13"/>
      <c r="AK87" s="13"/>
      <c r="AM87" s="13"/>
      <c r="AO87" s="13"/>
      <c r="AQ87" s="13"/>
      <c r="AS87" s="13"/>
      <c r="AU87" s="13"/>
      <c r="AW87" s="13"/>
      <c r="AY87" s="13"/>
      <c r="BA87" s="13"/>
      <c r="BC87" s="13"/>
      <c r="BE87" s="13"/>
      <c r="BG87" s="13"/>
      <c r="BI87" s="13"/>
      <c r="BK87" s="13"/>
      <c r="BM87" s="13"/>
      <c r="BO87" s="13"/>
      <c r="BQ87" s="13"/>
      <c r="BS87" s="13"/>
      <c r="BU87" s="13"/>
      <c r="BW87" s="13"/>
      <c r="BY87" s="13"/>
      <c r="CA87" s="13"/>
      <c r="CC87" s="13"/>
      <c r="CE87" s="13"/>
      <c r="CG87" s="13"/>
      <c r="CI87" s="13"/>
      <c r="CK87" s="13"/>
      <c r="CM87" s="13"/>
      <c r="CO87" s="13"/>
      <c r="CQ87" s="13"/>
      <c r="CS87" s="13"/>
      <c r="CU87" s="13"/>
      <c r="CW87" s="13"/>
      <c r="CY87" s="13"/>
      <c r="DA87" s="13"/>
      <c r="DC87" s="13"/>
      <c r="DE87" s="13"/>
      <c r="DG87" s="13"/>
      <c r="DI87" s="13"/>
      <c r="DK87" s="13"/>
      <c r="DM87" s="13"/>
      <c r="DO87" s="13"/>
      <c r="DQ87" s="13"/>
      <c r="DS87" s="13"/>
      <c r="DU87" s="13"/>
      <c r="DW87" s="13"/>
      <c r="DY87" s="13"/>
      <c r="EA87" s="13"/>
      <c r="EC87" s="13"/>
      <c r="EE87" s="13"/>
      <c r="EG87" s="13"/>
      <c r="EI87" s="13"/>
      <c r="EK87" s="13"/>
    </row>
    <row r="88" spans="1:141" s="13" customFormat="1" x14ac:dyDescent="0.2">
      <c r="A88" s="43"/>
    </row>
    <row r="89" spans="1:141" s="13" customFormat="1" x14ac:dyDescent="0.2">
      <c r="A89" s="43"/>
    </row>
    <row r="90" spans="1:141" s="13" customFormat="1" x14ac:dyDescent="0.2">
      <c r="A90" s="43"/>
    </row>
    <row r="91" spans="1:141" s="13" customFormat="1" x14ac:dyDescent="0.2">
      <c r="A91" s="43"/>
    </row>
    <row r="92" spans="1:141" s="9" customFormat="1" x14ac:dyDescent="0.2">
      <c r="A92" s="41" t="s">
        <v>6</v>
      </c>
      <c r="C92" s="15"/>
      <c r="E92" s="15"/>
      <c r="G92" s="15"/>
      <c r="I92" s="15"/>
      <c r="K92" s="15"/>
      <c r="M92" s="15"/>
      <c r="O92" s="15"/>
      <c r="Q92" s="15"/>
      <c r="S92" s="15"/>
      <c r="U92" s="15"/>
      <c r="W92" s="15"/>
      <c r="Y92" s="15"/>
      <c r="AA92" s="15"/>
      <c r="AC92" s="15"/>
      <c r="AE92" s="15"/>
      <c r="AG92" s="15"/>
      <c r="AI92" s="15"/>
      <c r="AK92" s="15"/>
      <c r="AM92" s="15"/>
      <c r="AO92" s="15"/>
      <c r="AQ92" s="15"/>
      <c r="AS92" s="15"/>
      <c r="AU92" s="15"/>
      <c r="AW92" s="15"/>
      <c r="AY92" s="15"/>
      <c r="BA92" s="15"/>
      <c r="BC92" s="15"/>
      <c r="BE92" s="15"/>
      <c r="BG92" s="15"/>
      <c r="BI92" s="15"/>
      <c r="BK92" s="15"/>
      <c r="BM92" s="15"/>
      <c r="BO92" s="15"/>
      <c r="BQ92" s="15"/>
      <c r="BS92" s="15"/>
      <c r="BU92" s="15"/>
      <c r="BW92" s="15"/>
      <c r="BY92" s="15"/>
      <c r="CA92" s="15"/>
      <c r="CC92" s="15"/>
      <c r="CE92" s="15"/>
      <c r="CG92" s="15"/>
      <c r="CI92" s="15"/>
      <c r="CK92" s="15"/>
      <c r="CM92" s="15"/>
      <c r="CO92" s="15"/>
      <c r="CQ92" s="15"/>
      <c r="CS92" s="15"/>
      <c r="CU92" s="15"/>
      <c r="CW92" s="15"/>
      <c r="CY92" s="15"/>
      <c r="DA92" s="15"/>
      <c r="DC92" s="15"/>
      <c r="DE92" s="15"/>
      <c r="DG92" s="15"/>
      <c r="DI92" s="15"/>
      <c r="DK92" s="15"/>
      <c r="DM92" s="15"/>
      <c r="DO92" s="15"/>
      <c r="DQ92" s="15"/>
      <c r="DS92" s="15"/>
      <c r="DU92" s="15"/>
      <c r="DW92" s="15"/>
      <c r="DY92" s="15"/>
      <c r="EA92" s="15"/>
      <c r="EC92" s="15"/>
      <c r="EE92" s="15"/>
      <c r="EG92" s="15"/>
      <c r="EI92" s="15"/>
      <c r="EK92" s="15"/>
    </row>
    <row r="93" spans="1:141" s="9" customFormat="1" x14ac:dyDescent="0.2">
      <c r="A93" s="41"/>
      <c r="B93" s="9">
        <v>10000</v>
      </c>
      <c r="C93" s="15" t="s">
        <v>17</v>
      </c>
      <c r="D93" s="9">
        <v>1800</v>
      </c>
      <c r="E93" s="15" t="s">
        <v>68</v>
      </c>
      <c r="F93" s="9">
        <v>1099.01</v>
      </c>
      <c r="G93" s="15" t="s">
        <v>180</v>
      </c>
      <c r="H93" s="9">
        <v>500</v>
      </c>
      <c r="I93" s="15" t="s">
        <v>214</v>
      </c>
      <c r="J93" s="9">
        <v>200</v>
      </c>
      <c r="K93" s="15" t="s">
        <v>253</v>
      </c>
      <c r="L93" s="9">
        <v>1969.99</v>
      </c>
      <c r="M93" s="15" t="s">
        <v>329</v>
      </c>
      <c r="N93" s="9">
        <v>2131.79</v>
      </c>
      <c r="O93" s="15" t="s">
        <v>396</v>
      </c>
      <c r="P93" s="9">
        <v>663.97</v>
      </c>
      <c r="Q93" s="15" t="s">
        <v>408</v>
      </c>
      <c r="R93" s="9">
        <v>5000</v>
      </c>
      <c r="S93" s="15" t="s">
        <v>464</v>
      </c>
      <c r="T93" s="9">
        <v>4567.17</v>
      </c>
      <c r="U93" s="15" t="s">
        <v>500</v>
      </c>
      <c r="V93" s="9">
        <v>5240.0200000000004</v>
      </c>
      <c r="W93" s="15" t="s">
        <v>607</v>
      </c>
      <c r="X93" s="9">
        <v>684.84</v>
      </c>
      <c r="Y93" s="15" t="s">
        <v>544</v>
      </c>
      <c r="AA93" s="15"/>
      <c r="AB93" s="9">
        <v>12038.49</v>
      </c>
      <c r="AC93" s="15" t="s">
        <v>689</v>
      </c>
      <c r="AD93" s="9">
        <v>1099</v>
      </c>
      <c r="AE93" s="15" t="s">
        <v>731</v>
      </c>
      <c r="AF93" s="9">
        <v>1612.39</v>
      </c>
      <c r="AG93" s="15" t="s">
        <v>830</v>
      </c>
      <c r="AH93" s="9">
        <v>4064.99</v>
      </c>
      <c r="AI93" s="15" t="s">
        <v>793</v>
      </c>
      <c r="AK93" s="15"/>
      <c r="AL93" s="9">
        <v>544.72</v>
      </c>
      <c r="AM93" s="15" t="s">
        <v>926</v>
      </c>
      <c r="AO93" s="15"/>
      <c r="AP93" s="9">
        <v>20000</v>
      </c>
      <c r="AQ93" s="15" t="s">
        <v>971</v>
      </c>
      <c r="AR93" s="9">
        <v>5337.58</v>
      </c>
      <c r="AS93" s="15" t="s">
        <v>1038</v>
      </c>
      <c r="AT93" s="9">
        <v>780</v>
      </c>
      <c r="AU93" s="15" t="s">
        <v>1101</v>
      </c>
      <c r="AV93" s="9">
        <v>1970</v>
      </c>
      <c r="AW93" s="15" t="s">
        <v>1185</v>
      </c>
      <c r="AX93" s="9">
        <v>2865.99</v>
      </c>
      <c r="AY93" s="15" t="s">
        <v>1259</v>
      </c>
      <c r="AZ93" s="9">
        <v>20000</v>
      </c>
      <c r="BA93" s="15" t="s">
        <v>1273</v>
      </c>
      <c r="BB93" s="9">
        <v>5000</v>
      </c>
      <c r="BC93" s="15" t="s">
        <v>1314</v>
      </c>
      <c r="BD93" s="9">
        <v>1301.52</v>
      </c>
      <c r="BE93" s="15" t="s">
        <v>1325</v>
      </c>
      <c r="BF93" s="9">
        <v>15000</v>
      </c>
      <c r="BG93" s="15" t="s">
        <v>1413</v>
      </c>
      <c r="BI93" s="15"/>
      <c r="BK93" s="15"/>
      <c r="BM93" s="15"/>
      <c r="BO93" s="15"/>
      <c r="BQ93" s="15"/>
      <c r="BS93" s="15"/>
      <c r="BU93" s="15"/>
      <c r="BW93" s="15"/>
      <c r="BY93" s="15"/>
      <c r="CA93" s="15"/>
      <c r="CC93" s="15"/>
      <c r="CE93" s="15"/>
      <c r="CG93" s="15"/>
      <c r="CI93" s="15"/>
      <c r="CK93" s="15"/>
      <c r="CM93" s="15"/>
      <c r="CO93" s="15"/>
      <c r="CQ93" s="15"/>
      <c r="CS93" s="15"/>
      <c r="CU93" s="15"/>
      <c r="CW93" s="15"/>
      <c r="CY93" s="15"/>
      <c r="DA93" s="15"/>
      <c r="DC93" s="15"/>
      <c r="DE93" s="15"/>
      <c r="DG93" s="15"/>
      <c r="DI93" s="15"/>
      <c r="DK93" s="15"/>
      <c r="DM93" s="15"/>
      <c r="DO93" s="15"/>
      <c r="DQ93" s="15"/>
      <c r="DS93" s="15"/>
      <c r="DU93" s="15"/>
      <c r="DW93" s="15"/>
      <c r="DY93" s="15"/>
      <c r="EA93" s="15"/>
      <c r="EC93" s="15"/>
      <c r="EE93" s="15"/>
      <c r="EG93" s="15"/>
      <c r="EI93" s="15"/>
      <c r="EK93" s="15"/>
    </row>
    <row r="94" spans="1:141" s="15" customFormat="1" x14ac:dyDescent="0.2">
      <c r="A94" s="41"/>
      <c r="B94" s="15">
        <v>1236.48</v>
      </c>
      <c r="C94" s="15" t="s">
        <v>37</v>
      </c>
      <c r="D94" s="15">
        <v>1360</v>
      </c>
      <c r="E94" s="15" t="s">
        <v>70</v>
      </c>
      <c r="F94" s="15">
        <v>1970</v>
      </c>
      <c r="G94" s="15" t="s">
        <v>79</v>
      </c>
      <c r="H94" s="15">
        <v>1099</v>
      </c>
      <c r="I94" s="15" t="s">
        <v>222</v>
      </c>
      <c r="J94" s="9">
        <v>1200.01</v>
      </c>
      <c r="K94" s="15" t="s">
        <v>290</v>
      </c>
      <c r="L94" s="15">
        <v>3250</v>
      </c>
      <c r="M94" s="15" t="s">
        <v>334</v>
      </c>
      <c r="N94" s="52">
        <f>SUM(N93)</f>
        <v>2131.79</v>
      </c>
      <c r="P94" s="15">
        <v>1000</v>
      </c>
      <c r="Q94" s="15" t="s">
        <v>416</v>
      </c>
      <c r="R94" s="15">
        <v>1970</v>
      </c>
      <c r="S94" s="15" t="s">
        <v>477</v>
      </c>
      <c r="T94" s="15">
        <v>1766.92</v>
      </c>
      <c r="U94" s="15" t="s">
        <v>525</v>
      </c>
      <c r="V94" s="15">
        <v>1499</v>
      </c>
      <c r="W94" s="15" t="s">
        <v>614</v>
      </c>
      <c r="X94" s="15">
        <v>2000</v>
      </c>
      <c r="Y94" s="15" t="s">
        <v>546</v>
      </c>
      <c r="AB94" s="91">
        <v>3065</v>
      </c>
      <c r="AC94" s="15" t="s">
        <v>690</v>
      </c>
      <c r="AD94" s="15">
        <v>5500</v>
      </c>
      <c r="AE94" s="15" t="s">
        <v>732</v>
      </c>
      <c r="AF94" s="9">
        <v>1995</v>
      </c>
      <c r="AG94" s="15" t="s">
        <v>851</v>
      </c>
      <c r="AH94" s="15">
        <v>1099.01</v>
      </c>
      <c r="AI94" s="15" t="s">
        <v>794</v>
      </c>
      <c r="AL94" s="9">
        <v>4395</v>
      </c>
      <c r="AM94" s="15" t="s">
        <v>939</v>
      </c>
      <c r="AP94" s="9">
        <v>5000</v>
      </c>
      <c r="AQ94" s="15" t="s">
        <v>972</v>
      </c>
      <c r="AR94" s="9">
        <v>3250.01</v>
      </c>
      <c r="AS94" s="15" t="s">
        <v>1067</v>
      </c>
      <c r="AT94" s="9">
        <v>1099</v>
      </c>
      <c r="AU94" s="15" t="s">
        <v>1126</v>
      </c>
      <c r="AV94" s="9">
        <v>7201.19</v>
      </c>
      <c r="AW94" s="15" t="s">
        <v>1190</v>
      </c>
      <c r="AZ94" s="9">
        <v>3168.99</v>
      </c>
      <c r="BA94" s="15" t="s">
        <v>1284</v>
      </c>
      <c r="BD94" s="9">
        <v>1106.1099999999999</v>
      </c>
      <c r="BE94" s="15" t="s">
        <v>1331</v>
      </c>
      <c r="BF94" s="9">
        <v>3577.65</v>
      </c>
      <c r="BG94" s="15" t="s">
        <v>1442</v>
      </c>
    </row>
    <row r="95" spans="1:141" s="9" customFormat="1" x14ac:dyDescent="0.2">
      <c r="A95" s="41"/>
      <c r="B95" s="9">
        <v>1099.01</v>
      </c>
      <c r="C95" s="15" t="s">
        <v>56</v>
      </c>
      <c r="D95" s="9">
        <v>100</v>
      </c>
      <c r="E95" s="15" t="s">
        <v>76</v>
      </c>
      <c r="F95" s="9">
        <v>2660</v>
      </c>
      <c r="G95" s="15" t="s">
        <v>189</v>
      </c>
      <c r="H95" s="9">
        <v>1099</v>
      </c>
      <c r="I95" s="15" t="s">
        <v>224</v>
      </c>
      <c r="J95" s="9">
        <v>2994.99</v>
      </c>
      <c r="K95" s="15" t="s">
        <v>305</v>
      </c>
      <c r="L95" s="9">
        <v>1099.01</v>
      </c>
      <c r="M95" s="15" t="s">
        <v>339</v>
      </c>
      <c r="O95" s="15"/>
      <c r="P95" s="9">
        <v>2332.71</v>
      </c>
      <c r="Q95" s="15" t="s">
        <v>436</v>
      </c>
      <c r="R95" s="9">
        <v>1000</v>
      </c>
      <c r="S95" s="15" t="s">
        <v>491</v>
      </c>
      <c r="T95" s="9">
        <v>2312.2600000000002</v>
      </c>
      <c r="U95" s="15" t="s">
        <v>531</v>
      </c>
      <c r="V95" s="9">
        <v>6130.01</v>
      </c>
      <c r="W95" s="15" t="s">
        <v>626</v>
      </c>
      <c r="X95" s="9">
        <v>1969.99</v>
      </c>
      <c r="Y95" s="15" t="s">
        <v>556</v>
      </c>
      <c r="AA95" s="15"/>
      <c r="AB95" s="90">
        <f>SUM(AB93:AB94)</f>
        <v>15103.49</v>
      </c>
      <c r="AC95" s="15"/>
      <c r="AD95" s="90">
        <v>1995</v>
      </c>
      <c r="AE95" s="15" t="s">
        <v>733</v>
      </c>
      <c r="AF95" s="9">
        <v>1099.01</v>
      </c>
      <c r="AG95" s="15" t="s">
        <v>853</v>
      </c>
      <c r="AH95" s="9">
        <v>3169</v>
      </c>
      <c r="AI95" s="15" t="s">
        <v>795</v>
      </c>
      <c r="AK95" s="15"/>
      <c r="AL95" s="9">
        <v>1099.01</v>
      </c>
      <c r="AM95" s="15" t="s">
        <v>941</v>
      </c>
      <c r="AO95" s="15"/>
      <c r="AP95" s="9">
        <v>5000</v>
      </c>
      <c r="AQ95" s="15" t="s">
        <v>976</v>
      </c>
      <c r="AR95" s="9">
        <v>1587.01</v>
      </c>
      <c r="AS95" s="15" t="s">
        <v>1073</v>
      </c>
      <c r="AT95" s="9">
        <v>4169.01</v>
      </c>
      <c r="AU95" s="15" t="s">
        <v>1129</v>
      </c>
      <c r="AV95" s="9">
        <v>4640</v>
      </c>
      <c r="AW95" s="15" t="s">
        <v>1197</v>
      </c>
      <c r="AY95" s="15"/>
      <c r="AZ95" s="9">
        <v>1994.99</v>
      </c>
      <c r="BA95" s="15" t="s">
        <v>1288</v>
      </c>
      <c r="BC95" s="15"/>
      <c r="BD95" s="95">
        <f>+BD93+BD94</f>
        <v>2407.63</v>
      </c>
      <c r="BE95" s="15"/>
      <c r="BF95" s="9">
        <v>1449</v>
      </c>
      <c r="BG95" s="15" t="s">
        <v>1443</v>
      </c>
      <c r="BI95" s="15"/>
      <c r="BK95" s="15"/>
      <c r="BM95" s="15"/>
      <c r="BO95" s="15"/>
      <c r="BQ95" s="15"/>
      <c r="BS95" s="15"/>
      <c r="BU95" s="15"/>
      <c r="BW95" s="15"/>
      <c r="BY95" s="15"/>
      <c r="CA95" s="15"/>
      <c r="CC95" s="15"/>
      <c r="CE95" s="15"/>
      <c r="CG95" s="15"/>
      <c r="CI95" s="15"/>
      <c r="CK95" s="15"/>
      <c r="CM95" s="15"/>
      <c r="CO95" s="15"/>
      <c r="CQ95" s="15"/>
      <c r="CS95" s="15"/>
      <c r="CU95" s="15"/>
      <c r="CW95" s="15"/>
      <c r="CY95" s="15"/>
      <c r="DA95" s="15"/>
      <c r="DC95" s="15"/>
      <c r="DE95" s="15"/>
      <c r="DG95" s="15"/>
      <c r="DI95" s="15"/>
      <c r="DK95" s="15"/>
      <c r="DM95" s="15"/>
      <c r="DO95" s="15"/>
      <c r="DQ95" s="15"/>
      <c r="DS95" s="15"/>
      <c r="DU95" s="15"/>
      <c r="DW95" s="15"/>
      <c r="DY95" s="15"/>
      <c r="EA95" s="15"/>
      <c r="EC95" s="15"/>
      <c r="EE95" s="15"/>
      <c r="EG95" s="15"/>
      <c r="EI95" s="15"/>
      <c r="EK95" s="15"/>
    </row>
    <row r="96" spans="1:141" s="9" customFormat="1" x14ac:dyDescent="0.2">
      <c r="A96" s="41"/>
      <c r="B96" s="9">
        <v>1920.99</v>
      </c>
      <c r="C96" s="15" t="s">
        <v>59</v>
      </c>
      <c r="D96" s="7">
        <v>804.46</v>
      </c>
      <c r="E96" s="26" t="s">
        <v>83</v>
      </c>
      <c r="F96" s="9">
        <v>1970</v>
      </c>
      <c r="G96" s="15" t="s">
        <v>89</v>
      </c>
      <c r="H96" s="9">
        <v>7237.89</v>
      </c>
      <c r="I96" s="15" t="s">
        <v>226</v>
      </c>
      <c r="J96" s="9">
        <v>3290.99</v>
      </c>
      <c r="K96" s="15" t="s">
        <v>266</v>
      </c>
      <c r="L96" s="9">
        <v>1399.01</v>
      </c>
      <c r="M96" s="15" t="s">
        <v>342</v>
      </c>
      <c r="O96" s="15"/>
      <c r="P96" s="15">
        <v>1970</v>
      </c>
      <c r="Q96" s="15" t="s">
        <v>444</v>
      </c>
      <c r="R96" s="72">
        <v>929.99</v>
      </c>
      <c r="S96" s="24" t="s">
        <v>493</v>
      </c>
      <c r="T96" s="51">
        <f>SUM(T93:T95)</f>
        <v>8646.35</v>
      </c>
      <c r="V96" s="9">
        <v>76.069999999999993</v>
      </c>
      <c r="W96" s="15" t="s">
        <v>629</v>
      </c>
      <c r="X96" s="9">
        <v>5290.99</v>
      </c>
      <c r="Y96" s="15" t="s">
        <v>558</v>
      </c>
      <c r="AA96" s="15"/>
      <c r="AC96" s="15"/>
      <c r="AD96" s="9">
        <f>SUM(AD93:AD95)</f>
        <v>8594</v>
      </c>
      <c r="AE96" s="15"/>
      <c r="AF96" s="9">
        <v>2332.71</v>
      </c>
      <c r="AG96" s="15" t="s">
        <v>858</v>
      </c>
      <c r="AH96" s="90">
        <v>7238.95</v>
      </c>
      <c r="AI96" s="15" t="s">
        <v>796</v>
      </c>
      <c r="AK96" s="15"/>
      <c r="AL96" s="9">
        <v>1099.01</v>
      </c>
      <c r="AM96" s="15" t="s">
        <v>956</v>
      </c>
      <c r="AO96" s="15"/>
      <c r="AP96" s="9">
        <v>10500</v>
      </c>
      <c r="AQ96" s="15" t="s">
        <v>985</v>
      </c>
      <c r="AR96" s="9">
        <v>200</v>
      </c>
      <c r="AS96" s="15" t="s">
        <v>1088</v>
      </c>
      <c r="AT96" s="9">
        <v>1766.94</v>
      </c>
      <c r="AU96" s="15" t="s">
        <v>1130</v>
      </c>
      <c r="AV96" s="9">
        <v>1969.99</v>
      </c>
      <c r="AW96" s="15" t="s">
        <v>1198</v>
      </c>
      <c r="AY96" s="15"/>
      <c r="AZ96" s="9">
        <v>1099</v>
      </c>
      <c r="BA96" s="15" t="s">
        <v>1291</v>
      </c>
      <c r="BC96" s="15"/>
      <c r="BE96" s="15"/>
      <c r="BF96" s="9">
        <f>6414.06-1614</f>
        <v>4800.0600000000004</v>
      </c>
      <c r="BG96" s="15" t="s">
        <v>1444</v>
      </c>
      <c r="BI96" s="15"/>
      <c r="BK96" s="15"/>
      <c r="BM96" s="15"/>
      <c r="BO96" s="15"/>
      <c r="BQ96" s="15"/>
      <c r="BS96" s="15"/>
      <c r="BU96" s="15"/>
      <c r="BW96" s="15"/>
      <c r="BY96" s="15"/>
      <c r="CA96" s="15"/>
      <c r="CC96" s="15"/>
      <c r="CE96" s="15"/>
      <c r="CG96" s="15"/>
      <c r="CI96" s="15"/>
      <c r="CK96" s="15"/>
      <c r="CM96" s="15"/>
      <c r="CO96" s="15"/>
      <c r="CQ96" s="15"/>
      <c r="CS96" s="15"/>
      <c r="CU96" s="15"/>
      <c r="CW96" s="15"/>
      <c r="CY96" s="15"/>
      <c r="DA96" s="15"/>
      <c r="DC96" s="15"/>
      <c r="DE96" s="15"/>
      <c r="DG96" s="15"/>
      <c r="DI96" s="15"/>
      <c r="DK96" s="15"/>
      <c r="DM96" s="15"/>
      <c r="DO96" s="15"/>
      <c r="DQ96" s="15"/>
      <c r="DS96" s="15"/>
      <c r="DU96" s="15"/>
      <c r="DW96" s="15"/>
      <c r="DY96" s="15"/>
      <c r="EA96" s="15"/>
      <c r="EC96" s="15"/>
      <c r="EE96" s="15"/>
      <c r="EG96" s="15"/>
      <c r="EI96" s="15"/>
      <c r="EK96" s="15"/>
    </row>
    <row r="97" spans="1:142" s="9" customFormat="1" x14ac:dyDescent="0.2">
      <c r="A97" s="41"/>
      <c r="B97" s="51">
        <f>SUM(B93:B96)</f>
        <v>14256.48</v>
      </c>
      <c r="C97" s="15"/>
      <c r="D97" s="9">
        <v>20000</v>
      </c>
      <c r="E97" s="15" t="s">
        <v>85</v>
      </c>
      <c r="F97" s="15">
        <v>1500</v>
      </c>
      <c r="G97" s="15" t="s">
        <v>195</v>
      </c>
      <c r="H97" s="15">
        <v>1464.78</v>
      </c>
      <c r="I97" s="15" t="s">
        <v>230</v>
      </c>
      <c r="J97" s="51">
        <f>SUM(J93:J96)</f>
        <v>7685.99</v>
      </c>
      <c r="K97" s="15"/>
      <c r="L97" s="15">
        <v>1970</v>
      </c>
      <c r="M97" s="15" t="s">
        <v>350</v>
      </c>
      <c r="N97" s="15"/>
      <c r="O97" s="15"/>
      <c r="P97" s="15">
        <v>4695</v>
      </c>
      <c r="Q97" s="15" t="s">
        <v>447</v>
      </c>
      <c r="R97" s="51">
        <f>SUM(R93:R96)</f>
        <v>8899.99</v>
      </c>
      <c r="S97" s="15"/>
      <c r="T97" s="15"/>
      <c r="U97" s="15"/>
      <c r="V97" s="51">
        <f>SUM(V93:V96)</f>
        <v>12945.1</v>
      </c>
      <c r="W97" s="15"/>
      <c r="X97" s="15">
        <v>3250.01</v>
      </c>
      <c r="Y97" s="15" t="s">
        <v>564</v>
      </c>
      <c r="Z97" s="15"/>
      <c r="AA97" s="15"/>
      <c r="AB97" s="15"/>
      <c r="AC97" s="15"/>
      <c r="AD97" s="15"/>
      <c r="AE97" s="15"/>
      <c r="AF97" s="95">
        <f>SUM(AF93:AF96)</f>
        <v>7039.1100000000006</v>
      </c>
      <c r="AG97" s="15"/>
      <c r="AH97" s="15">
        <f>SUM(AH93:AH96)</f>
        <v>15571.95</v>
      </c>
      <c r="AI97" s="15"/>
      <c r="AJ97" s="15"/>
      <c r="AK97" s="15"/>
      <c r="AL97" s="9">
        <v>3250</v>
      </c>
      <c r="AM97" s="15" t="s">
        <v>958</v>
      </c>
      <c r="AN97" s="15"/>
      <c r="AO97" s="15"/>
      <c r="AP97" s="9">
        <v>20000</v>
      </c>
      <c r="AQ97" s="15" t="s">
        <v>990</v>
      </c>
      <c r="AR97" s="9">
        <v>76.069999999999993</v>
      </c>
      <c r="AS97" s="15" t="s">
        <v>1094</v>
      </c>
      <c r="AT97" s="9">
        <v>997.77</v>
      </c>
      <c r="AU97" s="15" t="s">
        <v>1161</v>
      </c>
      <c r="AV97" s="9">
        <v>1995</v>
      </c>
      <c r="AW97" s="15" t="s">
        <v>1205</v>
      </c>
      <c r="AX97" s="15"/>
      <c r="AY97" s="15"/>
      <c r="AZ97" s="9">
        <v>1970</v>
      </c>
      <c r="BA97" s="15" t="s">
        <v>1298</v>
      </c>
      <c r="BB97" s="15"/>
      <c r="BC97" s="15"/>
      <c r="BD97" s="15"/>
      <c r="BE97" s="15"/>
      <c r="BF97" s="9">
        <v>3250</v>
      </c>
      <c r="BG97" s="15" t="s">
        <v>1447</v>
      </c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</row>
    <row r="98" spans="1:142" s="15" customFormat="1" x14ac:dyDescent="0.2">
      <c r="A98" s="41"/>
      <c r="D98" s="15">
        <v>5243.19</v>
      </c>
      <c r="E98" s="15" t="s">
        <v>115</v>
      </c>
      <c r="F98" s="15">
        <v>1099</v>
      </c>
      <c r="G98" s="15" t="s">
        <v>198</v>
      </c>
      <c r="H98" s="15">
        <v>3726.48</v>
      </c>
      <c r="I98" s="15" t="s">
        <v>233</v>
      </c>
      <c r="L98" s="15">
        <v>1099</v>
      </c>
      <c r="M98" s="15" t="s">
        <v>328</v>
      </c>
      <c r="P98" s="51">
        <f>SUM(P93:P97)</f>
        <v>10661.68</v>
      </c>
      <c r="X98" s="15">
        <v>4695</v>
      </c>
      <c r="Y98" s="15" t="s">
        <v>570</v>
      </c>
      <c r="AL98" s="9">
        <v>1970</v>
      </c>
      <c r="AM98" s="15" t="s">
        <v>962</v>
      </c>
      <c r="AP98" s="9">
        <v>243.86</v>
      </c>
      <c r="AQ98" s="15" t="s">
        <v>996</v>
      </c>
      <c r="AR98" s="95">
        <f>SUM(AR93:AR97)</f>
        <v>10450.67</v>
      </c>
      <c r="AT98" s="95">
        <f>SUM(AT93:AT97)</f>
        <v>8812.7200000000012</v>
      </c>
      <c r="AV98" s="9">
        <v>1099.01</v>
      </c>
      <c r="AW98" s="15" t="s">
        <v>1206</v>
      </c>
      <c r="AZ98" s="9">
        <v>4010</v>
      </c>
      <c r="BA98" s="15" t="s">
        <v>1302</v>
      </c>
      <c r="BF98" s="9">
        <v>1099.01</v>
      </c>
      <c r="BG98" s="15" t="s">
        <v>1459</v>
      </c>
    </row>
    <row r="99" spans="1:142" s="9" customFormat="1" x14ac:dyDescent="0.2">
      <c r="A99" s="41"/>
      <c r="C99" s="15"/>
      <c r="D99" s="9">
        <v>2749.99</v>
      </c>
      <c r="E99" s="15" t="s">
        <v>107</v>
      </c>
      <c r="F99" s="9">
        <v>2735.01</v>
      </c>
      <c r="G99" s="15" t="s">
        <v>200</v>
      </c>
      <c r="H99" s="9">
        <v>875</v>
      </c>
      <c r="I99" s="15" t="s">
        <v>246</v>
      </c>
      <c r="K99" s="15"/>
      <c r="L99" s="51">
        <f>SUM(L93:L98)</f>
        <v>10787.01</v>
      </c>
      <c r="M99" s="15"/>
      <c r="O99" s="15"/>
      <c r="Q99" s="15"/>
      <c r="S99" s="15"/>
      <c r="U99" s="15"/>
      <c r="W99" s="15"/>
      <c r="X99" s="51">
        <f>SUM(X93:X98)</f>
        <v>17890.830000000002</v>
      </c>
      <c r="Y99" s="15"/>
      <c r="AA99" s="15"/>
      <c r="AC99" s="15"/>
      <c r="AE99" s="15"/>
      <c r="AG99" s="15"/>
      <c r="AI99" s="15"/>
      <c r="AK99" s="15"/>
      <c r="AL99" s="9">
        <v>1969.99</v>
      </c>
      <c r="AM99" s="15" t="s">
        <v>963</v>
      </c>
      <c r="AO99" s="15"/>
      <c r="AP99" s="9">
        <v>1099</v>
      </c>
      <c r="AQ99" s="15" t="s">
        <v>1005</v>
      </c>
      <c r="AS99" s="15"/>
      <c r="AU99" s="15"/>
      <c r="AV99" s="95">
        <f>SUM(AV93:AV98)</f>
        <v>18875.189999999999</v>
      </c>
      <c r="AW99" s="15"/>
      <c r="AY99" s="15"/>
      <c r="AZ99" s="9">
        <v>1994.99</v>
      </c>
      <c r="BA99" s="15" t="s">
        <v>1306</v>
      </c>
      <c r="BC99" s="15"/>
      <c r="BE99" s="15"/>
      <c r="BF99" s="9">
        <f>1423.42-1106.11</f>
        <v>317.31000000000017</v>
      </c>
      <c r="BG99" s="15" t="s">
        <v>1470</v>
      </c>
      <c r="BI99" s="15"/>
      <c r="BK99" s="15"/>
      <c r="BM99" s="15"/>
      <c r="BO99" s="15"/>
      <c r="BQ99" s="15"/>
      <c r="BS99" s="15"/>
      <c r="BU99" s="15"/>
      <c r="BW99" s="15"/>
      <c r="BY99" s="15"/>
      <c r="CA99" s="15"/>
      <c r="CC99" s="15"/>
      <c r="CE99" s="15"/>
      <c r="CG99" s="15"/>
      <c r="CI99" s="15"/>
      <c r="CK99" s="15"/>
      <c r="CM99" s="15"/>
      <c r="CO99" s="15"/>
      <c r="CQ99" s="15"/>
      <c r="CS99" s="15"/>
      <c r="CU99" s="15"/>
      <c r="CW99" s="15"/>
      <c r="CY99" s="15"/>
      <c r="DA99" s="15"/>
      <c r="DC99" s="15"/>
      <c r="DE99" s="15"/>
      <c r="DG99" s="15"/>
      <c r="DI99" s="15"/>
      <c r="DK99" s="15"/>
      <c r="DM99" s="15"/>
      <c r="DO99" s="15"/>
      <c r="DQ99" s="15"/>
      <c r="DS99" s="15"/>
      <c r="DU99" s="15"/>
      <c r="DW99" s="15"/>
      <c r="DY99" s="15"/>
      <c r="EA99" s="15"/>
      <c r="EC99" s="15"/>
      <c r="EE99" s="15"/>
      <c r="EG99" s="15"/>
      <c r="EI99" s="15"/>
      <c r="EK99" s="15"/>
    </row>
    <row r="100" spans="1:142" s="9" customFormat="1" x14ac:dyDescent="0.2">
      <c r="A100" s="41"/>
      <c r="C100" s="15"/>
      <c r="D100" s="9">
        <v>3490.01</v>
      </c>
      <c r="E100" s="15" t="s">
        <v>117</v>
      </c>
      <c r="F100" s="51">
        <f>SUM(F93:F99)</f>
        <v>13033.02</v>
      </c>
      <c r="G100" s="15"/>
      <c r="H100" s="9">
        <v>1099.01</v>
      </c>
      <c r="I100" s="15" t="s">
        <v>247</v>
      </c>
      <c r="K100" s="15"/>
      <c r="M100" s="15"/>
      <c r="O100" s="15"/>
      <c r="Q100" s="15"/>
      <c r="S100" s="15"/>
      <c r="U100" s="15"/>
      <c r="W100" s="15"/>
      <c r="Y100" s="15"/>
      <c r="AA100" s="15"/>
      <c r="AC100" s="15"/>
      <c r="AE100" s="15"/>
      <c r="AG100" s="15"/>
      <c r="AI100" s="15"/>
      <c r="AK100" s="15"/>
      <c r="AL100" s="95">
        <f>SUM(AL93:AL99)</f>
        <v>14327.730000000001</v>
      </c>
      <c r="AM100" s="15"/>
      <c r="AO100" s="15"/>
      <c r="AP100" s="9">
        <v>1969.99</v>
      </c>
      <c r="AQ100" s="15" t="s">
        <v>1008</v>
      </c>
      <c r="AS100" s="15"/>
      <c r="AU100" s="15"/>
      <c r="AW100" s="15"/>
      <c r="AY100" s="15"/>
      <c r="AZ100" s="95">
        <f>SUM(AZ93:AZ99)</f>
        <v>34237.97</v>
      </c>
      <c r="BA100" s="15"/>
      <c r="BC100" s="15"/>
      <c r="BE100" s="15"/>
      <c r="BF100" s="95">
        <f>+SUM(BF93:BF99)</f>
        <v>29493.030000000002</v>
      </c>
      <c r="BG100" s="15"/>
      <c r="BI100" s="15"/>
      <c r="BK100" s="15"/>
      <c r="BM100" s="15"/>
      <c r="BO100" s="15"/>
      <c r="BQ100" s="15"/>
      <c r="BS100" s="15"/>
      <c r="BU100" s="15"/>
      <c r="BW100" s="15"/>
      <c r="BY100" s="15"/>
      <c r="CA100" s="15"/>
      <c r="CC100" s="15"/>
      <c r="CE100" s="15"/>
      <c r="CG100" s="15"/>
      <c r="CI100" s="15"/>
      <c r="CK100" s="15"/>
      <c r="CM100" s="15"/>
      <c r="CO100" s="15"/>
      <c r="CQ100" s="15"/>
      <c r="CS100" s="15"/>
      <c r="CU100" s="15"/>
      <c r="CW100" s="15"/>
      <c r="CY100" s="15"/>
      <c r="DA100" s="15"/>
      <c r="DC100" s="15"/>
      <c r="DE100" s="15"/>
      <c r="DG100" s="15"/>
      <c r="DI100" s="15"/>
      <c r="DK100" s="15"/>
      <c r="DM100" s="15"/>
      <c r="DO100" s="15"/>
      <c r="DQ100" s="15"/>
      <c r="DS100" s="15"/>
      <c r="DU100" s="15"/>
      <c r="DW100" s="15"/>
      <c r="DY100" s="15"/>
      <c r="EA100" s="15"/>
      <c r="EC100" s="15"/>
      <c r="EE100" s="15"/>
      <c r="EG100" s="15"/>
      <c r="EI100" s="15"/>
      <c r="EK100" s="15"/>
    </row>
    <row r="101" spans="1:142" s="9" customFormat="1" x14ac:dyDescent="0.2">
      <c r="A101" s="41"/>
      <c r="C101" s="15"/>
      <c r="D101" s="9">
        <v>1969.99</v>
      </c>
      <c r="E101" s="15" t="s">
        <v>120</v>
      </c>
      <c r="G101" s="15"/>
      <c r="H101" s="51">
        <f>SUM(H93:H100)</f>
        <v>17101.16</v>
      </c>
      <c r="I101" s="15"/>
      <c r="K101" s="15"/>
      <c r="M101" s="15"/>
      <c r="O101" s="15"/>
      <c r="Q101" s="15"/>
      <c r="S101" s="15"/>
      <c r="U101" s="15"/>
      <c r="W101" s="15"/>
      <c r="Y101" s="15"/>
      <c r="AA101" s="15"/>
      <c r="AC101" s="15"/>
      <c r="AE101" s="15"/>
      <c r="AG101" s="15"/>
      <c r="AI101" s="15"/>
      <c r="AK101" s="15"/>
      <c r="AM101" s="15"/>
      <c r="AO101" s="15"/>
      <c r="AP101" s="9">
        <v>1099.01</v>
      </c>
      <c r="AQ101" s="15" t="s">
        <v>1010</v>
      </c>
      <c r="AS101" s="15"/>
      <c r="AU101" s="15"/>
      <c r="AW101" s="15"/>
      <c r="AY101" s="15"/>
      <c r="BA101" s="15"/>
      <c r="BC101" s="15"/>
      <c r="BE101" s="15"/>
      <c r="BG101" s="15"/>
      <c r="BI101" s="15"/>
      <c r="BK101" s="15"/>
      <c r="BM101" s="15"/>
      <c r="BO101" s="15"/>
      <c r="BQ101" s="15"/>
      <c r="BS101" s="15"/>
      <c r="BU101" s="15"/>
      <c r="BW101" s="15"/>
      <c r="BY101" s="15"/>
      <c r="CA101" s="15"/>
      <c r="CC101" s="15"/>
      <c r="CE101" s="15"/>
      <c r="CG101" s="15"/>
      <c r="CI101" s="15"/>
      <c r="CK101" s="15"/>
      <c r="CM101" s="15"/>
      <c r="CO101" s="15"/>
      <c r="CQ101" s="15"/>
      <c r="CS101" s="15"/>
      <c r="CU101" s="15"/>
      <c r="CW101" s="15"/>
      <c r="CY101" s="15"/>
      <c r="DA101" s="15"/>
      <c r="DC101" s="15"/>
      <c r="DE101" s="15"/>
      <c r="DG101" s="15"/>
      <c r="DI101" s="15"/>
      <c r="DK101" s="15"/>
      <c r="DM101" s="15"/>
      <c r="DO101" s="15"/>
      <c r="DQ101" s="15"/>
      <c r="DS101" s="15"/>
      <c r="DU101" s="15"/>
      <c r="DW101" s="15"/>
      <c r="DY101" s="15"/>
      <c r="EA101" s="15"/>
      <c r="EC101" s="15"/>
      <c r="EE101" s="15"/>
      <c r="EG101" s="15"/>
      <c r="EI101" s="15"/>
      <c r="EK101" s="15"/>
    </row>
    <row r="102" spans="1:142" s="9" customFormat="1" x14ac:dyDescent="0.2">
      <c r="A102" s="41"/>
      <c r="C102" s="15"/>
      <c r="D102" s="9">
        <v>1099.01</v>
      </c>
      <c r="E102" s="15" t="s">
        <v>125</v>
      </c>
      <c r="G102" s="15"/>
      <c r="I102" s="15"/>
      <c r="K102" s="15"/>
      <c r="M102" s="15"/>
      <c r="O102" s="15"/>
      <c r="Q102" s="15"/>
      <c r="S102" s="15"/>
      <c r="U102" s="15"/>
      <c r="W102" s="15"/>
      <c r="Y102" s="15"/>
      <c r="AA102" s="15"/>
      <c r="AC102" s="15"/>
      <c r="AE102" s="15"/>
      <c r="AG102" s="15"/>
      <c r="AI102" s="15"/>
      <c r="AK102" s="15"/>
      <c r="AM102" s="15"/>
      <c r="AO102" s="15"/>
      <c r="AP102" s="9">
        <v>1969.99</v>
      </c>
      <c r="AQ102" s="15" t="s">
        <v>1013</v>
      </c>
      <c r="AS102" s="15"/>
      <c r="AU102" s="15"/>
      <c r="AW102" s="15"/>
      <c r="AY102" s="15"/>
      <c r="BA102" s="15"/>
      <c r="BC102" s="15"/>
      <c r="BE102" s="15"/>
      <c r="BG102" s="15"/>
      <c r="BI102" s="15"/>
      <c r="BK102" s="15"/>
      <c r="BM102" s="15"/>
      <c r="BO102" s="15"/>
      <c r="BQ102" s="15"/>
      <c r="BS102" s="15"/>
      <c r="BU102" s="15"/>
      <c r="BW102" s="15"/>
      <c r="BY102" s="15"/>
      <c r="CA102" s="15"/>
      <c r="CC102" s="15"/>
      <c r="CE102" s="15"/>
      <c r="CG102" s="15"/>
      <c r="CI102" s="15"/>
      <c r="CK102" s="15"/>
      <c r="CM102" s="15"/>
      <c r="CO102" s="15"/>
      <c r="CQ102" s="15"/>
      <c r="CS102" s="15"/>
      <c r="CU102" s="15"/>
      <c r="CW102" s="15"/>
      <c r="CY102" s="15"/>
      <c r="DA102" s="15"/>
      <c r="DC102" s="15"/>
      <c r="DE102" s="15"/>
      <c r="DG102" s="15"/>
      <c r="DI102" s="15"/>
      <c r="DK102" s="15"/>
      <c r="DM102" s="15"/>
      <c r="DO102" s="15"/>
      <c r="DQ102" s="15"/>
      <c r="DS102" s="15"/>
      <c r="DU102" s="15"/>
      <c r="DW102" s="15"/>
      <c r="DY102" s="15"/>
      <c r="EA102" s="15"/>
      <c r="EC102" s="15"/>
      <c r="EE102" s="15"/>
      <c r="EG102" s="15"/>
      <c r="EI102" s="15"/>
      <c r="EK102" s="15"/>
    </row>
    <row r="103" spans="1:142" s="9" customFormat="1" x14ac:dyDescent="0.2">
      <c r="A103" s="41"/>
      <c r="C103" s="15"/>
      <c r="D103" s="9">
        <v>1099.01</v>
      </c>
      <c r="E103" s="15" t="s">
        <v>126</v>
      </c>
      <c r="G103" s="15"/>
      <c r="I103" s="15"/>
      <c r="K103" s="15"/>
      <c r="M103" s="15"/>
      <c r="O103" s="15"/>
      <c r="Q103" s="15"/>
      <c r="S103" s="15"/>
      <c r="U103" s="15"/>
      <c r="W103" s="15"/>
      <c r="Y103" s="15"/>
      <c r="AA103" s="15"/>
      <c r="AC103" s="15"/>
      <c r="AE103" s="15"/>
      <c r="AG103" s="15"/>
      <c r="AI103" s="15"/>
      <c r="AK103" s="15"/>
      <c r="AM103" s="15"/>
      <c r="AO103" s="15"/>
      <c r="AP103" s="9">
        <v>1099.01</v>
      </c>
      <c r="AQ103" s="15" t="s">
        <v>1021</v>
      </c>
      <c r="AS103" s="15"/>
      <c r="AU103" s="15"/>
      <c r="AW103" s="15"/>
      <c r="AY103" s="15"/>
      <c r="BA103" s="15"/>
      <c r="BC103" s="15"/>
      <c r="BE103" s="15"/>
      <c r="BG103" s="15"/>
      <c r="BI103" s="15"/>
      <c r="BK103" s="15"/>
      <c r="BM103" s="15"/>
      <c r="BO103" s="15"/>
      <c r="BQ103" s="15"/>
      <c r="BS103" s="15"/>
      <c r="BU103" s="15"/>
      <c r="BW103" s="15"/>
      <c r="BY103" s="15"/>
      <c r="CA103" s="15"/>
      <c r="CC103" s="15"/>
      <c r="CE103" s="15"/>
      <c r="CG103" s="15"/>
      <c r="CI103" s="15"/>
      <c r="CK103" s="15"/>
      <c r="CM103" s="15"/>
      <c r="CO103" s="15"/>
      <c r="CQ103" s="15"/>
      <c r="CS103" s="15"/>
      <c r="CU103" s="15"/>
      <c r="CW103" s="15"/>
      <c r="CY103" s="15"/>
      <c r="DA103" s="15"/>
      <c r="DC103" s="15"/>
      <c r="DE103" s="15"/>
      <c r="DG103" s="15"/>
      <c r="DI103" s="15"/>
      <c r="DK103" s="15"/>
      <c r="DM103" s="15"/>
      <c r="DO103" s="15"/>
      <c r="DQ103" s="15"/>
      <c r="DS103" s="15"/>
      <c r="DU103" s="15"/>
      <c r="DW103" s="15"/>
      <c r="DY103" s="15"/>
      <c r="EA103" s="15"/>
      <c r="EC103" s="15"/>
      <c r="EE103" s="15"/>
      <c r="EG103" s="15"/>
      <c r="EI103" s="15"/>
      <c r="EK103" s="15"/>
    </row>
    <row r="104" spans="1:142" s="9" customFormat="1" x14ac:dyDescent="0.2">
      <c r="A104" s="41"/>
      <c r="C104" s="15"/>
      <c r="D104" s="9">
        <v>1099</v>
      </c>
      <c r="E104" s="15" t="s">
        <v>127</v>
      </c>
      <c r="G104" s="15"/>
      <c r="I104" s="15"/>
      <c r="K104" s="15"/>
      <c r="M104" s="15"/>
      <c r="O104" s="15"/>
      <c r="Q104" s="15"/>
      <c r="S104" s="15"/>
      <c r="U104" s="15"/>
      <c r="W104" s="15"/>
      <c r="Y104" s="15"/>
      <c r="AA104" s="15"/>
      <c r="AC104" s="15"/>
      <c r="AE104" s="15"/>
      <c r="AG104" s="15"/>
      <c r="AI104" s="15"/>
      <c r="AK104" s="15"/>
      <c r="AM104" s="15"/>
      <c r="AO104" s="15"/>
      <c r="AP104" s="9">
        <v>476.46</v>
      </c>
      <c r="AQ104" s="15" t="s">
        <v>1027</v>
      </c>
      <c r="AS104" s="15"/>
      <c r="AU104" s="15"/>
      <c r="AW104" s="15"/>
      <c r="AY104" s="15"/>
      <c r="BA104" s="15"/>
      <c r="BC104" s="15"/>
      <c r="BE104" s="15"/>
      <c r="BG104" s="15"/>
      <c r="BI104" s="15"/>
      <c r="BK104" s="15"/>
      <c r="BM104" s="15"/>
      <c r="BO104" s="15"/>
      <c r="BQ104" s="15"/>
      <c r="BS104" s="15"/>
      <c r="BU104" s="15"/>
      <c r="BW104" s="15"/>
      <c r="BY104" s="15"/>
      <c r="CA104" s="15"/>
      <c r="CC104" s="15"/>
      <c r="CE104" s="15"/>
      <c r="CG104" s="15"/>
      <c r="CI104" s="15"/>
      <c r="CK104" s="15"/>
      <c r="CM104" s="15"/>
      <c r="CO104" s="15"/>
      <c r="CQ104" s="15"/>
      <c r="CS104" s="15"/>
      <c r="CU104" s="15"/>
      <c r="CW104" s="15"/>
      <c r="CY104" s="15"/>
      <c r="DA104" s="15"/>
      <c r="DC104" s="15"/>
      <c r="DE104" s="15"/>
      <c r="DG104" s="15"/>
      <c r="DI104" s="15"/>
      <c r="DK104" s="15"/>
      <c r="DM104" s="15"/>
      <c r="DO104" s="15"/>
      <c r="DQ104" s="15"/>
      <c r="DS104" s="15"/>
      <c r="DU104" s="15"/>
      <c r="DW104" s="15"/>
      <c r="DY104" s="15"/>
      <c r="EA104" s="15"/>
      <c r="EC104" s="15"/>
      <c r="EE104" s="15"/>
      <c r="EG104" s="15"/>
      <c r="EI104" s="15"/>
      <c r="EK104" s="15"/>
    </row>
    <row r="105" spans="1:142" s="9" customFormat="1" x14ac:dyDescent="0.2">
      <c r="A105" s="41"/>
      <c r="C105" s="15"/>
      <c r="D105" s="9">
        <v>1994.99</v>
      </c>
      <c r="E105" s="15" t="s">
        <v>131</v>
      </c>
      <c r="G105" s="15"/>
      <c r="I105" s="15"/>
      <c r="K105" s="15"/>
      <c r="M105" s="15"/>
      <c r="O105" s="15"/>
      <c r="Q105" s="15"/>
      <c r="S105" s="15"/>
      <c r="U105" s="15"/>
      <c r="W105" s="15"/>
      <c r="Y105" s="15"/>
      <c r="AA105" s="15"/>
      <c r="AC105" s="15"/>
      <c r="AE105" s="15"/>
      <c r="AG105" s="15"/>
      <c r="AI105" s="15"/>
      <c r="AK105" s="15"/>
      <c r="AM105" s="15"/>
      <c r="AO105" s="15"/>
      <c r="AP105" s="95">
        <f>SUM(AP93:AP104)</f>
        <v>68457.320000000007</v>
      </c>
      <c r="AQ105" s="15"/>
      <c r="AS105" s="15"/>
      <c r="AU105" s="15"/>
      <c r="AW105" s="15"/>
      <c r="AY105" s="15"/>
      <c r="BA105" s="15"/>
      <c r="BC105" s="15"/>
      <c r="BE105" s="15"/>
      <c r="BG105" s="15"/>
      <c r="BI105" s="15"/>
      <c r="BK105" s="15"/>
      <c r="BM105" s="15"/>
      <c r="BO105" s="15"/>
      <c r="BQ105" s="15"/>
      <c r="BS105" s="15"/>
      <c r="BU105" s="15"/>
      <c r="BW105" s="15"/>
      <c r="BY105" s="15"/>
      <c r="CA105" s="15"/>
      <c r="CC105" s="15"/>
      <c r="CE105" s="15"/>
      <c r="CG105" s="15"/>
      <c r="CI105" s="15"/>
      <c r="CK105" s="15"/>
      <c r="CM105" s="15"/>
      <c r="CO105" s="15"/>
      <c r="CQ105" s="15"/>
      <c r="CS105" s="15"/>
      <c r="CU105" s="15"/>
      <c r="CW105" s="15"/>
      <c r="CY105" s="15"/>
      <c r="DA105" s="15"/>
      <c r="DC105" s="15"/>
      <c r="DE105" s="15"/>
      <c r="DG105" s="15"/>
      <c r="DI105" s="15"/>
      <c r="DK105" s="15"/>
      <c r="DM105" s="15"/>
      <c r="DO105" s="15"/>
      <c r="DQ105" s="15"/>
      <c r="DS105" s="15"/>
      <c r="DU105" s="15"/>
      <c r="DW105" s="15"/>
      <c r="DY105" s="15"/>
      <c r="EA105" s="15"/>
      <c r="EC105" s="15"/>
      <c r="EE105" s="15"/>
      <c r="EG105" s="15"/>
      <c r="EI105" s="15"/>
      <c r="EK105" s="15"/>
    </row>
    <row r="106" spans="1:142" s="9" customFormat="1" x14ac:dyDescent="0.2">
      <c r="A106" s="41"/>
      <c r="C106" s="15"/>
      <c r="D106" s="9">
        <v>1099.01</v>
      </c>
      <c r="E106" s="15" t="s">
        <v>132</v>
      </c>
      <c r="G106" s="15"/>
      <c r="I106" s="15"/>
      <c r="K106" s="15"/>
      <c r="M106" s="15"/>
      <c r="O106" s="15"/>
      <c r="Q106" s="15"/>
      <c r="S106" s="15"/>
      <c r="U106" s="15"/>
      <c r="W106" s="15"/>
      <c r="Y106" s="15"/>
      <c r="AA106" s="15"/>
      <c r="AC106" s="15"/>
      <c r="AE106" s="15"/>
      <c r="AG106" s="15"/>
      <c r="AI106" s="15"/>
      <c r="AK106" s="15"/>
      <c r="AM106" s="15"/>
      <c r="AO106" s="15"/>
      <c r="AQ106" s="15"/>
      <c r="AS106" s="15"/>
      <c r="AU106" s="15"/>
      <c r="AW106" s="15"/>
      <c r="AY106" s="15"/>
      <c r="BA106" s="15"/>
      <c r="BC106" s="15"/>
      <c r="BE106" s="15"/>
      <c r="BG106" s="15"/>
      <c r="BI106" s="15"/>
      <c r="BK106" s="15"/>
      <c r="BM106" s="15"/>
      <c r="BO106" s="15"/>
      <c r="BQ106" s="15"/>
      <c r="BS106" s="15"/>
      <c r="BU106" s="15"/>
      <c r="BW106" s="15"/>
      <c r="BY106" s="15"/>
      <c r="CA106" s="15"/>
      <c r="CC106" s="15"/>
      <c r="CE106" s="15"/>
      <c r="CG106" s="15"/>
      <c r="CI106" s="15"/>
      <c r="CK106" s="15"/>
      <c r="CM106" s="15"/>
      <c r="CO106" s="15"/>
      <c r="CQ106" s="15"/>
      <c r="CS106" s="15"/>
      <c r="CU106" s="15"/>
      <c r="CW106" s="15"/>
      <c r="CY106" s="15"/>
      <c r="DA106" s="15"/>
      <c r="DC106" s="15"/>
      <c r="DE106" s="15"/>
      <c r="DG106" s="15"/>
      <c r="DI106" s="15"/>
      <c r="DK106" s="15"/>
      <c r="DM106" s="15"/>
      <c r="DO106" s="15"/>
      <c r="DQ106" s="15"/>
      <c r="DS106" s="15"/>
      <c r="DU106" s="15"/>
      <c r="DW106" s="15"/>
      <c r="DY106" s="15"/>
      <c r="EA106" s="15"/>
      <c r="EC106" s="15"/>
      <c r="EE106" s="15"/>
      <c r="EG106" s="15"/>
      <c r="EI106" s="15"/>
      <c r="EK106" s="15"/>
    </row>
    <row r="107" spans="1:142" s="9" customFormat="1" x14ac:dyDescent="0.2">
      <c r="A107" s="41"/>
      <c r="C107" s="15"/>
      <c r="D107" s="51">
        <f>SUM(D93:D106)</f>
        <v>43908.66</v>
      </c>
      <c r="E107" s="15"/>
      <c r="G107" s="15"/>
      <c r="I107" s="15"/>
      <c r="K107" s="15"/>
      <c r="M107" s="15"/>
      <c r="O107" s="15"/>
      <c r="Q107" s="15"/>
      <c r="S107" s="15"/>
      <c r="U107" s="15"/>
      <c r="W107" s="15"/>
      <c r="Y107" s="15"/>
      <c r="AA107" s="15"/>
      <c r="AC107" s="15"/>
      <c r="AE107" s="15"/>
      <c r="AG107" s="15"/>
      <c r="AI107" s="15"/>
      <c r="AK107" s="15"/>
      <c r="AM107" s="15"/>
      <c r="AO107" s="15"/>
      <c r="AQ107" s="15"/>
      <c r="AS107" s="15"/>
      <c r="AU107" s="15"/>
      <c r="AW107" s="15"/>
      <c r="AY107" s="15"/>
      <c r="BA107" s="15"/>
      <c r="BC107" s="15"/>
      <c r="BE107" s="15"/>
      <c r="BG107" s="15"/>
      <c r="BI107" s="15"/>
      <c r="BK107" s="15"/>
      <c r="BM107" s="15"/>
      <c r="BO107" s="15"/>
      <c r="BQ107" s="15"/>
      <c r="BS107" s="15"/>
      <c r="BU107" s="15"/>
      <c r="BW107" s="15"/>
      <c r="BY107" s="15"/>
      <c r="CA107" s="15"/>
      <c r="CC107" s="15"/>
      <c r="CE107" s="15"/>
      <c r="CG107" s="15"/>
      <c r="CI107" s="15"/>
      <c r="CK107" s="15"/>
      <c r="CM107" s="15"/>
      <c r="CO107" s="15"/>
      <c r="CQ107" s="15"/>
      <c r="CS107" s="15"/>
      <c r="CU107" s="15"/>
      <c r="CW107" s="15"/>
      <c r="CY107" s="15"/>
      <c r="DA107" s="15"/>
      <c r="DC107" s="15"/>
      <c r="DE107" s="15"/>
      <c r="DG107" s="15"/>
      <c r="DI107" s="15"/>
      <c r="DK107" s="15"/>
      <c r="DM107" s="15"/>
      <c r="DO107" s="15"/>
      <c r="DQ107" s="15"/>
      <c r="DS107" s="15"/>
      <c r="DU107" s="15"/>
      <c r="DW107" s="15"/>
      <c r="DY107" s="15"/>
      <c r="EA107" s="15"/>
      <c r="EC107" s="15"/>
      <c r="EE107" s="15"/>
      <c r="EG107" s="15"/>
      <c r="EI107" s="15"/>
      <c r="EK107" s="15"/>
    </row>
    <row r="108" spans="1:142" s="9" customFormat="1" x14ac:dyDescent="0.2">
      <c r="A108" s="41"/>
      <c r="C108" s="15"/>
      <c r="E108" s="15"/>
      <c r="G108" s="15"/>
      <c r="I108" s="15"/>
      <c r="K108" s="15"/>
      <c r="M108" s="15"/>
      <c r="O108" s="15"/>
      <c r="Q108" s="15"/>
      <c r="S108" s="15"/>
      <c r="U108" s="15"/>
      <c r="W108" s="15"/>
      <c r="Y108" s="15"/>
      <c r="AA108" s="15"/>
      <c r="AC108" s="15"/>
      <c r="AE108" s="15"/>
      <c r="AG108" s="15"/>
      <c r="AI108" s="15"/>
      <c r="AK108" s="15"/>
      <c r="AM108" s="15"/>
      <c r="AO108" s="15"/>
      <c r="AQ108" s="15"/>
      <c r="AS108" s="15"/>
      <c r="AU108" s="15"/>
      <c r="AW108" s="15"/>
      <c r="AY108" s="15"/>
      <c r="BA108" s="15"/>
      <c r="BC108" s="15"/>
      <c r="BE108" s="15"/>
      <c r="BG108" s="15"/>
      <c r="BI108" s="15"/>
      <c r="BK108" s="15"/>
      <c r="BM108" s="15"/>
      <c r="BO108" s="15"/>
      <c r="BQ108" s="15"/>
      <c r="BS108" s="15"/>
      <c r="BU108" s="15"/>
      <c r="BW108" s="15"/>
      <c r="BY108" s="15"/>
      <c r="CA108" s="15"/>
      <c r="CC108" s="15"/>
      <c r="CE108" s="15"/>
      <c r="CG108" s="15"/>
      <c r="CI108" s="15"/>
      <c r="CK108" s="15"/>
      <c r="CM108" s="15"/>
      <c r="CO108" s="15"/>
      <c r="CQ108" s="15"/>
      <c r="CS108" s="15"/>
      <c r="CU108" s="15"/>
      <c r="CW108" s="15"/>
      <c r="CY108" s="15"/>
      <c r="DA108" s="15"/>
      <c r="DC108" s="15"/>
      <c r="DE108" s="15"/>
      <c r="DG108" s="15"/>
      <c r="DI108" s="15"/>
      <c r="DK108" s="15"/>
      <c r="DM108" s="15"/>
      <c r="DO108" s="15"/>
      <c r="DQ108" s="15"/>
      <c r="DS108" s="15"/>
      <c r="DU108" s="15"/>
      <c r="DW108" s="15"/>
      <c r="DY108" s="15"/>
      <c r="EA108" s="15"/>
      <c r="EC108" s="15"/>
      <c r="EE108" s="15"/>
      <c r="EG108" s="15"/>
      <c r="EI108" s="15"/>
      <c r="EK108" s="15"/>
    </row>
    <row r="109" spans="1:142" s="9" customFormat="1" x14ac:dyDescent="0.2">
      <c r="A109" s="41"/>
      <c r="C109" s="15"/>
      <c r="E109" s="15"/>
      <c r="G109" s="15"/>
      <c r="I109" s="15"/>
      <c r="K109" s="15"/>
      <c r="M109" s="15"/>
      <c r="O109" s="15"/>
      <c r="Q109" s="15"/>
      <c r="S109" s="15"/>
      <c r="U109" s="15"/>
      <c r="W109" s="15"/>
      <c r="Y109" s="15"/>
      <c r="AA109" s="15"/>
      <c r="AC109" s="15"/>
      <c r="AE109" s="15"/>
      <c r="AG109" s="15"/>
      <c r="AI109" s="15"/>
      <c r="AK109" s="15"/>
      <c r="AM109" s="15"/>
      <c r="AO109" s="15"/>
      <c r="AQ109" s="15"/>
      <c r="AS109" s="15"/>
      <c r="AU109" s="15"/>
      <c r="AW109" s="15"/>
      <c r="AY109" s="15"/>
      <c r="BA109" s="15"/>
      <c r="BC109" s="15"/>
      <c r="BE109" s="15"/>
      <c r="BG109" s="15"/>
      <c r="BI109" s="15"/>
      <c r="BK109" s="15"/>
      <c r="BM109" s="15"/>
      <c r="BO109" s="15"/>
      <c r="BQ109" s="15"/>
      <c r="BS109" s="15"/>
      <c r="BU109" s="15"/>
      <c r="BW109" s="15"/>
      <c r="BY109" s="15"/>
      <c r="CA109" s="15"/>
      <c r="CC109" s="15"/>
      <c r="CE109" s="15"/>
      <c r="CG109" s="15"/>
      <c r="CI109" s="15"/>
      <c r="CK109" s="15"/>
      <c r="CM109" s="15"/>
      <c r="CO109" s="15"/>
      <c r="CQ109" s="15"/>
      <c r="CS109" s="15"/>
      <c r="CU109" s="15"/>
      <c r="CW109" s="15"/>
      <c r="CY109" s="15"/>
      <c r="DA109" s="15"/>
      <c r="DC109" s="15"/>
      <c r="DE109" s="15"/>
      <c r="DG109" s="15"/>
      <c r="DI109" s="15"/>
      <c r="DK109" s="15"/>
      <c r="DM109" s="15"/>
      <c r="DO109" s="15"/>
      <c r="DQ109" s="15"/>
      <c r="DS109" s="15"/>
      <c r="DU109" s="15"/>
      <c r="DW109" s="15"/>
      <c r="DY109" s="15"/>
      <c r="EA109" s="15"/>
      <c r="EC109" s="15"/>
      <c r="EE109" s="15"/>
      <c r="EG109" s="15"/>
      <c r="EI109" s="15"/>
      <c r="EK109" s="15"/>
    </row>
    <row r="110" spans="1:142" s="11" customFormat="1" x14ac:dyDescent="0.2">
      <c r="A110" s="43"/>
      <c r="C110" s="13"/>
      <c r="E110" s="13"/>
      <c r="G110" s="13"/>
      <c r="I110" s="13"/>
      <c r="K110" s="13"/>
      <c r="M110" s="13"/>
      <c r="O110" s="13"/>
      <c r="Q110" s="13"/>
      <c r="S110" s="13"/>
      <c r="U110" s="13"/>
      <c r="W110" s="13"/>
      <c r="Y110" s="13"/>
      <c r="AA110" s="13"/>
      <c r="AC110" s="13"/>
      <c r="AE110" s="13"/>
      <c r="AG110" s="13"/>
      <c r="AI110" s="13"/>
      <c r="AK110" s="13"/>
      <c r="AM110" s="13"/>
      <c r="AO110" s="13"/>
      <c r="AQ110" s="13"/>
      <c r="AS110" s="13"/>
      <c r="AU110" s="13"/>
      <c r="AW110" s="13"/>
      <c r="AY110" s="13"/>
      <c r="BA110" s="13"/>
      <c r="BC110" s="13"/>
      <c r="BE110" s="13"/>
      <c r="BG110" s="13"/>
      <c r="BI110" s="13"/>
      <c r="BK110" s="13"/>
      <c r="BM110" s="13"/>
      <c r="BO110" s="13"/>
      <c r="BQ110" s="13"/>
      <c r="BS110" s="13"/>
      <c r="BU110" s="13"/>
      <c r="BW110" s="13"/>
      <c r="BY110" s="13"/>
      <c r="CA110" s="13"/>
      <c r="CC110" s="13"/>
      <c r="CE110" s="13"/>
      <c r="CG110" s="13"/>
      <c r="CI110" s="13"/>
      <c r="CK110" s="13"/>
      <c r="CM110" s="13"/>
      <c r="CO110" s="13"/>
      <c r="CQ110" s="13"/>
      <c r="CS110" s="13"/>
      <c r="CU110" s="13"/>
      <c r="CW110" s="13"/>
      <c r="CY110" s="13"/>
      <c r="DA110" s="13"/>
      <c r="DC110" s="13"/>
      <c r="DE110" s="13"/>
      <c r="DG110" s="13"/>
      <c r="DI110" s="13"/>
      <c r="DK110" s="13"/>
      <c r="DM110" s="13"/>
      <c r="DO110" s="13"/>
      <c r="DQ110" s="13"/>
      <c r="DS110" s="13"/>
      <c r="DU110" s="13"/>
      <c r="DW110" s="13"/>
      <c r="DY110" s="13"/>
      <c r="EA110" s="13"/>
      <c r="EC110" s="13"/>
      <c r="EE110" s="13"/>
      <c r="EG110" s="13"/>
      <c r="EI110" s="13"/>
      <c r="EK110" s="13"/>
    </row>
    <row r="111" spans="1:142" s="11" customFormat="1" x14ac:dyDescent="0.2">
      <c r="A111" s="43"/>
      <c r="C111" s="13"/>
      <c r="E111" s="13"/>
      <c r="G111" s="13"/>
      <c r="I111" s="13"/>
      <c r="K111" s="13"/>
      <c r="M111" s="13"/>
      <c r="O111" s="13"/>
      <c r="Q111" s="13"/>
      <c r="S111" s="13"/>
      <c r="U111" s="13"/>
      <c r="W111" s="13"/>
      <c r="Y111" s="13"/>
      <c r="AA111" s="13"/>
      <c r="AC111" s="13"/>
      <c r="AE111" s="13"/>
      <c r="AG111" s="13"/>
      <c r="AI111" s="13"/>
      <c r="AK111" s="13"/>
      <c r="AM111" s="13"/>
      <c r="AO111" s="13"/>
      <c r="AQ111" s="13"/>
      <c r="AS111" s="13"/>
      <c r="AU111" s="13"/>
      <c r="AW111" s="13"/>
      <c r="AY111" s="13"/>
      <c r="BA111" s="13"/>
      <c r="BC111" s="13"/>
      <c r="BE111" s="13"/>
      <c r="BG111" s="13"/>
      <c r="BI111" s="13"/>
      <c r="BK111" s="13"/>
      <c r="BM111" s="13"/>
      <c r="BO111" s="13"/>
      <c r="BQ111" s="13"/>
      <c r="BS111" s="13"/>
      <c r="BU111" s="13"/>
      <c r="BW111" s="13"/>
      <c r="BY111" s="13"/>
      <c r="CA111" s="13"/>
      <c r="CC111" s="13"/>
      <c r="CE111" s="13"/>
      <c r="CG111" s="13"/>
      <c r="CI111" s="13"/>
      <c r="CK111" s="13"/>
      <c r="CM111" s="13"/>
      <c r="CO111" s="13"/>
      <c r="CQ111" s="13"/>
      <c r="CS111" s="13"/>
      <c r="CU111" s="13"/>
      <c r="CW111" s="13"/>
      <c r="CY111" s="13"/>
      <c r="DA111" s="13"/>
      <c r="DC111" s="13"/>
      <c r="DE111" s="13"/>
      <c r="DG111" s="13"/>
      <c r="DI111" s="13"/>
      <c r="DK111" s="13"/>
      <c r="DM111" s="13"/>
      <c r="DO111" s="13"/>
      <c r="DQ111" s="13"/>
      <c r="DS111" s="13"/>
      <c r="DU111" s="13"/>
      <c r="DW111" s="13"/>
      <c r="DY111" s="13"/>
      <c r="EA111" s="13"/>
      <c r="EC111" s="13"/>
      <c r="EE111" s="13"/>
      <c r="EG111" s="13"/>
      <c r="EI111" s="13"/>
      <c r="EK111" s="13"/>
    </row>
    <row r="112" spans="1:142" s="11" customFormat="1" x14ac:dyDescent="0.2">
      <c r="A112" s="43"/>
      <c r="C112" s="13"/>
      <c r="E112" s="13"/>
      <c r="G112" s="13"/>
      <c r="I112" s="13"/>
      <c r="K112" s="13"/>
      <c r="M112" s="13"/>
      <c r="O112" s="13"/>
      <c r="Q112" s="13"/>
      <c r="S112" s="13"/>
      <c r="U112" s="13"/>
      <c r="W112" s="13"/>
      <c r="Y112" s="13"/>
      <c r="AA112" s="13"/>
      <c r="AC112" s="13"/>
      <c r="AE112" s="13"/>
      <c r="AG112" s="13"/>
      <c r="AI112" s="13"/>
      <c r="AK112" s="13"/>
      <c r="AM112" s="13"/>
      <c r="AO112" s="13"/>
      <c r="AQ112" s="13"/>
      <c r="AS112" s="13"/>
      <c r="AU112" s="13"/>
      <c r="AW112" s="13"/>
      <c r="AY112" s="13"/>
      <c r="BA112" s="13"/>
      <c r="BC112" s="13"/>
      <c r="BE112" s="13"/>
      <c r="BG112" s="13"/>
      <c r="BI112" s="13"/>
      <c r="BK112" s="13"/>
      <c r="BM112" s="13"/>
      <c r="BO112" s="13"/>
      <c r="BQ112" s="13"/>
      <c r="BS112" s="13"/>
      <c r="BU112" s="13"/>
      <c r="BW112" s="13"/>
      <c r="BY112" s="13"/>
      <c r="CA112" s="13"/>
      <c r="CC112" s="13"/>
      <c r="CE112" s="13"/>
      <c r="CG112" s="13"/>
      <c r="CI112" s="13"/>
      <c r="CK112" s="13"/>
      <c r="CM112" s="13"/>
      <c r="CO112" s="13"/>
      <c r="CQ112" s="13"/>
      <c r="CS112" s="13"/>
      <c r="CU112" s="13"/>
      <c r="CW112" s="13"/>
      <c r="CY112" s="13"/>
      <c r="DA112" s="13"/>
      <c r="DC112" s="13"/>
      <c r="DE112" s="13"/>
      <c r="DG112" s="13"/>
      <c r="DI112" s="13"/>
      <c r="DK112" s="13"/>
      <c r="DM112" s="13"/>
      <c r="DO112" s="13"/>
      <c r="DQ112" s="13"/>
      <c r="DS112" s="13"/>
      <c r="DU112" s="13"/>
      <c r="DW112" s="13"/>
      <c r="DY112" s="13"/>
      <c r="EA112" s="13"/>
      <c r="EC112" s="13"/>
      <c r="EE112" s="13"/>
      <c r="EG112" s="13"/>
      <c r="EI112" s="13"/>
      <c r="EK112" s="13"/>
    </row>
    <row r="113" spans="1:142" s="14" customFormat="1" x14ac:dyDescent="0.2">
      <c r="A113" s="42" t="s">
        <v>7</v>
      </c>
      <c r="C113" s="23"/>
      <c r="E113" s="23"/>
      <c r="G113" s="23"/>
      <c r="I113" s="23"/>
      <c r="K113" s="23"/>
      <c r="M113" s="23"/>
      <c r="O113" s="23"/>
      <c r="Q113" s="23"/>
      <c r="S113" s="23"/>
      <c r="U113" s="23"/>
      <c r="W113" s="23"/>
      <c r="Y113" s="23"/>
      <c r="AA113" s="23"/>
      <c r="AC113" s="23"/>
      <c r="AE113" s="23"/>
      <c r="AG113" s="23"/>
      <c r="AI113" s="23"/>
      <c r="AK113" s="23"/>
      <c r="AM113" s="23"/>
      <c r="AO113" s="23"/>
      <c r="AQ113" s="23"/>
      <c r="AS113" s="23"/>
      <c r="AU113" s="23"/>
      <c r="AW113" s="23"/>
      <c r="AY113" s="23"/>
      <c r="BA113" s="23"/>
      <c r="BC113" s="23"/>
      <c r="BE113" s="23"/>
      <c r="BG113" s="23"/>
      <c r="BI113" s="23"/>
      <c r="BK113" s="23"/>
      <c r="BM113" s="23"/>
      <c r="BO113" s="23"/>
      <c r="BQ113" s="23"/>
      <c r="BS113" s="23"/>
      <c r="BU113" s="23"/>
      <c r="BW113" s="23"/>
      <c r="BY113" s="23"/>
      <c r="CA113" s="23"/>
      <c r="CC113" s="23"/>
      <c r="CE113" s="23"/>
      <c r="CG113" s="23"/>
      <c r="CI113" s="23"/>
      <c r="CK113" s="23"/>
      <c r="CM113" s="23"/>
      <c r="CO113" s="23"/>
      <c r="CQ113" s="23"/>
      <c r="CS113" s="23"/>
      <c r="CU113" s="23"/>
      <c r="CW113" s="23"/>
      <c r="CY113" s="23"/>
      <c r="DA113" s="23"/>
      <c r="DC113" s="23"/>
      <c r="DE113" s="23"/>
      <c r="DG113" s="23"/>
      <c r="DI113" s="23"/>
      <c r="DK113" s="23"/>
      <c r="DM113" s="23"/>
      <c r="DO113" s="23"/>
      <c r="DQ113" s="23"/>
      <c r="DS113" s="23"/>
      <c r="DU113" s="23"/>
      <c r="DW113" s="23"/>
      <c r="DY113" s="23"/>
      <c r="EA113" s="23"/>
      <c r="EC113" s="23"/>
      <c r="EE113" s="23"/>
      <c r="EG113" s="23"/>
      <c r="EI113" s="23"/>
      <c r="EK113" s="23"/>
    </row>
    <row r="114" spans="1:142" s="14" customFormat="1" x14ac:dyDescent="0.2">
      <c r="A114" s="42"/>
      <c r="C114" s="23"/>
      <c r="E114" s="23"/>
      <c r="G114" s="23"/>
      <c r="H114" s="14">
        <v>3570.02</v>
      </c>
      <c r="I114" s="23" t="s">
        <v>210</v>
      </c>
      <c r="K114" s="23"/>
      <c r="M114" s="23"/>
      <c r="O114" s="23"/>
      <c r="P114" s="14">
        <v>2370</v>
      </c>
      <c r="Q114" s="23" t="s">
        <v>443</v>
      </c>
      <c r="R114" s="14">
        <v>7456.34</v>
      </c>
      <c r="S114" s="23" t="s">
        <v>451</v>
      </c>
      <c r="T114" s="14">
        <v>238.08</v>
      </c>
      <c r="U114" s="23" t="s">
        <v>516</v>
      </c>
      <c r="V114" s="14">
        <v>3250</v>
      </c>
      <c r="W114" s="23" t="s">
        <v>605</v>
      </c>
      <c r="Y114" s="23"/>
      <c r="AA114" s="23"/>
      <c r="AC114" s="23"/>
      <c r="AD114" s="14">
        <v>1099.01</v>
      </c>
      <c r="AE114" s="23" t="s">
        <v>734</v>
      </c>
      <c r="AF114" s="23">
        <v>3459</v>
      </c>
      <c r="AG114" s="23" t="s">
        <v>842</v>
      </c>
      <c r="AI114" s="23"/>
      <c r="AK114" s="23"/>
      <c r="AL114" s="23">
        <v>1099.01</v>
      </c>
      <c r="AM114" s="23" t="s">
        <v>964</v>
      </c>
      <c r="AO114" s="23"/>
      <c r="AQ114" s="23"/>
      <c r="AS114" s="23"/>
      <c r="AU114" s="23"/>
      <c r="AV114" s="14">
        <v>4909.0200000000004</v>
      </c>
      <c r="AW114" s="23" t="s">
        <v>1186</v>
      </c>
      <c r="AY114" s="23"/>
      <c r="BA114" s="23"/>
      <c r="BC114" s="23"/>
      <c r="BE114" s="23"/>
      <c r="BF114" s="14">
        <v>2595</v>
      </c>
      <c r="BG114" s="23" t="s">
        <v>1441</v>
      </c>
      <c r="BI114" s="23"/>
      <c r="BK114" s="23"/>
      <c r="BM114" s="23"/>
      <c r="BO114" s="23"/>
      <c r="BQ114" s="23"/>
      <c r="BS114" s="23"/>
      <c r="BU114" s="23"/>
      <c r="BW114" s="23"/>
      <c r="BY114" s="23"/>
      <c r="CA114" s="23"/>
      <c r="CC114" s="23"/>
      <c r="CE114" s="23"/>
      <c r="CG114" s="23"/>
      <c r="CI114" s="23"/>
      <c r="CK114" s="23"/>
      <c r="CM114" s="23"/>
      <c r="CO114" s="23"/>
      <c r="CQ114" s="23"/>
      <c r="CS114" s="23"/>
      <c r="CU114" s="23"/>
      <c r="CW114" s="23"/>
      <c r="CY114" s="23"/>
      <c r="DA114" s="23"/>
      <c r="DC114" s="23"/>
      <c r="DE114" s="23"/>
      <c r="DG114" s="23"/>
      <c r="DI114" s="23"/>
      <c r="DK114" s="23"/>
      <c r="DM114" s="23"/>
      <c r="DO114" s="23"/>
      <c r="DQ114" s="23"/>
      <c r="DS114" s="23"/>
      <c r="DU114" s="23"/>
      <c r="DW114" s="23"/>
      <c r="DY114" s="23"/>
      <c r="EA114" s="23"/>
      <c r="EC114" s="23"/>
      <c r="EE114" s="23"/>
      <c r="EG114" s="23"/>
      <c r="EI114" s="23"/>
      <c r="EK114" s="23"/>
    </row>
    <row r="115" spans="1:142" s="23" customFormat="1" x14ac:dyDescent="0.2">
      <c r="A115" s="42"/>
      <c r="P115" s="23">
        <v>1099</v>
      </c>
      <c r="Q115" s="23" t="s">
        <v>446</v>
      </c>
      <c r="R115" s="23">
        <v>2250.0100000000002</v>
      </c>
      <c r="S115" s="23" t="s">
        <v>485</v>
      </c>
      <c r="AD115" s="92">
        <v>1099.01</v>
      </c>
      <c r="AE115" s="23" t="s">
        <v>735</v>
      </c>
      <c r="AV115" s="14">
        <v>10137.26</v>
      </c>
      <c r="AW115" s="23" t="s">
        <v>1202</v>
      </c>
      <c r="BF115" s="14">
        <v>1099</v>
      </c>
      <c r="BG115" s="23" t="s">
        <v>1457</v>
      </c>
    </row>
    <row r="116" spans="1:142" s="11" customFormat="1" x14ac:dyDescent="0.2">
      <c r="A116" s="43"/>
      <c r="C116" s="13"/>
      <c r="E116" s="13"/>
      <c r="G116" s="13"/>
      <c r="I116" s="13"/>
      <c r="K116" s="13"/>
      <c r="M116" s="13"/>
      <c r="O116" s="13"/>
      <c r="P116" s="80">
        <f>SUM(P114:P115)</f>
        <v>3469</v>
      </c>
      <c r="Q116" s="13"/>
      <c r="R116" s="80">
        <f>SUM(R114:R115)</f>
        <v>9706.35</v>
      </c>
      <c r="S116" s="13"/>
      <c r="U116" s="13"/>
      <c r="W116" s="13"/>
      <c r="Y116" s="13"/>
      <c r="AA116" s="13"/>
      <c r="AC116" s="13"/>
      <c r="AD116" s="14">
        <f>SUM(AD114:AD115)</f>
        <v>2198.02</v>
      </c>
      <c r="AE116" s="13"/>
      <c r="AG116" s="13"/>
      <c r="AI116" s="13"/>
      <c r="AK116" s="13"/>
      <c r="AM116" s="13"/>
      <c r="AO116" s="13"/>
      <c r="AQ116" s="13"/>
      <c r="AS116" s="13"/>
      <c r="AU116" s="13"/>
      <c r="AV116" s="111">
        <f>+AV114+AV115</f>
        <v>15046.28</v>
      </c>
      <c r="AW116" s="13"/>
      <c r="AY116" s="13"/>
      <c r="BA116" s="13"/>
      <c r="BC116" s="13"/>
      <c r="BE116" s="13"/>
      <c r="BF116" s="111">
        <f>+BF115+BF114</f>
        <v>3694</v>
      </c>
      <c r="BG116" s="13"/>
      <c r="BI116" s="13"/>
      <c r="BK116" s="13"/>
      <c r="BM116" s="13"/>
      <c r="BO116" s="13"/>
      <c r="BQ116" s="13"/>
      <c r="BS116" s="13"/>
      <c r="BU116" s="13"/>
      <c r="BW116" s="13"/>
      <c r="BY116" s="13"/>
      <c r="CA116" s="13"/>
      <c r="CC116" s="13"/>
      <c r="CE116" s="13"/>
      <c r="CG116" s="13"/>
      <c r="CI116" s="13"/>
      <c r="CK116" s="13"/>
      <c r="CM116" s="13"/>
      <c r="CO116" s="13"/>
      <c r="CQ116" s="13"/>
      <c r="CS116" s="13"/>
      <c r="CU116" s="13"/>
      <c r="CW116" s="13"/>
      <c r="CY116" s="13"/>
      <c r="DA116" s="13"/>
      <c r="DC116" s="13"/>
      <c r="DE116" s="13"/>
      <c r="DG116" s="13"/>
      <c r="DI116" s="13"/>
      <c r="DK116" s="13"/>
      <c r="DM116" s="13"/>
      <c r="DO116" s="13"/>
      <c r="DQ116" s="13"/>
      <c r="DS116" s="13"/>
      <c r="DU116" s="13"/>
      <c r="DW116" s="13"/>
      <c r="DY116" s="13"/>
      <c r="EA116" s="13"/>
      <c r="EC116" s="13"/>
      <c r="EE116" s="13"/>
      <c r="EG116" s="13"/>
      <c r="EI116" s="13"/>
      <c r="EK116" s="13"/>
    </row>
    <row r="117" spans="1:142" s="11" customFormat="1" x14ac:dyDescent="0.2">
      <c r="A117" s="43"/>
      <c r="C117" s="13"/>
      <c r="E117" s="13"/>
      <c r="G117" s="13"/>
      <c r="I117" s="13"/>
      <c r="K117" s="13"/>
      <c r="M117" s="13"/>
      <c r="O117" s="13"/>
      <c r="Q117" s="13"/>
      <c r="S117" s="13"/>
      <c r="U117" s="13"/>
      <c r="W117" s="13"/>
      <c r="Y117" s="13"/>
      <c r="AA117" s="13"/>
      <c r="AC117" s="13"/>
      <c r="AE117" s="13"/>
      <c r="AG117" s="13"/>
      <c r="AI117" s="13"/>
      <c r="AK117" s="13"/>
      <c r="AM117" s="13"/>
      <c r="AO117" s="13"/>
      <c r="AQ117" s="13"/>
      <c r="AS117" s="13"/>
      <c r="AU117" s="13"/>
      <c r="AW117" s="13"/>
      <c r="AY117" s="13"/>
      <c r="BA117" s="13"/>
      <c r="BC117" s="13"/>
      <c r="BE117" s="13"/>
      <c r="BG117" s="13"/>
      <c r="BI117" s="13"/>
      <c r="BK117" s="13"/>
      <c r="BM117" s="13"/>
      <c r="BO117" s="13"/>
      <c r="BQ117" s="13"/>
      <c r="BS117" s="13"/>
      <c r="BU117" s="13"/>
      <c r="BW117" s="13"/>
      <c r="BY117" s="13"/>
      <c r="CA117" s="13"/>
      <c r="CC117" s="13"/>
      <c r="CE117" s="13"/>
      <c r="CG117" s="13"/>
      <c r="CI117" s="13"/>
      <c r="CK117" s="13"/>
      <c r="CM117" s="13"/>
      <c r="CO117" s="13"/>
      <c r="CQ117" s="13"/>
      <c r="CS117" s="13"/>
      <c r="CU117" s="13"/>
      <c r="CW117" s="13"/>
      <c r="CY117" s="13"/>
      <c r="DA117" s="13"/>
      <c r="DC117" s="13"/>
      <c r="DE117" s="13"/>
      <c r="DG117" s="13"/>
      <c r="DI117" s="13"/>
      <c r="DK117" s="13"/>
      <c r="DM117" s="13"/>
      <c r="DO117" s="13"/>
      <c r="DQ117" s="13"/>
      <c r="DS117" s="13"/>
      <c r="DU117" s="13"/>
      <c r="DW117" s="13"/>
      <c r="DY117" s="13"/>
      <c r="EA117" s="13"/>
      <c r="EC117" s="13"/>
      <c r="EE117" s="13"/>
      <c r="EG117" s="13"/>
      <c r="EI117" s="13"/>
      <c r="EK117" s="13"/>
    </row>
    <row r="118" spans="1:142" s="11" customFormat="1" x14ac:dyDescent="0.2">
      <c r="A118" s="43"/>
      <c r="C118" s="13"/>
      <c r="E118" s="13"/>
      <c r="G118" s="13"/>
      <c r="I118" s="13"/>
      <c r="K118" s="13"/>
      <c r="M118" s="13"/>
      <c r="O118" s="13"/>
      <c r="Q118" s="13"/>
      <c r="S118" s="13"/>
      <c r="U118" s="13"/>
      <c r="W118" s="13"/>
      <c r="Y118" s="13"/>
      <c r="AA118" s="13"/>
      <c r="AC118" s="13"/>
      <c r="AE118" s="13"/>
      <c r="AG118" s="13"/>
      <c r="AI118" s="13"/>
      <c r="AK118" s="13"/>
      <c r="AM118" s="13"/>
      <c r="AO118" s="13"/>
      <c r="AQ118" s="13"/>
      <c r="AS118" s="13"/>
      <c r="AU118" s="13"/>
      <c r="AW118" s="13"/>
      <c r="AY118" s="13"/>
      <c r="BA118" s="13"/>
      <c r="BC118" s="13"/>
      <c r="BE118" s="13"/>
      <c r="BG118" s="13"/>
      <c r="BI118" s="13"/>
      <c r="BK118" s="13"/>
      <c r="BM118" s="13"/>
      <c r="BO118" s="13"/>
      <c r="BQ118" s="13"/>
      <c r="BS118" s="13"/>
      <c r="BU118" s="13"/>
      <c r="BW118" s="13"/>
      <c r="BY118" s="13"/>
      <c r="CA118" s="13"/>
      <c r="CC118" s="13"/>
      <c r="CE118" s="13"/>
      <c r="CG118" s="13"/>
      <c r="CI118" s="13"/>
      <c r="CK118" s="13"/>
      <c r="CM118" s="13"/>
      <c r="CO118" s="13"/>
      <c r="CQ118" s="13"/>
      <c r="CS118" s="13"/>
      <c r="CU118" s="13"/>
      <c r="CW118" s="13"/>
      <c r="CY118" s="13"/>
      <c r="DA118" s="13"/>
      <c r="DC118" s="13"/>
      <c r="DE118" s="13"/>
      <c r="DG118" s="13"/>
      <c r="DI118" s="13"/>
      <c r="DK118" s="13"/>
      <c r="DM118" s="13"/>
      <c r="DO118" s="13"/>
      <c r="DQ118" s="13"/>
      <c r="DS118" s="13"/>
      <c r="DU118" s="13"/>
      <c r="DW118" s="13"/>
      <c r="DY118" s="13"/>
      <c r="EA118" s="13"/>
      <c r="EC118" s="13"/>
      <c r="EE118" s="13"/>
      <c r="EG118" s="13"/>
      <c r="EI118" s="13"/>
      <c r="EK118" s="13"/>
    </row>
    <row r="119" spans="1:142" s="11" customFormat="1" x14ac:dyDescent="0.2">
      <c r="A119" s="43"/>
      <c r="C119" s="13"/>
      <c r="E119" s="13"/>
      <c r="G119" s="13"/>
      <c r="I119" s="13"/>
      <c r="K119" s="13"/>
      <c r="M119" s="13"/>
      <c r="O119" s="13"/>
      <c r="Q119" s="13"/>
      <c r="S119" s="13"/>
      <c r="U119" s="13"/>
      <c r="W119" s="13"/>
      <c r="Y119" s="13"/>
      <c r="AA119" s="13"/>
      <c r="AC119" s="13"/>
      <c r="AE119" s="13"/>
      <c r="AG119" s="13"/>
      <c r="AI119" s="13"/>
      <c r="AK119" s="13"/>
      <c r="AM119" s="13"/>
      <c r="AO119" s="13"/>
      <c r="AQ119" s="13"/>
      <c r="AS119" s="13"/>
      <c r="AU119" s="13"/>
      <c r="AW119" s="13"/>
      <c r="AY119" s="13"/>
      <c r="BA119" s="13"/>
      <c r="BC119" s="13"/>
      <c r="BE119" s="13"/>
      <c r="BG119" s="13"/>
      <c r="BI119" s="13"/>
      <c r="BK119" s="13"/>
      <c r="BM119" s="13"/>
      <c r="BO119" s="13"/>
      <c r="BQ119" s="13"/>
      <c r="BS119" s="13"/>
      <c r="BU119" s="13"/>
      <c r="BW119" s="13"/>
      <c r="BY119" s="13"/>
      <c r="CA119" s="13"/>
      <c r="CC119" s="13"/>
      <c r="CE119" s="13"/>
      <c r="CG119" s="13"/>
      <c r="CI119" s="13"/>
      <c r="CK119" s="13"/>
      <c r="CM119" s="13"/>
      <c r="CO119" s="13"/>
      <c r="CQ119" s="13"/>
      <c r="CS119" s="13"/>
      <c r="CU119" s="13"/>
      <c r="CW119" s="13"/>
      <c r="CY119" s="13"/>
      <c r="DA119" s="13"/>
      <c r="DC119" s="13"/>
      <c r="DE119" s="13"/>
      <c r="DG119" s="13"/>
      <c r="DI119" s="13"/>
      <c r="DK119" s="13"/>
      <c r="DM119" s="13"/>
      <c r="DO119" s="13"/>
      <c r="DQ119" s="13"/>
      <c r="DS119" s="13"/>
      <c r="DU119" s="13"/>
      <c r="DW119" s="13"/>
      <c r="DY119" s="13"/>
      <c r="EA119" s="13"/>
      <c r="EC119" s="13"/>
      <c r="EE119" s="13"/>
      <c r="EG119" s="13"/>
      <c r="EI119" s="13"/>
      <c r="EK119" s="13"/>
    </row>
    <row r="120" spans="1:142" s="11" customFormat="1" x14ac:dyDescent="0.2">
      <c r="A120" s="43"/>
      <c r="C120" s="13"/>
      <c r="E120" s="13"/>
      <c r="G120" s="13"/>
      <c r="I120" s="13"/>
      <c r="K120" s="13"/>
      <c r="M120" s="13"/>
      <c r="O120" s="13"/>
      <c r="Q120" s="13"/>
      <c r="S120" s="13"/>
      <c r="U120" s="13"/>
      <c r="W120" s="13"/>
      <c r="Y120" s="13"/>
      <c r="AA120" s="13"/>
      <c r="AC120" s="13"/>
      <c r="AE120" s="13"/>
      <c r="AG120" s="13"/>
      <c r="AI120" s="13"/>
      <c r="AK120" s="13"/>
      <c r="AM120" s="13"/>
      <c r="AO120" s="13"/>
      <c r="AQ120" s="13"/>
      <c r="AS120" s="13"/>
      <c r="AU120" s="13"/>
      <c r="AW120" s="13"/>
      <c r="AY120" s="13"/>
      <c r="BA120" s="13"/>
      <c r="BC120" s="13"/>
      <c r="BE120" s="13"/>
      <c r="BG120" s="13"/>
      <c r="BI120" s="13"/>
      <c r="BK120" s="13"/>
      <c r="BM120" s="13"/>
      <c r="BO120" s="13"/>
      <c r="BQ120" s="13"/>
      <c r="BS120" s="13"/>
      <c r="BU120" s="13"/>
      <c r="BW120" s="13"/>
      <c r="BY120" s="13"/>
      <c r="CA120" s="13"/>
      <c r="CC120" s="13"/>
      <c r="CE120" s="13"/>
      <c r="CG120" s="13"/>
      <c r="CI120" s="13"/>
      <c r="CK120" s="13"/>
      <c r="CM120" s="13"/>
      <c r="CO120" s="13"/>
      <c r="CQ120" s="13"/>
      <c r="CS120" s="13"/>
      <c r="CU120" s="13"/>
      <c r="CW120" s="13"/>
      <c r="CY120" s="13"/>
      <c r="DA120" s="13"/>
      <c r="DC120" s="13"/>
      <c r="DE120" s="13"/>
      <c r="DG120" s="13"/>
      <c r="DI120" s="13"/>
      <c r="DK120" s="13"/>
      <c r="DM120" s="13"/>
      <c r="DO120" s="13"/>
      <c r="DQ120" s="13"/>
      <c r="DS120" s="13"/>
      <c r="DU120" s="13"/>
      <c r="DW120" s="13"/>
      <c r="DY120" s="13"/>
      <c r="EA120" s="13"/>
      <c r="EC120" s="13"/>
      <c r="EE120" s="13"/>
      <c r="EG120" s="13"/>
      <c r="EI120" s="13"/>
      <c r="EK120" s="13"/>
    </row>
    <row r="121" spans="1:142" s="14" customFormat="1" x14ac:dyDescent="0.2">
      <c r="A121" s="42" t="s">
        <v>5</v>
      </c>
      <c r="B121" s="14">
        <f>+B69</f>
        <v>51831.330000000009</v>
      </c>
      <c r="C121" s="23"/>
      <c r="D121" s="14">
        <f>+D77</f>
        <v>76672.340000000011</v>
      </c>
      <c r="E121" s="23"/>
      <c r="F121" s="14">
        <f>+F80</f>
        <v>64186.070000000007</v>
      </c>
      <c r="G121" s="23"/>
      <c r="H121" s="14">
        <f>+H76</f>
        <v>163632.60000000006</v>
      </c>
      <c r="I121" s="23"/>
      <c r="J121" s="14">
        <f>+J64+J70</f>
        <v>6969.99</v>
      </c>
      <c r="K121" s="23"/>
      <c r="L121" s="14">
        <f>+L67</f>
        <v>2360.0100000000002</v>
      </c>
      <c r="M121" s="23"/>
      <c r="N121" s="14">
        <f>+N71+N81</f>
        <v>1099</v>
      </c>
      <c r="O121" s="23"/>
      <c r="Q121" s="23"/>
      <c r="S121" s="23"/>
      <c r="U121" s="23"/>
      <c r="W121" s="23"/>
      <c r="Y121" s="23"/>
      <c r="AA121" s="23"/>
      <c r="AC121" s="23"/>
      <c r="AE121" s="23"/>
      <c r="AF121" s="14">
        <f>+AF76</f>
        <v>37615.669999999991</v>
      </c>
      <c r="AG121" s="23"/>
      <c r="AI121" s="23"/>
      <c r="AJ121" s="14">
        <f>+AJ77</f>
        <v>31168.440000000002</v>
      </c>
      <c r="AK121" s="23"/>
      <c r="AL121" s="14">
        <f>+AL83</f>
        <v>113341.47999999997</v>
      </c>
      <c r="AM121" s="23"/>
      <c r="AN121" s="14">
        <f>+AN60</f>
        <v>5000</v>
      </c>
      <c r="AO121" s="23"/>
      <c r="AP121" s="14">
        <f>+AP75</f>
        <v>57433.08</v>
      </c>
      <c r="AQ121" s="23"/>
      <c r="AR121" s="14">
        <f>+AR78</f>
        <v>42398.44</v>
      </c>
      <c r="AS121" s="23"/>
      <c r="AT121" s="14">
        <f>+AT72</f>
        <v>43009.599999999999</v>
      </c>
      <c r="AU121" s="23"/>
      <c r="AV121" s="14">
        <f>+AV69</f>
        <v>34349.93</v>
      </c>
      <c r="AW121" s="23"/>
      <c r="AX121" s="14">
        <f>+AX73</f>
        <v>78135.450000000012</v>
      </c>
      <c r="AY121" s="23"/>
      <c r="AZ121" s="14">
        <f>+AZ79</f>
        <v>47312.719999999994</v>
      </c>
      <c r="BA121" s="23"/>
      <c r="BC121" s="23"/>
      <c r="BE121" s="23"/>
      <c r="BF121" s="14">
        <f>+BF68</f>
        <v>64598.42</v>
      </c>
      <c r="BG121" s="23"/>
      <c r="BI121" s="23"/>
      <c r="BK121" s="23"/>
      <c r="BM121" s="23"/>
      <c r="BO121" s="23"/>
      <c r="BQ121" s="23"/>
      <c r="BS121" s="23"/>
      <c r="BU121" s="23"/>
      <c r="BW121" s="23"/>
      <c r="BY121" s="23"/>
      <c r="CA121" s="23"/>
      <c r="CC121" s="23"/>
      <c r="CE121" s="23"/>
      <c r="CG121" s="23"/>
      <c r="CI121" s="23"/>
      <c r="CK121" s="23"/>
      <c r="CM121" s="23"/>
      <c r="CO121" s="23"/>
      <c r="CQ121" s="23"/>
      <c r="CS121" s="23"/>
      <c r="CU121" s="23"/>
      <c r="CW121" s="23"/>
      <c r="CY121" s="23"/>
      <c r="DA121" s="23"/>
      <c r="DC121" s="23"/>
      <c r="DE121" s="23"/>
      <c r="DG121" s="23"/>
      <c r="DI121" s="23"/>
      <c r="DK121" s="23"/>
      <c r="DM121" s="23"/>
      <c r="DO121" s="23"/>
      <c r="DQ121" s="23"/>
      <c r="DS121" s="23"/>
      <c r="DU121" s="23"/>
      <c r="DW121" s="23"/>
      <c r="DY121" s="23"/>
      <c r="EA121" s="23"/>
      <c r="EC121" s="23"/>
      <c r="EE121" s="23"/>
      <c r="EG121" s="23"/>
      <c r="EI121" s="23"/>
      <c r="EK121" s="23"/>
    </row>
    <row r="122" spans="1:142" s="14" customFormat="1" x14ac:dyDescent="0.2">
      <c r="A122" s="42" t="s">
        <v>8</v>
      </c>
      <c r="B122" s="14">
        <f>+B97</f>
        <v>14256.48</v>
      </c>
      <c r="C122" s="23"/>
      <c r="D122" s="14">
        <f>+D107</f>
        <v>43908.66</v>
      </c>
      <c r="E122" s="23"/>
      <c r="F122" s="14">
        <f>+F100</f>
        <v>13033.02</v>
      </c>
      <c r="G122" s="23"/>
      <c r="H122" s="14">
        <f>+H101</f>
        <v>17101.16</v>
      </c>
      <c r="I122" s="23"/>
      <c r="J122" s="14">
        <f>+J95</f>
        <v>2994.99</v>
      </c>
      <c r="K122" s="23"/>
      <c r="L122" s="14">
        <f>+L95</f>
        <v>1099.01</v>
      </c>
      <c r="M122" s="23"/>
      <c r="N122" s="14">
        <f>+N95</f>
        <v>0</v>
      </c>
      <c r="O122" s="23"/>
      <c r="Q122" s="23"/>
      <c r="S122" s="23"/>
      <c r="U122" s="23"/>
      <c r="W122" s="23"/>
      <c r="Y122" s="23"/>
      <c r="AA122" s="23"/>
      <c r="AC122" s="23"/>
      <c r="AE122" s="23"/>
      <c r="AF122" s="14">
        <f>+AF97</f>
        <v>7039.1100000000006</v>
      </c>
      <c r="AG122" s="23"/>
      <c r="AI122" s="23"/>
      <c r="AK122" s="23"/>
      <c r="AL122" s="14">
        <f>+AL100</f>
        <v>14327.730000000001</v>
      </c>
      <c r="AM122" s="23"/>
      <c r="AO122" s="23"/>
      <c r="AP122" s="14">
        <f>+AP105</f>
        <v>68457.320000000007</v>
      </c>
      <c r="AQ122" s="23"/>
      <c r="AR122" s="14">
        <f>+AR98</f>
        <v>10450.67</v>
      </c>
      <c r="AS122" s="23"/>
      <c r="AT122" s="14">
        <f>+AT98</f>
        <v>8812.7200000000012</v>
      </c>
      <c r="AU122" s="23"/>
      <c r="AV122" s="14">
        <f>+AV99</f>
        <v>18875.189999999999</v>
      </c>
      <c r="AW122" s="23"/>
      <c r="AX122" s="14">
        <f>+AX93</f>
        <v>2865.99</v>
      </c>
      <c r="AY122" s="23"/>
      <c r="AZ122" s="14">
        <f>+AZ100</f>
        <v>34237.97</v>
      </c>
      <c r="BA122" s="23"/>
      <c r="BB122" s="14">
        <f>+BB93</f>
        <v>5000</v>
      </c>
      <c r="BC122" s="23"/>
      <c r="BE122" s="23"/>
      <c r="BF122" s="14">
        <f>+BF100</f>
        <v>29493.030000000002</v>
      </c>
      <c r="BG122" s="23"/>
      <c r="BI122" s="23"/>
      <c r="BK122" s="23"/>
      <c r="BM122" s="23"/>
      <c r="BO122" s="23"/>
      <c r="BQ122" s="23"/>
      <c r="BS122" s="23"/>
      <c r="BU122" s="23"/>
      <c r="BW122" s="23"/>
      <c r="BY122" s="23"/>
      <c r="CA122" s="23"/>
      <c r="CC122" s="23"/>
      <c r="CE122" s="23"/>
      <c r="CG122" s="23"/>
      <c r="CI122" s="23"/>
      <c r="CK122" s="23"/>
      <c r="CM122" s="23"/>
      <c r="CO122" s="23"/>
      <c r="CQ122" s="23"/>
      <c r="CS122" s="23"/>
      <c r="CU122" s="23"/>
      <c r="CW122" s="23"/>
      <c r="CY122" s="23"/>
      <c r="DA122" s="23"/>
      <c r="DC122" s="23"/>
      <c r="DE122" s="23"/>
      <c r="DG122" s="23"/>
      <c r="DI122" s="23"/>
      <c r="DK122" s="23"/>
      <c r="DM122" s="23"/>
      <c r="DO122" s="23"/>
      <c r="DQ122" s="23"/>
      <c r="DS122" s="23"/>
      <c r="DU122" s="23"/>
      <c r="DW122" s="23"/>
      <c r="DY122" s="23"/>
      <c r="EA122" s="23"/>
      <c r="EC122" s="23"/>
      <c r="EE122" s="23"/>
      <c r="EG122" s="23"/>
      <c r="EI122" s="23"/>
      <c r="EK122" s="23"/>
    </row>
    <row r="123" spans="1:142" s="14" customFormat="1" x14ac:dyDescent="0.2">
      <c r="A123" s="42" t="s">
        <v>7</v>
      </c>
      <c r="B123" s="14">
        <f>+B115</f>
        <v>0</v>
      </c>
      <c r="C123" s="23"/>
      <c r="D123" s="14">
        <f>+D114</f>
        <v>0</v>
      </c>
      <c r="E123" s="23"/>
      <c r="G123" s="23"/>
      <c r="H123" s="14">
        <f>+H114</f>
        <v>3570.02</v>
      </c>
      <c r="I123" s="23"/>
      <c r="K123" s="23"/>
      <c r="M123" s="23"/>
      <c r="N123" s="14">
        <f>+N116</f>
        <v>0</v>
      </c>
      <c r="O123" s="23"/>
      <c r="Q123" s="23"/>
      <c r="S123" s="23"/>
      <c r="U123" s="23"/>
      <c r="W123" s="23"/>
      <c r="Y123" s="23"/>
      <c r="AA123" s="23"/>
      <c r="AC123" s="23"/>
      <c r="AE123" s="23"/>
      <c r="AF123" s="14">
        <f>+AF114</f>
        <v>3459</v>
      </c>
      <c r="AG123" s="23"/>
      <c r="AI123" s="23"/>
      <c r="AK123" s="23"/>
      <c r="AL123" s="14">
        <f>+AL114</f>
        <v>1099.01</v>
      </c>
      <c r="AM123" s="23"/>
      <c r="AO123" s="23"/>
      <c r="AQ123" s="23"/>
      <c r="AS123" s="23"/>
      <c r="AU123" s="23"/>
      <c r="AV123" s="14">
        <f>+AV116</f>
        <v>15046.28</v>
      </c>
      <c r="AW123" s="23"/>
      <c r="AY123" s="23"/>
      <c r="BA123" s="23"/>
      <c r="BC123" s="23"/>
      <c r="BE123" s="23"/>
      <c r="BF123" s="14">
        <f>+BF116</f>
        <v>3694</v>
      </c>
      <c r="BG123" s="23"/>
      <c r="BI123" s="23"/>
      <c r="BK123" s="23"/>
      <c r="BM123" s="23"/>
      <c r="BO123" s="23"/>
      <c r="BQ123" s="23"/>
      <c r="BS123" s="23"/>
      <c r="BU123" s="23"/>
      <c r="BW123" s="23"/>
      <c r="BY123" s="23"/>
      <c r="CA123" s="23"/>
      <c r="CC123" s="23"/>
      <c r="CE123" s="23"/>
      <c r="CG123" s="23"/>
      <c r="CI123" s="23"/>
      <c r="CK123" s="23"/>
      <c r="CM123" s="23"/>
      <c r="CO123" s="23"/>
      <c r="CQ123" s="23"/>
      <c r="CS123" s="23"/>
      <c r="CU123" s="23"/>
      <c r="CW123" s="23"/>
      <c r="CY123" s="23"/>
      <c r="DA123" s="23"/>
      <c r="DC123" s="23"/>
      <c r="DE123" s="23"/>
      <c r="DG123" s="23"/>
      <c r="DI123" s="23"/>
      <c r="DK123" s="23"/>
      <c r="DM123" s="23"/>
      <c r="DO123" s="23"/>
      <c r="DQ123" s="23"/>
      <c r="DS123" s="23"/>
      <c r="DU123" s="23"/>
      <c r="DW123" s="23"/>
      <c r="DY123" s="23"/>
      <c r="EA123" s="23"/>
      <c r="EC123" s="23"/>
      <c r="EE123" s="23"/>
      <c r="EG123" s="23"/>
      <c r="EI123" s="23"/>
      <c r="EK123" s="23"/>
    </row>
    <row r="124" spans="1:142" s="69" customFormat="1" x14ac:dyDescent="0.2">
      <c r="A124" s="44" t="s">
        <v>9</v>
      </c>
      <c r="B124" s="27">
        <f>SUM(B121:B123)</f>
        <v>66087.810000000012</v>
      </c>
      <c r="C124" s="27"/>
      <c r="D124" s="27">
        <f>SUM(D121:D123)</f>
        <v>120581.00000000001</v>
      </c>
      <c r="E124" s="27"/>
      <c r="F124" s="27">
        <f>SUM(F121:F123)</f>
        <v>77219.090000000011</v>
      </c>
      <c r="G124" s="27"/>
      <c r="H124" s="27">
        <f>SUM(H121:H123)</f>
        <v>184303.78000000006</v>
      </c>
      <c r="I124" s="27"/>
      <c r="J124" s="27">
        <f>SUM(J121:J123)</f>
        <v>9964.98</v>
      </c>
      <c r="K124" s="27"/>
      <c r="L124" s="27">
        <f>SUM(L121:L123)</f>
        <v>3459.0200000000004</v>
      </c>
      <c r="M124" s="27"/>
      <c r="N124" s="27">
        <f>SUM(N121:N123)</f>
        <v>1099</v>
      </c>
      <c r="O124" s="27"/>
      <c r="P124" s="27">
        <f>SUM(P121:P123)</f>
        <v>0</v>
      </c>
      <c r="Q124" s="27"/>
      <c r="R124" s="27">
        <f>SUM(R121:R123)</f>
        <v>0</v>
      </c>
      <c r="S124" s="27"/>
      <c r="T124" s="27">
        <f>SUM(T121:T123)</f>
        <v>0</v>
      </c>
      <c r="U124" s="27"/>
      <c r="V124" s="27">
        <f>SUM(V121:V123)</f>
        <v>0</v>
      </c>
      <c r="W124" s="27"/>
      <c r="X124" s="27">
        <f>SUM(X121:X123)</f>
        <v>0</v>
      </c>
      <c r="Y124" s="27"/>
      <c r="Z124" s="27">
        <f>SUM(Z121:Z123)</f>
        <v>0</v>
      </c>
      <c r="AA124" s="27"/>
      <c r="AB124" s="27">
        <f>SUM(AB121:AB123)</f>
        <v>0</v>
      </c>
      <c r="AC124" s="27"/>
      <c r="AD124" s="27">
        <f>SUM(AD121:AD123)</f>
        <v>0</v>
      </c>
      <c r="AE124" s="27"/>
      <c r="AF124" s="27">
        <f>SUM(AF121:AF123)</f>
        <v>48113.779999999992</v>
      </c>
      <c r="AG124" s="27"/>
      <c r="AH124" s="27">
        <f>SUM(AH121:AH123)</f>
        <v>0</v>
      </c>
      <c r="AI124" s="27"/>
      <c r="AJ124" s="27">
        <f>SUM(AJ121:AJ122)</f>
        <v>31168.440000000002</v>
      </c>
      <c r="AK124" s="27"/>
      <c r="AL124" s="27">
        <f>SUM(AL121:AL123)</f>
        <v>128768.21999999996</v>
      </c>
      <c r="AM124" s="27"/>
      <c r="AN124" s="27">
        <f>SUM(AN121:AN122)</f>
        <v>5000</v>
      </c>
      <c r="AO124" s="27"/>
      <c r="AP124" s="27">
        <f>SUM(AP121:AP123)</f>
        <v>125890.40000000001</v>
      </c>
      <c r="AQ124" s="27"/>
      <c r="AR124" s="27">
        <f>SUM(AR121:AR123)</f>
        <v>52849.11</v>
      </c>
      <c r="AS124" s="27"/>
      <c r="AT124" s="27">
        <f>SUM(AT121:AT123)</f>
        <v>51822.32</v>
      </c>
      <c r="AU124" s="27"/>
      <c r="AV124" s="27">
        <f>SUM(AV121:AV123)</f>
        <v>68271.399999999994</v>
      </c>
      <c r="AW124" s="27"/>
      <c r="AX124" s="27">
        <f>SUM(AX121:AX123)</f>
        <v>81001.440000000017</v>
      </c>
      <c r="AY124" s="27"/>
      <c r="AZ124" s="27">
        <f>SUM(AZ121:AZ123)</f>
        <v>81550.69</v>
      </c>
      <c r="BA124" s="27"/>
      <c r="BB124" s="27">
        <f>SUM(BB121:BB123)</f>
        <v>5000</v>
      </c>
      <c r="BC124" s="27"/>
      <c r="BD124" s="27">
        <f>SUM(BD121:BD123)</f>
        <v>0</v>
      </c>
      <c r="BE124" s="27"/>
      <c r="BF124" s="27">
        <f>SUM(BF121:BF123)</f>
        <v>97785.45</v>
      </c>
      <c r="BG124" s="27"/>
      <c r="BH124" s="27">
        <f>SUM(BH121:BH122)</f>
        <v>0</v>
      </c>
      <c r="BI124" s="27"/>
      <c r="BJ124" s="27">
        <f>SUM(BJ121:BJ122)</f>
        <v>0</v>
      </c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</row>
    <row r="125" spans="1:142" s="69" customFormat="1" x14ac:dyDescent="0.2">
      <c r="A125" s="44"/>
      <c r="B125" s="27">
        <f>51831.33+14256.48</f>
        <v>66087.81</v>
      </c>
      <c r="C125" s="27"/>
      <c r="D125" s="27">
        <f>76672.35+43908.67</f>
        <v>120581.02</v>
      </c>
      <c r="E125" s="27"/>
      <c r="F125" s="27">
        <f>64186.06+13033.03</f>
        <v>77219.09</v>
      </c>
      <c r="G125" s="27"/>
      <c r="H125" s="27">
        <f>163632.63+3570.02+17101.18</f>
        <v>184303.83</v>
      </c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>
        <f>38425.67+7039.11+3459-810</f>
        <v>48113.78</v>
      </c>
      <c r="AG125" s="27"/>
      <c r="AH125" s="27"/>
      <c r="AI125" s="27"/>
      <c r="AJ125" s="27">
        <v>31168.44</v>
      </c>
      <c r="AK125" s="27"/>
      <c r="AL125" s="27">
        <f>113341.48+14327.73+1099.01</f>
        <v>128768.21999999999</v>
      </c>
      <c r="AM125" s="27"/>
      <c r="AN125" s="27">
        <v>5000</v>
      </c>
      <c r="AO125" s="27"/>
      <c r="AP125" s="27">
        <f>57433.08+68457.32</f>
        <v>125890.40000000001</v>
      </c>
      <c r="AQ125" s="27"/>
      <c r="AR125" s="27">
        <f>42398.44+10450.67</f>
        <v>52849.11</v>
      </c>
      <c r="AS125" s="27"/>
      <c r="AT125" s="27">
        <f>43009.6+8812.72</f>
        <v>51822.32</v>
      </c>
      <c r="AU125" s="27"/>
      <c r="AV125" s="27">
        <f>34349.93+18875.19+15046.28</f>
        <v>68271.399999999994</v>
      </c>
      <c r="AW125" s="27"/>
      <c r="AX125" s="27">
        <f>78135.45+2865.99</f>
        <v>81001.440000000002</v>
      </c>
      <c r="AY125" s="27"/>
      <c r="AZ125" s="27">
        <f>47311.73+34237.97</f>
        <v>81549.700000000012</v>
      </c>
      <c r="BA125" s="27"/>
      <c r="BB125" s="27">
        <v>5000</v>
      </c>
      <c r="BC125" s="27"/>
      <c r="BD125" s="27"/>
      <c r="BE125" s="27"/>
      <c r="BF125" s="27">
        <f>64598.42+29493.03+3694</f>
        <v>97785.45</v>
      </c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</row>
    <row r="126" spans="1:142" s="70" customFormat="1" x14ac:dyDescent="0.2">
      <c r="A126" s="44" t="s">
        <v>3</v>
      </c>
      <c r="B126" s="28">
        <f>B124-B125</f>
        <v>0</v>
      </c>
      <c r="C126" s="28"/>
      <c r="D126" s="28">
        <f>D124-D125</f>
        <v>-1.9999999989522621E-2</v>
      </c>
      <c r="E126" s="28"/>
      <c r="F126" s="28">
        <f>F124-F125</f>
        <v>0</v>
      </c>
      <c r="G126" s="28"/>
      <c r="H126" s="28">
        <f>H124-H125</f>
        <v>-4.9999999930150807E-2</v>
      </c>
      <c r="I126" s="28"/>
      <c r="J126" s="28">
        <f>J124-J125</f>
        <v>9964.98</v>
      </c>
      <c r="K126" s="28"/>
      <c r="L126" s="28">
        <f>L124-L125</f>
        <v>3459.0200000000004</v>
      </c>
      <c r="M126" s="28"/>
      <c r="N126" s="28">
        <f>N124-N125</f>
        <v>1099</v>
      </c>
      <c r="O126" s="28"/>
      <c r="P126" s="28">
        <f>P124-P125</f>
        <v>0</v>
      </c>
      <c r="Q126" s="28"/>
      <c r="R126" s="28">
        <f>R124-R125</f>
        <v>0</v>
      </c>
      <c r="S126" s="28"/>
      <c r="T126" s="28">
        <f>T124-T125</f>
        <v>0</v>
      </c>
      <c r="U126" s="28"/>
      <c r="V126" s="28">
        <f>V124-V125</f>
        <v>0</v>
      </c>
      <c r="W126" s="28"/>
      <c r="X126" s="28">
        <f>X124-X125</f>
        <v>0</v>
      </c>
      <c r="Y126" s="28"/>
      <c r="Z126" s="28">
        <f>Z124-Z125</f>
        <v>0</v>
      </c>
      <c r="AA126" s="28"/>
      <c r="AB126" s="28">
        <f>AB124-AB125</f>
        <v>0</v>
      </c>
      <c r="AC126" s="28"/>
      <c r="AD126" s="28">
        <f>AD124-AD125</f>
        <v>0</v>
      </c>
      <c r="AE126" s="28"/>
      <c r="AF126" s="28">
        <f>+AF124-AF125</f>
        <v>0</v>
      </c>
      <c r="AG126" s="28"/>
      <c r="AH126" s="28">
        <f>AH124-AH125</f>
        <v>0</v>
      </c>
      <c r="AI126" s="28"/>
      <c r="AJ126" s="28">
        <f>AJ124-AJ125</f>
        <v>0</v>
      </c>
      <c r="AK126" s="28"/>
      <c r="AL126" s="28">
        <f>AL124-AL125</f>
        <v>0</v>
      </c>
      <c r="AM126" s="28"/>
      <c r="AN126" s="28">
        <f>AN124-AN125</f>
        <v>0</v>
      </c>
      <c r="AO126" s="28"/>
      <c r="AP126" s="28">
        <f>AP124-AP125</f>
        <v>0</v>
      </c>
      <c r="AQ126" s="28"/>
      <c r="AR126" s="28">
        <f>AR124-AR125</f>
        <v>0</v>
      </c>
      <c r="AS126" s="28"/>
      <c r="AT126" s="28">
        <f>AT124-AT125</f>
        <v>0</v>
      </c>
      <c r="AU126" s="28"/>
      <c r="AV126" s="28">
        <f>AV124-AV125</f>
        <v>0</v>
      </c>
      <c r="AW126" s="28"/>
      <c r="AX126" s="28">
        <f>AX124-AX125</f>
        <v>0</v>
      </c>
      <c r="AY126" s="28"/>
      <c r="AZ126" s="28">
        <f>AZ124-AZ125</f>
        <v>0.98999999999068677</v>
      </c>
      <c r="BA126" s="28"/>
      <c r="BB126" s="28">
        <f>BB124-BB125</f>
        <v>0</v>
      </c>
      <c r="BC126" s="28"/>
      <c r="BD126" s="28">
        <f>BD124-BD125</f>
        <v>0</v>
      </c>
      <c r="BE126" s="28"/>
      <c r="BF126" s="28">
        <f>BF124-BF125</f>
        <v>0</v>
      </c>
      <c r="BG126" s="28"/>
      <c r="BH126" s="28">
        <f>BH124-BH125</f>
        <v>0</v>
      </c>
      <c r="BI126" s="28"/>
      <c r="BJ126" s="28">
        <f>BJ124-BJ125</f>
        <v>0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</row>
    <row r="129" spans="1:142" s="71" customFormat="1" x14ac:dyDescent="0.2">
      <c r="A129" s="37" t="s">
        <v>10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</row>
    <row r="130" spans="1:142" s="20" customFormat="1" x14ac:dyDescent="0.2">
      <c r="A130" s="40"/>
      <c r="B130" s="22">
        <v>42737</v>
      </c>
      <c r="C130" s="22"/>
      <c r="D130" s="22">
        <v>42738</v>
      </c>
      <c r="E130" s="22"/>
      <c r="F130" s="22">
        <v>42739</v>
      </c>
      <c r="G130" s="22"/>
      <c r="H130" s="22">
        <v>42740</v>
      </c>
      <c r="I130" s="22"/>
      <c r="J130" s="22">
        <v>42741</v>
      </c>
      <c r="K130" s="22"/>
      <c r="L130" s="22">
        <v>42742</v>
      </c>
      <c r="M130" s="22"/>
      <c r="N130" s="22">
        <v>42744</v>
      </c>
      <c r="O130" s="22"/>
      <c r="P130" s="22">
        <v>42745</v>
      </c>
      <c r="Q130" s="22"/>
      <c r="R130" s="22">
        <v>42746</v>
      </c>
      <c r="S130" s="22"/>
      <c r="T130" s="22">
        <v>42747</v>
      </c>
      <c r="U130" s="22"/>
      <c r="V130" s="22">
        <v>42748</v>
      </c>
      <c r="W130" s="22"/>
      <c r="X130" s="22">
        <v>42749</v>
      </c>
      <c r="Y130" s="22"/>
      <c r="Z130" s="22"/>
      <c r="AA130" s="22"/>
      <c r="AB130" s="22">
        <v>42751</v>
      </c>
      <c r="AC130" s="22"/>
      <c r="AD130" s="22">
        <v>42752</v>
      </c>
      <c r="AE130" s="22"/>
      <c r="AF130" s="22">
        <v>42753</v>
      </c>
      <c r="AH130" s="22">
        <v>42754</v>
      </c>
      <c r="AI130" s="22"/>
      <c r="AJ130" s="22">
        <v>42755</v>
      </c>
      <c r="AK130" s="22"/>
      <c r="AL130" s="22">
        <v>42756</v>
      </c>
      <c r="AM130" s="22"/>
      <c r="AN130" s="22">
        <v>42757</v>
      </c>
      <c r="AO130" s="22"/>
      <c r="AP130" s="22">
        <v>42758</v>
      </c>
      <c r="AQ130" s="22"/>
      <c r="AR130" s="22">
        <v>42759</v>
      </c>
      <c r="AS130" s="22"/>
      <c r="AT130" s="22">
        <v>42760</v>
      </c>
      <c r="AU130" s="22"/>
      <c r="AV130" s="22">
        <v>42761</v>
      </c>
      <c r="AW130" s="22"/>
      <c r="AX130" s="22">
        <v>42762</v>
      </c>
      <c r="AY130" s="22"/>
      <c r="AZ130" s="22">
        <v>42763</v>
      </c>
      <c r="BA130" s="22"/>
      <c r="BB130" s="22">
        <v>42764</v>
      </c>
      <c r="BC130" s="22"/>
      <c r="BD130" s="22">
        <v>42765</v>
      </c>
      <c r="BE130" s="22"/>
      <c r="BF130" s="22">
        <v>42766</v>
      </c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</row>
    <row r="131" spans="1:142" s="72" customFormat="1" x14ac:dyDescent="0.2">
      <c r="A131" s="45"/>
      <c r="B131" s="29">
        <v>85000</v>
      </c>
      <c r="C131" s="24" t="s">
        <v>11</v>
      </c>
      <c r="D131" s="29">
        <v>58000</v>
      </c>
      <c r="E131" s="24" t="s">
        <v>62</v>
      </c>
      <c r="F131" s="29">
        <v>120000</v>
      </c>
      <c r="G131" s="24" t="s">
        <v>141</v>
      </c>
      <c r="H131" s="29">
        <v>316800</v>
      </c>
      <c r="I131" s="24" t="s">
        <v>202</v>
      </c>
      <c r="J131" s="29">
        <v>757.04</v>
      </c>
      <c r="K131" s="24" t="s">
        <v>250</v>
      </c>
      <c r="L131" s="29">
        <v>15000</v>
      </c>
      <c r="M131" s="24" t="s">
        <v>310</v>
      </c>
      <c r="N131" s="29">
        <v>13581.77</v>
      </c>
      <c r="O131" s="24" t="s">
        <v>351</v>
      </c>
      <c r="P131" s="29">
        <v>1113</v>
      </c>
      <c r="Q131" s="24" t="s">
        <v>398</v>
      </c>
      <c r="R131" s="29">
        <v>30900</v>
      </c>
      <c r="S131" s="24" t="s">
        <v>452</v>
      </c>
      <c r="T131" s="29">
        <v>20000</v>
      </c>
      <c r="U131" s="24" t="s">
        <v>496</v>
      </c>
      <c r="V131" s="29">
        <v>60000</v>
      </c>
      <c r="W131" s="24" t="s">
        <v>580</v>
      </c>
      <c r="X131" s="29">
        <v>10000</v>
      </c>
      <c r="Y131" s="24" t="s">
        <v>549</v>
      </c>
      <c r="Z131" s="29"/>
      <c r="AA131" s="24"/>
      <c r="AB131" s="29">
        <v>154300</v>
      </c>
      <c r="AC131" s="85" t="s">
        <v>660</v>
      </c>
      <c r="AD131" s="29">
        <v>20000</v>
      </c>
      <c r="AE131" s="85" t="s">
        <v>736</v>
      </c>
      <c r="AF131" s="29">
        <v>128300</v>
      </c>
      <c r="AG131" s="24" t="s">
        <v>812</v>
      </c>
      <c r="AH131" s="29">
        <v>9000</v>
      </c>
      <c r="AI131" s="85" t="s">
        <v>797</v>
      </c>
      <c r="AJ131" s="29">
        <v>190800</v>
      </c>
      <c r="AK131" s="24" t="s">
        <v>876</v>
      </c>
      <c r="AL131" s="29">
        <v>50000</v>
      </c>
      <c r="AM131" s="24" t="s">
        <v>914</v>
      </c>
      <c r="AN131" s="29"/>
      <c r="AO131" s="24"/>
      <c r="AP131" s="29">
        <v>185800</v>
      </c>
      <c r="AQ131" s="102" t="s">
        <v>978</v>
      </c>
      <c r="AR131" s="104">
        <v>85346.21</v>
      </c>
      <c r="AS131" s="72" t="s">
        <v>1039</v>
      </c>
      <c r="AT131" s="29">
        <v>290000</v>
      </c>
      <c r="AU131" s="24" t="s">
        <v>1099</v>
      </c>
      <c r="AV131" s="29">
        <v>32764.82</v>
      </c>
      <c r="AW131" s="24" t="s">
        <v>1162</v>
      </c>
      <c r="AX131" s="29">
        <v>15614</v>
      </c>
      <c r="AY131" s="24" t="s">
        <v>1227</v>
      </c>
      <c r="AZ131" s="29">
        <v>9476.35</v>
      </c>
      <c r="BA131" s="24" t="s">
        <v>1277</v>
      </c>
      <c r="BB131" s="29"/>
      <c r="BC131" s="24"/>
      <c r="BD131" s="29">
        <v>85819.08</v>
      </c>
      <c r="BE131" s="24" t="s">
        <v>1320</v>
      </c>
      <c r="BF131" s="29">
        <v>20000</v>
      </c>
      <c r="BG131" s="106" t="s">
        <v>1416</v>
      </c>
      <c r="BH131" s="29"/>
      <c r="BI131" s="24"/>
      <c r="BJ131" s="29"/>
      <c r="BK131" s="24"/>
      <c r="BL131" s="29"/>
      <c r="BM131" s="24"/>
      <c r="BN131" s="29"/>
      <c r="BO131" s="24"/>
      <c r="BP131" s="29"/>
      <c r="BQ131" s="24"/>
      <c r="BR131" s="29"/>
      <c r="BS131" s="24"/>
      <c r="BT131" s="29"/>
      <c r="BU131" s="24"/>
      <c r="BV131" s="29"/>
      <c r="BW131" s="24"/>
      <c r="BX131" s="29"/>
      <c r="BY131" s="24"/>
      <c r="BZ131" s="29"/>
      <c r="CA131" s="24"/>
      <c r="CB131" s="29"/>
      <c r="CC131" s="24"/>
      <c r="CD131" s="29"/>
      <c r="CE131" s="24"/>
      <c r="CF131" s="29"/>
      <c r="CG131" s="24"/>
      <c r="CH131" s="29"/>
      <c r="CI131" s="24"/>
      <c r="CJ131" s="29"/>
      <c r="CK131" s="24"/>
      <c r="CL131" s="29"/>
      <c r="CM131" s="24"/>
      <c r="CN131" s="29"/>
      <c r="CO131" s="24"/>
      <c r="CP131" s="29"/>
      <c r="CQ131" s="24"/>
      <c r="CR131" s="29"/>
      <c r="CS131" s="24"/>
      <c r="CT131" s="29"/>
      <c r="CU131" s="24"/>
      <c r="CV131" s="29"/>
      <c r="CW131" s="24"/>
      <c r="CX131" s="29"/>
      <c r="CY131" s="24"/>
      <c r="CZ131" s="29"/>
      <c r="DA131" s="24"/>
      <c r="DB131" s="29"/>
      <c r="DC131" s="24"/>
      <c r="DD131" s="29"/>
      <c r="DE131" s="24"/>
      <c r="DF131" s="29"/>
      <c r="DG131" s="24"/>
      <c r="DH131" s="29"/>
      <c r="DI131" s="24"/>
      <c r="DJ131" s="29"/>
      <c r="DK131" s="24"/>
      <c r="DL131" s="29"/>
      <c r="DM131" s="24"/>
      <c r="DN131" s="29"/>
      <c r="DO131" s="24"/>
      <c r="DP131" s="29"/>
      <c r="DQ131" s="24"/>
      <c r="DR131" s="29"/>
      <c r="DS131" s="24"/>
      <c r="DT131" s="29"/>
      <c r="DU131" s="24"/>
      <c r="DV131" s="29"/>
      <c r="DW131" s="24"/>
      <c r="DX131" s="29"/>
      <c r="DY131" s="24"/>
      <c r="DZ131" s="29"/>
      <c r="EA131" s="24"/>
      <c r="EB131" s="29"/>
      <c r="EC131" s="24"/>
      <c r="ED131" s="29"/>
      <c r="EE131" s="24"/>
      <c r="EF131" s="29"/>
      <c r="EG131" s="24"/>
      <c r="EH131" s="29"/>
      <c r="EI131" s="24"/>
      <c r="EJ131" s="29"/>
      <c r="EK131" s="24"/>
      <c r="EL131" s="29"/>
    </row>
    <row r="132" spans="1:142" s="72" customFormat="1" x14ac:dyDescent="0.2">
      <c r="A132" s="45"/>
      <c r="B132" s="29">
        <v>9925.43</v>
      </c>
      <c r="C132" s="24" t="s">
        <v>13</v>
      </c>
      <c r="D132" s="29">
        <v>239903.59</v>
      </c>
      <c r="E132" s="24" t="s">
        <v>63</v>
      </c>
      <c r="F132" s="29">
        <v>5000</v>
      </c>
      <c r="G132" s="24" t="s">
        <v>142</v>
      </c>
      <c r="H132" s="29">
        <v>180850</v>
      </c>
      <c r="I132" s="24" t="s">
        <v>208</v>
      </c>
      <c r="J132" s="29">
        <v>1242.96</v>
      </c>
      <c r="K132" s="24" t="s">
        <v>251</v>
      </c>
      <c r="L132" s="29">
        <v>3500</v>
      </c>
      <c r="M132" s="24" t="s">
        <v>320</v>
      </c>
      <c r="N132" s="29">
        <v>334300</v>
      </c>
      <c r="O132" s="24" t="s">
        <v>353</v>
      </c>
      <c r="P132" s="29">
        <v>20000</v>
      </c>
      <c r="Q132" s="24" t="s">
        <v>401</v>
      </c>
      <c r="R132" s="29">
        <v>100000</v>
      </c>
      <c r="S132" s="24" t="s">
        <v>453</v>
      </c>
      <c r="T132" s="29">
        <v>157535</v>
      </c>
      <c r="U132" s="24" t="s">
        <v>498</v>
      </c>
      <c r="V132" s="29">
        <v>55000</v>
      </c>
      <c r="W132" s="24" t="s">
        <v>583</v>
      </c>
      <c r="X132" s="29">
        <v>11064.95</v>
      </c>
      <c r="Y132" s="24" t="s">
        <v>553</v>
      </c>
      <c r="Z132" s="29"/>
      <c r="AA132" s="24"/>
      <c r="AB132" s="29">
        <v>50900.11</v>
      </c>
      <c r="AC132" s="85" t="s">
        <v>661</v>
      </c>
      <c r="AD132" s="29">
        <v>11552.25</v>
      </c>
      <c r="AE132" s="85" t="s">
        <v>737</v>
      </c>
      <c r="AF132" s="29">
        <v>160219.56</v>
      </c>
      <c r="AG132" s="24" t="s">
        <v>817</v>
      </c>
      <c r="AH132" s="29">
        <v>1099.01</v>
      </c>
      <c r="AI132" s="85" t="s">
        <v>798</v>
      </c>
      <c r="AJ132" s="29">
        <v>562300</v>
      </c>
      <c r="AK132" s="24" t="s">
        <v>880</v>
      </c>
      <c r="AL132" s="29">
        <v>50000</v>
      </c>
      <c r="AM132" s="24" t="s">
        <v>915</v>
      </c>
      <c r="AN132" s="29"/>
      <c r="AO132" s="24"/>
      <c r="AP132" s="29">
        <v>900</v>
      </c>
      <c r="AQ132" s="102" t="s">
        <v>981</v>
      </c>
      <c r="AR132" s="104">
        <v>199.99</v>
      </c>
      <c r="AS132" s="72" t="s">
        <v>1040</v>
      </c>
      <c r="AT132" s="29">
        <v>343500</v>
      </c>
      <c r="AU132" s="24" t="s">
        <v>1100</v>
      </c>
      <c r="AV132" s="29">
        <v>55000</v>
      </c>
      <c r="AW132" s="24" t="s">
        <v>1166</v>
      </c>
      <c r="AX132" s="29">
        <v>200000</v>
      </c>
      <c r="AY132" s="24" t="s">
        <v>1229</v>
      </c>
      <c r="AZ132" s="29">
        <v>5664.64</v>
      </c>
      <c r="BA132" s="24" t="s">
        <v>1294</v>
      </c>
      <c r="BB132" s="29"/>
      <c r="BC132" s="24"/>
      <c r="BD132" s="29">
        <v>8255.57</v>
      </c>
      <c r="BE132" s="24" t="s">
        <v>1321</v>
      </c>
      <c r="BF132" s="29">
        <v>73500</v>
      </c>
      <c r="BG132" s="106" t="s">
        <v>1418</v>
      </c>
      <c r="BH132" s="29"/>
      <c r="BI132" s="24"/>
      <c r="BJ132" s="29"/>
      <c r="BK132" s="24"/>
      <c r="BL132" s="29"/>
      <c r="BM132" s="24"/>
      <c r="BN132" s="29"/>
      <c r="BO132" s="24"/>
      <c r="BP132" s="29"/>
      <c r="BQ132" s="24"/>
      <c r="BR132" s="29"/>
      <c r="BS132" s="24"/>
      <c r="BT132" s="29"/>
      <c r="BU132" s="24"/>
      <c r="BV132" s="29"/>
      <c r="BW132" s="24"/>
      <c r="BX132" s="29"/>
      <c r="BY132" s="24"/>
      <c r="BZ132" s="29"/>
      <c r="CA132" s="24"/>
      <c r="CB132" s="29"/>
      <c r="CC132" s="24"/>
      <c r="CD132" s="29"/>
      <c r="CE132" s="24"/>
      <c r="CF132" s="29"/>
      <c r="CG132" s="24"/>
      <c r="CH132" s="29"/>
      <c r="CI132" s="24"/>
      <c r="CJ132" s="29"/>
      <c r="CK132" s="24"/>
      <c r="CL132" s="29"/>
      <c r="CM132" s="24"/>
      <c r="CN132" s="29"/>
      <c r="CO132" s="24"/>
      <c r="CP132" s="29"/>
      <c r="CQ132" s="24"/>
      <c r="CR132" s="29"/>
      <c r="CS132" s="24"/>
      <c r="CT132" s="29"/>
      <c r="CU132" s="24"/>
      <c r="CV132" s="29"/>
      <c r="CW132" s="24"/>
      <c r="CX132" s="29"/>
      <c r="CY132" s="24"/>
      <c r="CZ132" s="29"/>
      <c r="DA132" s="24"/>
      <c r="DB132" s="29"/>
      <c r="DC132" s="24"/>
      <c r="DD132" s="29"/>
      <c r="DE132" s="24"/>
      <c r="DF132" s="29"/>
      <c r="DG132" s="24"/>
      <c r="DH132" s="29"/>
      <c r="DI132" s="24"/>
      <c r="DJ132" s="29"/>
      <c r="DK132" s="24"/>
      <c r="DL132" s="29"/>
      <c r="DM132" s="24"/>
      <c r="DN132" s="29"/>
      <c r="DO132" s="24"/>
      <c r="DP132" s="29"/>
      <c r="DQ132" s="24"/>
      <c r="DR132" s="29"/>
      <c r="DS132" s="24"/>
      <c r="DT132" s="29"/>
      <c r="DU132" s="24"/>
      <c r="DV132" s="29"/>
      <c r="DW132" s="24"/>
      <c r="DX132" s="29"/>
      <c r="DY132" s="24"/>
      <c r="DZ132" s="29"/>
      <c r="EA132" s="24"/>
      <c r="EB132" s="29"/>
      <c r="EC132" s="24"/>
      <c r="ED132" s="29"/>
      <c r="EE132" s="24"/>
      <c r="EF132" s="29"/>
      <c r="EG132" s="24"/>
      <c r="EH132" s="29"/>
      <c r="EI132" s="24"/>
      <c r="EJ132" s="29"/>
      <c r="EK132" s="24"/>
      <c r="EL132" s="29"/>
    </row>
    <row r="133" spans="1:142" s="72" customFormat="1" x14ac:dyDescent="0.2">
      <c r="A133" s="45"/>
      <c r="B133" s="29">
        <v>20000</v>
      </c>
      <c r="C133" s="24" t="s">
        <v>14</v>
      </c>
      <c r="D133" s="29">
        <v>42952.91</v>
      </c>
      <c r="E133" s="24" t="s">
        <v>64</v>
      </c>
      <c r="F133" s="29">
        <v>90000</v>
      </c>
      <c r="G133" s="24" t="s">
        <v>146</v>
      </c>
      <c r="H133" s="29">
        <v>1969.99</v>
      </c>
      <c r="I133" s="24" t="s">
        <v>212</v>
      </c>
      <c r="J133" s="29">
        <v>118000</v>
      </c>
      <c r="K133" s="24" t="s">
        <v>254</v>
      </c>
      <c r="L133" s="29">
        <v>5947.89</v>
      </c>
      <c r="M133" s="24" t="s">
        <v>321</v>
      </c>
      <c r="N133" s="29">
        <v>334300</v>
      </c>
      <c r="O133" s="24" t="s">
        <v>354</v>
      </c>
      <c r="P133" s="29">
        <v>200000</v>
      </c>
      <c r="Q133" s="24" t="s">
        <v>404</v>
      </c>
      <c r="R133" s="29">
        <v>15137.29</v>
      </c>
      <c r="S133" s="24" t="s">
        <v>458</v>
      </c>
      <c r="T133" s="29">
        <v>332500</v>
      </c>
      <c r="U133" s="24" t="s">
        <v>504</v>
      </c>
      <c r="V133" s="29">
        <v>100000</v>
      </c>
      <c r="W133" s="24" t="s">
        <v>584</v>
      </c>
      <c r="X133" s="29">
        <v>1995</v>
      </c>
      <c r="Y133" s="24" t="s">
        <v>577</v>
      </c>
      <c r="Z133" s="29"/>
      <c r="AA133" s="24"/>
      <c r="AB133" s="29">
        <v>4395</v>
      </c>
      <c r="AC133" s="85" t="s">
        <v>662</v>
      </c>
      <c r="AD133" s="29">
        <v>310000</v>
      </c>
      <c r="AE133" s="85" t="s">
        <v>714</v>
      </c>
      <c r="AF133" s="29">
        <v>245000</v>
      </c>
      <c r="AG133" s="24" t="s">
        <v>818</v>
      </c>
      <c r="AH133" s="29">
        <v>253500</v>
      </c>
      <c r="AI133" s="85" t="s">
        <v>799</v>
      </c>
      <c r="AJ133" s="29">
        <v>118000</v>
      </c>
      <c r="AK133" s="24" t="s">
        <v>882</v>
      </c>
      <c r="AL133" s="29">
        <v>50000</v>
      </c>
      <c r="AM133" s="24" t="s">
        <v>917</v>
      </c>
      <c r="AN133" s="29"/>
      <c r="AO133" s="24"/>
      <c r="AP133" s="29">
        <v>195800</v>
      </c>
      <c r="AQ133" s="102" t="s">
        <v>982</v>
      </c>
      <c r="AR133" s="29">
        <v>18000</v>
      </c>
      <c r="AS133" s="24" t="s">
        <v>1042</v>
      </c>
      <c r="AT133" s="29">
        <v>15800</v>
      </c>
      <c r="AU133" s="24" t="s">
        <v>1102</v>
      </c>
      <c r="AV133" s="29">
        <v>40138</v>
      </c>
      <c r="AW133" s="24" t="s">
        <v>1167</v>
      </c>
      <c r="AX133" s="29">
        <v>120000</v>
      </c>
      <c r="AY133" s="24" t="s">
        <v>1230</v>
      </c>
      <c r="AZ133" s="29">
        <v>3250</v>
      </c>
      <c r="BA133" s="24" t="s">
        <v>1194</v>
      </c>
      <c r="BB133" s="29"/>
      <c r="BC133" s="24"/>
      <c r="BD133" s="29">
        <v>185000</v>
      </c>
      <c r="BE133" s="24" t="s">
        <v>1322</v>
      </c>
      <c r="BF133" s="29">
        <v>332500</v>
      </c>
      <c r="BG133" s="106" t="s">
        <v>1422</v>
      </c>
      <c r="BH133" s="29"/>
      <c r="BI133" s="24"/>
      <c r="BJ133" s="29"/>
      <c r="BK133" s="24"/>
      <c r="BL133" s="29"/>
      <c r="BM133" s="24"/>
      <c r="BN133" s="29"/>
      <c r="BO133" s="24"/>
      <c r="BP133" s="29"/>
      <c r="BQ133" s="24"/>
      <c r="BR133" s="29"/>
      <c r="BS133" s="24"/>
      <c r="BT133" s="29"/>
      <c r="BU133" s="24"/>
      <c r="BV133" s="29"/>
      <c r="BW133" s="24"/>
      <c r="BX133" s="29"/>
      <c r="BY133" s="24"/>
      <c r="BZ133" s="29"/>
      <c r="CA133" s="24"/>
      <c r="CB133" s="29"/>
      <c r="CC133" s="24"/>
      <c r="CD133" s="29"/>
      <c r="CE133" s="24"/>
      <c r="CF133" s="29"/>
      <c r="CG133" s="24"/>
      <c r="CH133" s="29"/>
      <c r="CI133" s="24"/>
      <c r="CJ133" s="29"/>
      <c r="CK133" s="24"/>
      <c r="CL133" s="29"/>
      <c r="CM133" s="24"/>
      <c r="CN133" s="29"/>
      <c r="CO133" s="24"/>
      <c r="CP133" s="29"/>
      <c r="CQ133" s="24"/>
      <c r="CR133" s="29"/>
      <c r="CS133" s="24"/>
      <c r="CT133" s="29"/>
      <c r="CU133" s="24"/>
      <c r="CV133" s="29"/>
      <c r="CW133" s="24"/>
      <c r="CX133" s="29"/>
      <c r="CY133" s="24"/>
      <c r="CZ133" s="29"/>
      <c r="DA133" s="24"/>
      <c r="DB133" s="29"/>
      <c r="DC133" s="24"/>
      <c r="DD133" s="29"/>
      <c r="DE133" s="24"/>
      <c r="DF133" s="29"/>
      <c r="DG133" s="24"/>
      <c r="DH133" s="29"/>
      <c r="DI133" s="24"/>
      <c r="DJ133" s="29"/>
      <c r="DK133" s="24"/>
      <c r="DL133" s="29"/>
      <c r="DM133" s="24"/>
      <c r="DN133" s="29"/>
      <c r="DO133" s="24"/>
      <c r="DP133" s="29"/>
      <c r="DQ133" s="24"/>
      <c r="DR133" s="29"/>
      <c r="DS133" s="24"/>
      <c r="DT133" s="29"/>
      <c r="DU133" s="24"/>
      <c r="DV133" s="29"/>
      <c r="DW133" s="24"/>
      <c r="DX133" s="29"/>
      <c r="DY133" s="24"/>
      <c r="DZ133" s="29"/>
      <c r="EA133" s="24"/>
      <c r="EB133" s="29"/>
      <c r="EC133" s="24"/>
      <c r="ED133" s="29"/>
      <c r="EE133" s="24"/>
      <c r="EF133" s="29"/>
      <c r="EG133" s="24"/>
      <c r="EH133" s="29"/>
      <c r="EI133" s="24"/>
      <c r="EJ133" s="29"/>
      <c r="EK133" s="24"/>
      <c r="EL133" s="29"/>
    </row>
    <row r="134" spans="1:142" s="72" customFormat="1" x14ac:dyDescent="0.2">
      <c r="A134" s="45"/>
      <c r="B134" s="29">
        <v>3200</v>
      </c>
      <c r="C134" s="24" t="s">
        <v>16</v>
      </c>
      <c r="D134" s="29">
        <v>5995</v>
      </c>
      <c r="E134" s="24" t="s">
        <v>65</v>
      </c>
      <c r="F134" s="29">
        <v>36395</v>
      </c>
      <c r="G134" s="24" t="s">
        <v>149</v>
      </c>
      <c r="H134" s="29">
        <v>3250.01</v>
      </c>
      <c r="I134" s="24" t="s">
        <v>229</v>
      </c>
      <c r="J134" s="29">
        <v>10500</v>
      </c>
      <c r="K134" s="24" t="s">
        <v>255</v>
      </c>
      <c r="L134" s="29">
        <v>6584.52</v>
      </c>
      <c r="M134" s="24" t="s">
        <v>322</v>
      </c>
      <c r="N134" s="29">
        <v>5500</v>
      </c>
      <c r="O134" s="24" t="s">
        <v>355</v>
      </c>
      <c r="P134" s="29">
        <v>39821.760000000002</v>
      </c>
      <c r="Q134" s="24" t="s">
        <v>406</v>
      </c>
      <c r="R134" s="29">
        <v>5000</v>
      </c>
      <c r="S134" s="24" t="s">
        <v>462</v>
      </c>
      <c r="T134" s="29">
        <v>4500</v>
      </c>
      <c r="U134" s="24" t="s">
        <v>505</v>
      </c>
      <c r="V134" s="29">
        <v>100000</v>
      </c>
      <c r="W134" s="24" t="s">
        <v>588</v>
      </c>
      <c r="X134" s="29">
        <v>2320</v>
      </c>
      <c r="Y134" s="15" t="s">
        <v>575</v>
      </c>
      <c r="Z134" s="29"/>
      <c r="AA134" s="24"/>
      <c r="AB134" s="29">
        <v>2420</v>
      </c>
      <c r="AC134" s="85" t="s">
        <v>663</v>
      </c>
      <c r="AD134" s="29">
        <v>270000</v>
      </c>
      <c r="AE134" s="85" t="s">
        <v>738</v>
      </c>
      <c r="AF134" s="29">
        <v>20000</v>
      </c>
      <c r="AG134" s="24" t="s">
        <v>820</v>
      </c>
      <c r="AH134" s="29">
        <v>87000</v>
      </c>
      <c r="AI134" s="85" t="s">
        <v>800</v>
      </c>
      <c r="AJ134" s="29">
        <v>3250</v>
      </c>
      <c r="AK134" s="24" t="s">
        <v>898</v>
      </c>
      <c r="AL134" s="29">
        <v>50000</v>
      </c>
      <c r="AM134" s="24" t="s">
        <v>918</v>
      </c>
      <c r="AN134" s="29"/>
      <c r="AO134" s="24"/>
      <c r="AP134" s="29">
        <v>15610.53</v>
      </c>
      <c r="AQ134" s="102" t="s">
        <v>991</v>
      </c>
      <c r="AR134" s="29">
        <v>30995.31</v>
      </c>
      <c r="AS134" s="24" t="s">
        <v>1043</v>
      </c>
      <c r="AT134" s="29">
        <v>10000</v>
      </c>
      <c r="AU134" s="24" t="s">
        <v>1104</v>
      </c>
      <c r="AV134" s="29">
        <v>221400</v>
      </c>
      <c r="AW134" s="24" t="s">
        <v>1168</v>
      </c>
      <c r="AX134" s="29">
        <v>1796.94</v>
      </c>
      <c r="AY134" s="24" t="s">
        <v>1242</v>
      </c>
      <c r="AZ134" s="100">
        <f>SUM(AZ131:AZ133)</f>
        <v>18390.990000000002</v>
      </c>
      <c r="BA134" s="24"/>
      <c r="BB134" s="29"/>
      <c r="BC134" s="24"/>
      <c r="BD134" s="29">
        <v>7500</v>
      </c>
      <c r="BE134" s="24" t="s">
        <v>1328</v>
      </c>
      <c r="BF134" s="29">
        <v>7500</v>
      </c>
      <c r="BG134" s="106" t="s">
        <v>1423</v>
      </c>
      <c r="BH134" s="29"/>
      <c r="BI134" s="24"/>
      <c r="BJ134" s="29"/>
      <c r="BK134" s="24"/>
      <c r="BL134" s="29"/>
      <c r="BM134" s="24"/>
      <c r="BN134" s="29"/>
      <c r="BO134" s="24"/>
      <c r="BP134" s="29"/>
      <c r="BQ134" s="24"/>
      <c r="BR134" s="29"/>
      <c r="BS134" s="24"/>
      <c r="BT134" s="29"/>
      <c r="BU134" s="24"/>
      <c r="BV134" s="29"/>
      <c r="BW134" s="24"/>
      <c r="BX134" s="29"/>
      <c r="BY134" s="24"/>
      <c r="BZ134" s="29"/>
      <c r="CA134" s="24"/>
      <c r="CB134" s="29"/>
      <c r="CC134" s="24"/>
      <c r="CD134" s="29"/>
      <c r="CE134" s="24"/>
      <c r="CF134" s="29"/>
      <c r="CG134" s="24"/>
      <c r="CH134" s="29"/>
      <c r="CI134" s="24"/>
      <c r="CJ134" s="29"/>
      <c r="CK134" s="24"/>
      <c r="CL134" s="29"/>
      <c r="CM134" s="24"/>
      <c r="CN134" s="29"/>
      <c r="CO134" s="24"/>
      <c r="CP134" s="29"/>
      <c r="CQ134" s="24"/>
      <c r="CR134" s="29"/>
      <c r="CS134" s="24"/>
      <c r="CT134" s="29"/>
      <c r="CU134" s="24"/>
      <c r="CV134" s="29"/>
      <c r="CW134" s="24"/>
      <c r="CX134" s="29"/>
      <c r="CY134" s="24"/>
      <c r="CZ134" s="29"/>
      <c r="DA134" s="24"/>
      <c r="DB134" s="29"/>
      <c r="DC134" s="24"/>
      <c r="DD134" s="29"/>
      <c r="DE134" s="24"/>
      <c r="DF134" s="29"/>
      <c r="DG134" s="24"/>
      <c r="DH134" s="29"/>
      <c r="DI134" s="24"/>
      <c r="DJ134" s="29"/>
      <c r="DK134" s="24"/>
      <c r="DL134" s="29"/>
      <c r="DM134" s="24"/>
      <c r="DN134" s="29"/>
      <c r="DO134" s="24"/>
      <c r="DP134" s="29"/>
      <c r="DQ134" s="24"/>
      <c r="DR134" s="29"/>
      <c r="DS134" s="24"/>
      <c r="DT134" s="29"/>
      <c r="DU134" s="24"/>
      <c r="DV134" s="29"/>
      <c r="DW134" s="24"/>
      <c r="DX134" s="29"/>
      <c r="DY134" s="24"/>
      <c r="DZ134" s="29"/>
      <c r="EA134" s="24"/>
      <c r="EB134" s="29"/>
      <c r="EC134" s="24"/>
      <c r="ED134" s="29"/>
      <c r="EE134" s="24"/>
      <c r="EF134" s="29"/>
      <c r="EG134" s="24"/>
      <c r="EH134" s="29"/>
      <c r="EI134" s="24"/>
      <c r="EJ134" s="29"/>
      <c r="EK134" s="24"/>
      <c r="EL134" s="29"/>
    </row>
    <row r="135" spans="1:142" s="72" customFormat="1" x14ac:dyDescent="0.2">
      <c r="A135" s="45"/>
      <c r="B135" s="29">
        <v>80000</v>
      </c>
      <c r="C135" s="24" t="s">
        <v>18</v>
      </c>
      <c r="D135" s="29">
        <v>25000</v>
      </c>
      <c r="E135" s="24" t="s">
        <v>66</v>
      </c>
      <c r="F135" s="29">
        <v>117000</v>
      </c>
      <c r="G135" s="24" t="s">
        <v>150</v>
      </c>
      <c r="H135" s="29">
        <v>7606</v>
      </c>
      <c r="I135" s="24" t="s">
        <v>234</v>
      </c>
      <c r="J135" s="29">
        <v>8541.64</v>
      </c>
      <c r="K135" s="24" t="s">
        <v>256</v>
      </c>
      <c r="L135" s="29">
        <v>1099</v>
      </c>
      <c r="M135" s="24" t="s">
        <v>343</v>
      </c>
      <c r="N135" s="29">
        <v>343500</v>
      </c>
      <c r="O135" s="24" t="s">
        <v>357</v>
      </c>
      <c r="P135" s="29">
        <v>7492.55</v>
      </c>
      <c r="Q135" s="24" t="s">
        <v>410</v>
      </c>
      <c r="R135" s="29">
        <v>100000</v>
      </c>
      <c r="S135" s="24" t="s">
        <v>465</v>
      </c>
      <c r="T135" s="29">
        <v>1403.54</v>
      </c>
      <c r="U135" s="24" t="s">
        <v>495</v>
      </c>
      <c r="V135" s="29">
        <v>300000</v>
      </c>
      <c r="W135" s="24" t="s">
        <v>590</v>
      </c>
      <c r="X135" s="29">
        <v>3365</v>
      </c>
      <c r="Y135" s="26" t="s">
        <v>574</v>
      </c>
      <c r="Z135" s="29"/>
      <c r="AA135" s="24"/>
      <c r="AB135" s="29">
        <v>3250</v>
      </c>
      <c r="AC135" s="85" t="s">
        <v>664</v>
      </c>
      <c r="AD135" s="29">
        <v>112809.39</v>
      </c>
      <c r="AE135" s="85" t="s">
        <v>736</v>
      </c>
      <c r="AF135" s="29">
        <v>14325.11</v>
      </c>
      <c r="AG135" s="24" t="s">
        <v>821</v>
      </c>
      <c r="AH135" s="29">
        <v>1970</v>
      </c>
      <c r="AI135" s="85" t="s">
        <v>801</v>
      </c>
      <c r="AJ135" s="29">
        <v>1970</v>
      </c>
      <c r="AK135" s="24" t="s">
        <v>902</v>
      </c>
      <c r="AL135" s="29">
        <v>50000</v>
      </c>
      <c r="AM135" s="24" t="s">
        <v>919</v>
      </c>
      <c r="AN135" s="29"/>
      <c r="AO135" s="24"/>
      <c r="AP135" s="29">
        <v>5000</v>
      </c>
      <c r="AQ135" s="102" t="s">
        <v>993</v>
      </c>
      <c r="AR135" s="29">
        <v>173366.31</v>
      </c>
      <c r="AS135" s="24" t="s">
        <v>1044</v>
      </c>
      <c r="AT135" s="29">
        <v>126216.89</v>
      </c>
      <c r="AU135" s="24" t="s">
        <v>1107</v>
      </c>
      <c r="AV135" s="29">
        <v>7669.81</v>
      </c>
      <c r="AW135" s="24" t="s">
        <v>1171</v>
      </c>
      <c r="AX135" s="29">
        <v>2995</v>
      </c>
      <c r="AY135" s="24" t="s">
        <v>1246</v>
      </c>
      <c r="AZ135" s="29"/>
      <c r="BA135" s="24"/>
      <c r="BB135" s="29"/>
      <c r="BC135" s="24"/>
      <c r="BD135" s="29">
        <v>3250</v>
      </c>
      <c r="BE135" s="24" t="s">
        <v>1335</v>
      </c>
      <c r="BF135" s="29">
        <v>7500</v>
      </c>
      <c r="BG135" s="106" t="s">
        <v>1424</v>
      </c>
      <c r="BH135" s="29"/>
      <c r="BI135" s="24"/>
      <c r="BJ135" s="29"/>
      <c r="BK135" s="24"/>
      <c r="BL135" s="29"/>
      <c r="BM135" s="24"/>
      <c r="BN135" s="29"/>
      <c r="BO135" s="24"/>
      <c r="BP135" s="29"/>
      <c r="BQ135" s="24"/>
      <c r="BR135" s="29"/>
      <c r="BS135" s="24"/>
      <c r="BT135" s="29"/>
      <c r="BU135" s="24"/>
      <c r="BV135" s="29"/>
      <c r="BW135" s="24"/>
      <c r="BX135" s="29"/>
      <c r="BY135" s="24"/>
      <c r="BZ135" s="29"/>
      <c r="CA135" s="24"/>
      <c r="CB135" s="29"/>
      <c r="CC135" s="24"/>
      <c r="CD135" s="29"/>
      <c r="CE135" s="24"/>
      <c r="CF135" s="29"/>
      <c r="CG135" s="24"/>
      <c r="CH135" s="29"/>
      <c r="CI135" s="24"/>
      <c r="CJ135" s="29"/>
      <c r="CK135" s="24"/>
      <c r="CL135" s="29"/>
      <c r="CM135" s="24"/>
      <c r="CN135" s="29"/>
      <c r="CO135" s="24"/>
      <c r="CP135" s="29"/>
      <c r="CQ135" s="24"/>
      <c r="CR135" s="29"/>
      <c r="CS135" s="24"/>
      <c r="CT135" s="29"/>
      <c r="CU135" s="24"/>
      <c r="CV135" s="29"/>
      <c r="CW135" s="24"/>
      <c r="CX135" s="29"/>
      <c r="CY135" s="24"/>
      <c r="CZ135" s="29"/>
      <c r="DA135" s="24"/>
      <c r="DB135" s="29"/>
      <c r="DC135" s="24"/>
      <c r="DD135" s="29"/>
      <c r="DE135" s="24"/>
      <c r="DF135" s="29"/>
      <c r="DG135" s="24"/>
      <c r="DH135" s="29"/>
      <c r="DI135" s="24"/>
      <c r="DJ135" s="29"/>
      <c r="DK135" s="24"/>
      <c r="DL135" s="29"/>
      <c r="DM135" s="24"/>
      <c r="DN135" s="29"/>
      <c r="DO135" s="24"/>
      <c r="DP135" s="29"/>
      <c r="DQ135" s="24"/>
      <c r="DR135" s="29"/>
      <c r="DS135" s="24"/>
      <c r="DT135" s="29"/>
      <c r="DU135" s="24"/>
      <c r="DV135" s="29"/>
      <c r="DW135" s="24"/>
      <c r="DX135" s="29"/>
      <c r="DY135" s="24"/>
      <c r="DZ135" s="29"/>
      <c r="EA135" s="24"/>
      <c r="EB135" s="29"/>
      <c r="EC135" s="24"/>
      <c r="ED135" s="29"/>
      <c r="EE135" s="24"/>
      <c r="EF135" s="29"/>
      <c r="EG135" s="24"/>
      <c r="EH135" s="29"/>
      <c r="EI135" s="24"/>
      <c r="EJ135" s="29"/>
      <c r="EK135" s="24"/>
      <c r="EL135" s="29"/>
    </row>
    <row r="136" spans="1:142" s="72" customFormat="1" x14ac:dyDescent="0.2">
      <c r="A136" s="45"/>
      <c r="B136" s="29">
        <v>322500</v>
      </c>
      <c r="C136" s="24" t="s">
        <v>19</v>
      </c>
      <c r="D136" s="29">
        <v>69530</v>
      </c>
      <c r="E136" s="24" t="s">
        <v>74</v>
      </c>
      <c r="F136" s="29">
        <v>11200</v>
      </c>
      <c r="G136" s="24" t="s">
        <v>154</v>
      </c>
      <c r="H136" s="62">
        <f>SUM(H131:H135)</f>
        <v>510476</v>
      </c>
      <c r="I136" s="24"/>
      <c r="J136" s="29">
        <v>35000</v>
      </c>
      <c r="K136" s="24" t="s">
        <v>269</v>
      </c>
      <c r="L136" s="29">
        <v>1970</v>
      </c>
      <c r="M136" s="24" t="s">
        <v>344</v>
      </c>
      <c r="N136" s="29">
        <v>3200</v>
      </c>
      <c r="O136" s="24" t="s">
        <v>358</v>
      </c>
      <c r="P136" s="29">
        <v>52000</v>
      </c>
      <c r="Q136" s="24" t="s">
        <v>412</v>
      </c>
      <c r="R136" s="29">
        <v>58000</v>
      </c>
      <c r="S136" s="24" t="s">
        <v>468</v>
      </c>
      <c r="T136" s="30">
        <v>1970</v>
      </c>
      <c r="U136" s="15" t="s">
        <v>533</v>
      </c>
      <c r="V136" s="29">
        <v>3500</v>
      </c>
      <c r="W136" s="24" t="s">
        <v>593</v>
      </c>
      <c r="X136" s="62">
        <f>SUM(X131:X135)</f>
        <v>28744.95</v>
      </c>
      <c r="Y136" s="24"/>
      <c r="Z136" s="29"/>
      <c r="AA136" s="24"/>
      <c r="AB136" s="29">
        <v>1970</v>
      </c>
      <c r="AC136" s="85" t="s">
        <v>665</v>
      </c>
      <c r="AD136" s="29">
        <v>3250.01</v>
      </c>
      <c r="AE136" s="85" t="s">
        <v>739</v>
      </c>
      <c r="AF136" s="29">
        <v>74080.44</v>
      </c>
      <c r="AG136" s="24" t="s">
        <v>829</v>
      </c>
      <c r="AH136" s="29">
        <v>100000</v>
      </c>
      <c r="AI136" s="85" t="s">
        <v>802</v>
      </c>
      <c r="AJ136" s="100">
        <f>SUM(AJ131:AJ135)</f>
        <v>876320</v>
      </c>
      <c r="AK136" s="24"/>
      <c r="AL136" s="29">
        <v>50000</v>
      </c>
      <c r="AM136" s="24" t="s">
        <v>920</v>
      </c>
      <c r="AN136" s="29"/>
      <c r="AO136" s="24"/>
      <c r="AP136" s="29">
        <f>100000+100000+5000</f>
        <v>205000</v>
      </c>
      <c r="AQ136" s="102" t="s">
        <v>994</v>
      </c>
      <c r="AR136" s="29">
        <v>343500</v>
      </c>
      <c r="AS136" s="24" t="s">
        <v>1047</v>
      </c>
      <c r="AT136" s="29">
        <v>3118.75</v>
      </c>
      <c r="AU136" s="24" t="s">
        <v>1108</v>
      </c>
      <c r="AV136" s="29">
        <v>308716.43</v>
      </c>
      <c r="AW136" s="24" t="s">
        <v>1172</v>
      </c>
      <c r="AX136" s="29">
        <v>4014.1</v>
      </c>
      <c r="AY136" s="24" t="s">
        <v>1249</v>
      </c>
      <c r="AZ136" s="29"/>
      <c r="BA136" s="24"/>
      <c r="BB136" s="29"/>
      <c r="BC136" s="24"/>
      <c r="BD136" s="29">
        <v>2029</v>
      </c>
      <c r="BE136" s="24" t="s">
        <v>1344</v>
      </c>
      <c r="BF136" s="29">
        <v>20000</v>
      </c>
      <c r="BG136" s="106" t="s">
        <v>1426</v>
      </c>
      <c r="BH136" s="29"/>
      <c r="BI136" s="24"/>
      <c r="BJ136" s="29"/>
      <c r="BK136" s="24"/>
      <c r="BL136" s="29"/>
      <c r="BM136" s="24"/>
      <c r="BN136" s="29"/>
      <c r="BO136" s="24"/>
      <c r="BP136" s="29"/>
      <c r="BQ136" s="24"/>
      <c r="BR136" s="29"/>
      <c r="BS136" s="24"/>
      <c r="BT136" s="29"/>
      <c r="BU136" s="24"/>
      <c r="BV136" s="29"/>
      <c r="BW136" s="24"/>
      <c r="BX136" s="29"/>
      <c r="BY136" s="24"/>
      <c r="BZ136" s="29"/>
      <c r="CA136" s="24"/>
      <c r="CB136" s="29"/>
      <c r="CC136" s="24"/>
      <c r="CD136" s="29"/>
      <c r="CE136" s="24"/>
      <c r="CF136" s="29"/>
      <c r="CG136" s="24"/>
      <c r="CH136" s="29"/>
      <c r="CI136" s="24"/>
      <c r="CJ136" s="29"/>
      <c r="CK136" s="24"/>
      <c r="CL136" s="29"/>
      <c r="CM136" s="24"/>
      <c r="CN136" s="29"/>
      <c r="CO136" s="24"/>
      <c r="CP136" s="29"/>
      <c r="CQ136" s="24"/>
      <c r="CR136" s="29"/>
      <c r="CS136" s="24"/>
      <c r="CT136" s="29"/>
      <c r="CU136" s="24"/>
      <c r="CV136" s="29"/>
      <c r="CW136" s="24"/>
      <c r="CX136" s="29"/>
      <c r="CY136" s="24"/>
      <c r="CZ136" s="29"/>
      <c r="DA136" s="24"/>
      <c r="DB136" s="29"/>
      <c r="DC136" s="24"/>
      <c r="DD136" s="29"/>
      <c r="DE136" s="24"/>
      <c r="DF136" s="29"/>
      <c r="DG136" s="24"/>
      <c r="DH136" s="29"/>
      <c r="DI136" s="24"/>
      <c r="DJ136" s="29"/>
      <c r="DK136" s="24"/>
      <c r="DL136" s="29"/>
      <c r="DM136" s="24"/>
      <c r="DN136" s="29"/>
      <c r="DO136" s="24"/>
      <c r="DP136" s="29"/>
      <c r="DQ136" s="24"/>
      <c r="DR136" s="29"/>
      <c r="DS136" s="24"/>
      <c r="DT136" s="29"/>
      <c r="DU136" s="24"/>
      <c r="DV136" s="29"/>
      <c r="DW136" s="24"/>
      <c r="DX136" s="29"/>
      <c r="DY136" s="24"/>
      <c r="DZ136" s="29"/>
      <c r="EA136" s="24"/>
      <c r="EB136" s="29"/>
      <c r="EC136" s="24"/>
      <c r="ED136" s="29"/>
      <c r="EE136" s="24"/>
      <c r="EF136" s="29"/>
      <c r="EG136" s="24"/>
      <c r="EH136" s="29"/>
      <c r="EI136" s="24"/>
      <c r="EJ136" s="29"/>
      <c r="EK136" s="24"/>
      <c r="EL136" s="29"/>
    </row>
    <row r="137" spans="1:142" s="72" customFormat="1" x14ac:dyDescent="0.2">
      <c r="A137" s="45"/>
      <c r="B137" s="29">
        <v>140000</v>
      </c>
      <c r="C137" s="24" t="s">
        <v>24</v>
      </c>
      <c r="D137" s="29">
        <v>117980.27</v>
      </c>
      <c r="E137" s="24" t="s">
        <v>75</v>
      </c>
      <c r="F137" s="29">
        <v>283750</v>
      </c>
      <c r="G137" s="24" t="s">
        <v>155</v>
      </c>
      <c r="H137" s="29"/>
      <c r="I137" s="24"/>
      <c r="J137" s="29">
        <v>121700</v>
      </c>
      <c r="K137" s="24" t="s">
        <v>270</v>
      </c>
      <c r="L137" s="62">
        <f>SUM(L131:L136)</f>
        <v>34101.410000000003</v>
      </c>
      <c r="M137" s="24"/>
      <c r="N137" s="29">
        <v>39368.54</v>
      </c>
      <c r="O137" s="24" t="s">
        <v>359</v>
      </c>
      <c r="P137" s="29">
        <v>103700</v>
      </c>
      <c r="Q137" s="24" t="s">
        <v>413</v>
      </c>
      <c r="R137" s="29">
        <v>100000</v>
      </c>
      <c r="S137" s="24" t="s">
        <v>469</v>
      </c>
      <c r="T137" s="29">
        <v>1994.99</v>
      </c>
      <c r="U137" s="24" t="s">
        <v>523</v>
      </c>
      <c r="V137" s="82">
        <v>64934.76</v>
      </c>
      <c r="W137" s="24" t="s">
        <v>594</v>
      </c>
      <c r="X137" s="29"/>
      <c r="Y137" s="24"/>
      <c r="Z137" s="29"/>
      <c r="AA137" s="24"/>
      <c r="AB137" s="29">
        <v>10950.99</v>
      </c>
      <c r="AC137" s="85" t="s">
        <v>666</v>
      </c>
      <c r="AD137" s="29">
        <v>2332.7199999999998</v>
      </c>
      <c r="AE137" s="85" t="s">
        <v>740</v>
      </c>
      <c r="AF137" s="29">
        <f>680.64+1099</f>
        <v>1779.6399999999999</v>
      </c>
      <c r="AG137" s="24" t="s">
        <v>846</v>
      </c>
      <c r="AH137" s="29">
        <v>635</v>
      </c>
      <c r="AI137" s="85" t="s">
        <v>803</v>
      </c>
      <c r="AJ137" s="29"/>
      <c r="AK137" s="24"/>
      <c r="AL137" s="29">
        <v>50000</v>
      </c>
      <c r="AM137" s="24" t="s">
        <v>921</v>
      </c>
      <c r="AN137" s="29"/>
      <c r="AO137" s="24"/>
      <c r="AP137" s="29">
        <f>56169.42+1564</f>
        <v>57733.42</v>
      </c>
      <c r="AQ137" s="102" t="s">
        <v>997</v>
      </c>
      <c r="AR137" s="29">
        <v>15612</v>
      </c>
      <c r="AS137" s="24" t="s">
        <v>1053</v>
      </c>
      <c r="AT137" s="29">
        <v>157665.66</v>
      </c>
      <c r="AU137" s="24" t="s">
        <v>1109</v>
      </c>
      <c r="AV137" s="29">
        <v>15434.55</v>
      </c>
      <c r="AW137" s="24" t="s">
        <v>1173</v>
      </c>
      <c r="AX137" s="29">
        <v>1099</v>
      </c>
      <c r="AY137" s="24" t="s">
        <v>1253</v>
      </c>
      <c r="AZ137" s="29"/>
      <c r="BA137" s="24"/>
      <c r="BB137" s="29"/>
      <c r="BC137" s="24"/>
      <c r="BD137" s="100">
        <f>SUM(BD131:BD136)</f>
        <v>291853.65000000002</v>
      </c>
      <c r="BE137" s="24"/>
      <c r="BF137" s="29">
        <v>41000</v>
      </c>
      <c r="BG137" s="106" t="s">
        <v>1429</v>
      </c>
      <c r="BH137" s="29"/>
      <c r="BI137" s="24"/>
      <c r="BJ137" s="29"/>
      <c r="BK137" s="24"/>
      <c r="BL137" s="29"/>
      <c r="BM137" s="24"/>
      <c r="BN137" s="29"/>
      <c r="BO137" s="24"/>
      <c r="BP137" s="29"/>
      <c r="BQ137" s="24"/>
      <c r="BR137" s="29"/>
      <c r="BS137" s="24"/>
      <c r="BT137" s="29"/>
      <c r="BU137" s="24"/>
      <c r="BV137" s="29"/>
      <c r="BW137" s="24"/>
      <c r="BX137" s="29"/>
      <c r="BY137" s="24"/>
      <c r="BZ137" s="29"/>
      <c r="CA137" s="24"/>
      <c r="CB137" s="29"/>
      <c r="CC137" s="24"/>
      <c r="CD137" s="29"/>
      <c r="CE137" s="24"/>
      <c r="CF137" s="29"/>
      <c r="CG137" s="24"/>
      <c r="CH137" s="29"/>
      <c r="CI137" s="24"/>
      <c r="CJ137" s="29"/>
      <c r="CK137" s="24"/>
      <c r="CL137" s="29"/>
      <c r="CM137" s="24"/>
      <c r="CN137" s="29"/>
      <c r="CO137" s="24"/>
      <c r="CP137" s="29"/>
      <c r="CQ137" s="24"/>
      <c r="CR137" s="29"/>
      <c r="CS137" s="24"/>
      <c r="CT137" s="29"/>
      <c r="CU137" s="24"/>
      <c r="CV137" s="29"/>
      <c r="CW137" s="24"/>
      <c r="CX137" s="29"/>
      <c r="CY137" s="24"/>
      <c r="CZ137" s="29"/>
      <c r="DA137" s="24"/>
      <c r="DB137" s="29"/>
      <c r="DC137" s="24"/>
      <c r="DD137" s="29"/>
      <c r="DE137" s="24"/>
      <c r="DF137" s="29"/>
      <c r="DG137" s="24"/>
      <c r="DH137" s="29"/>
      <c r="DI137" s="24"/>
      <c r="DJ137" s="29"/>
      <c r="DK137" s="24"/>
      <c r="DL137" s="29"/>
      <c r="DM137" s="24"/>
      <c r="DN137" s="29"/>
      <c r="DO137" s="24"/>
      <c r="DP137" s="29"/>
      <c r="DQ137" s="24"/>
      <c r="DR137" s="29"/>
      <c r="DS137" s="24"/>
      <c r="DT137" s="29"/>
      <c r="DU137" s="24"/>
      <c r="DV137" s="29"/>
      <c r="DW137" s="24"/>
      <c r="DX137" s="29"/>
      <c r="DY137" s="24"/>
      <c r="DZ137" s="29"/>
      <c r="EA137" s="24"/>
      <c r="EB137" s="29"/>
      <c r="EC137" s="24"/>
      <c r="ED137" s="29"/>
      <c r="EE137" s="24"/>
      <c r="EF137" s="29"/>
      <c r="EG137" s="24"/>
      <c r="EH137" s="29"/>
      <c r="EI137" s="24"/>
      <c r="EJ137" s="29"/>
      <c r="EK137" s="24"/>
      <c r="EL137" s="29"/>
    </row>
    <row r="138" spans="1:142" s="72" customFormat="1" x14ac:dyDescent="0.2">
      <c r="A138" s="45"/>
      <c r="B138" s="29">
        <v>4160</v>
      </c>
      <c r="C138" s="24" t="s">
        <v>26</v>
      </c>
      <c r="D138" s="29">
        <v>289900</v>
      </c>
      <c r="E138" s="24" t="s">
        <v>77</v>
      </c>
      <c r="F138" s="29">
        <v>84300</v>
      </c>
      <c r="G138" s="24" t="s">
        <v>156</v>
      </c>
      <c r="H138" s="29"/>
      <c r="I138" s="24"/>
      <c r="J138" s="29">
        <v>225000</v>
      </c>
      <c r="K138" s="24" t="s">
        <v>271</v>
      </c>
      <c r="L138" s="29"/>
      <c r="M138" s="24"/>
      <c r="N138" s="29">
        <v>200100</v>
      </c>
      <c r="O138" s="24" t="s">
        <v>361</v>
      </c>
      <c r="P138" s="29">
        <v>764.27</v>
      </c>
      <c r="Q138" s="24" t="s">
        <v>418</v>
      </c>
      <c r="R138" s="29">
        <v>125000</v>
      </c>
      <c r="S138" s="24" t="s">
        <v>466</v>
      </c>
      <c r="T138" s="29">
        <v>1099.01</v>
      </c>
      <c r="U138" s="24" t="s">
        <v>527</v>
      </c>
      <c r="V138" s="82">
        <v>50974.9</v>
      </c>
      <c r="W138" s="24" t="s">
        <v>595</v>
      </c>
      <c r="X138" s="29"/>
      <c r="Y138" s="24"/>
      <c r="Z138" s="29"/>
      <c r="AA138" s="24"/>
      <c r="AB138" s="29">
        <v>97426.48</v>
      </c>
      <c r="AC138" s="85" t="s">
        <v>667</v>
      </c>
      <c r="AD138" s="29">
        <v>198261.09</v>
      </c>
      <c r="AE138" s="85" t="s">
        <v>741</v>
      </c>
      <c r="AF138" s="29">
        <v>1099</v>
      </c>
      <c r="AG138" s="24" t="s">
        <v>850</v>
      </c>
      <c r="AH138" s="29">
        <v>1099</v>
      </c>
      <c r="AI138" s="85" t="s">
        <v>804</v>
      </c>
      <c r="AJ138" s="29"/>
      <c r="AK138" s="24"/>
      <c r="AL138" s="29">
        <v>50000</v>
      </c>
      <c r="AM138" s="24" t="s">
        <v>922</v>
      </c>
      <c r="AN138" s="29"/>
      <c r="AO138" s="24"/>
      <c r="AP138" s="30">
        <v>1519.03</v>
      </c>
      <c r="AQ138" s="103" t="s">
        <v>1028</v>
      </c>
      <c r="AR138" s="29">
        <v>90000</v>
      </c>
      <c r="AS138" s="24" t="s">
        <v>1057</v>
      </c>
      <c r="AT138" s="29">
        <v>126.72</v>
      </c>
      <c r="AU138" s="24" t="s">
        <v>1110</v>
      </c>
      <c r="AV138" s="29">
        <v>84248.75</v>
      </c>
      <c r="AW138" s="24" t="s">
        <v>1176</v>
      </c>
      <c r="AX138" s="29">
        <v>3250</v>
      </c>
      <c r="AY138" s="24" t="s">
        <v>1255</v>
      </c>
      <c r="AZ138" s="29"/>
      <c r="BA138" s="24"/>
      <c r="BB138" s="29"/>
      <c r="BC138" s="24"/>
      <c r="BD138" s="100"/>
      <c r="BE138" s="24"/>
      <c r="BF138" s="29">
        <v>58000</v>
      </c>
      <c r="BG138" s="106" t="s">
        <v>1430</v>
      </c>
      <c r="BH138" s="29"/>
      <c r="BI138" s="24"/>
      <c r="BJ138" s="29"/>
      <c r="BK138" s="24"/>
      <c r="BL138" s="29"/>
      <c r="BM138" s="24"/>
      <c r="BN138" s="29"/>
      <c r="BO138" s="24"/>
      <c r="BP138" s="29"/>
      <c r="BQ138" s="24"/>
      <c r="BR138" s="29"/>
      <c r="BS138" s="24"/>
      <c r="BT138" s="29"/>
      <c r="BU138" s="24"/>
      <c r="BV138" s="29"/>
      <c r="BW138" s="24"/>
      <c r="BX138" s="29"/>
      <c r="BY138" s="24"/>
      <c r="BZ138" s="29"/>
      <c r="CA138" s="24"/>
      <c r="CB138" s="29"/>
      <c r="CC138" s="24"/>
      <c r="CD138" s="29"/>
      <c r="CE138" s="24"/>
      <c r="CF138" s="29"/>
      <c r="CG138" s="24"/>
      <c r="CH138" s="29"/>
      <c r="CI138" s="24"/>
      <c r="CJ138" s="29"/>
      <c r="CK138" s="24"/>
      <c r="CL138" s="29"/>
      <c r="CM138" s="24"/>
      <c r="CN138" s="29"/>
      <c r="CO138" s="24"/>
      <c r="CP138" s="29"/>
      <c r="CQ138" s="24"/>
      <c r="CR138" s="29"/>
      <c r="CS138" s="24"/>
      <c r="CT138" s="29"/>
      <c r="CU138" s="24"/>
      <c r="CV138" s="29"/>
      <c r="CW138" s="24"/>
      <c r="CX138" s="29"/>
      <c r="CY138" s="24"/>
      <c r="CZ138" s="29"/>
      <c r="DA138" s="24"/>
      <c r="DB138" s="29"/>
      <c r="DC138" s="24"/>
      <c r="DD138" s="29"/>
      <c r="DE138" s="24"/>
      <c r="DF138" s="29"/>
      <c r="DG138" s="24"/>
      <c r="DH138" s="29"/>
      <c r="DI138" s="24"/>
      <c r="DJ138" s="29"/>
      <c r="DK138" s="24"/>
      <c r="DL138" s="29"/>
      <c r="DM138" s="24"/>
      <c r="DN138" s="29"/>
      <c r="DO138" s="24"/>
      <c r="DP138" s="29"/>
      <c r="DQ138" s="24"/>
      <c r="DR138" s="29"/>
      <c r="DS138" s="24"/>
      <c r="DT138" s="29"/>
      <c r="DU138" s="24"/>
      <c r="DV138" s="29"/>
      <c r="DW138" s="24"/>
      <c r="DX138" s="29"/>
      <c r="DY138" s="24"/>
      <c r="DZ138" s="29"/>
      <c r="EA138" s="24"/>
      <c r="EB138" s="29"/>
      <c r="EC138" s="24"/>
      <c r="ED138" s="29"/>
      <c r="EE138" s="24"/>
      <c r="EF138" s="29"/>
      <c r="EG138" s="24"/>
      <c r="EH138" s="29"/>
      <c r="EI138" s="24"/>
      <c r="EJ138" s="29"/>
      <c r="EK138" s="24"/>
      <c r="EL138" s="29"/>
    </row>
    <row r="139" spans="1:142" s="9" customFormat="1" x14ac:dyDescent="0.2">
      <c r="A139" s="41"/>
      <c r="B139" s="30">
        <v>175100</v>
      </c>
      <c r="C139" s="15" t="s">
        <v>28</v>
      </c>
      <c r="D139" s="30">
        <v>289900</v>
      </c>
      <c r="E139" s="15" t="s">
        <v>78</v>
      </c>
      <c r="F139" s="30">
        <v>430100</v>
      </c>
      <c r="G139" s="15" t="s">
        <v>161</v>
      </c>
      <c r="H139" s="30"/>
      <c r="I139" s="15"/>
      <c r="J139" s="29">
        <v>9815.5</v>
      </c>
      <c r="K139" s="24" t="s">
        <v>274</v>
      </c>
      <c r="L139" s="30"/>
      <c r="M139" s="15"/>
      <c r="N139" s="30">
        <v>75063.62</v>
      </c>
      <c r="O139" s="15" t="s">
        <v>362</v>
      </c>
      <c r="P139" s="30">
        <v>2276.1999999999998</v>
      </c>
      <c r="Q139" s="15" t="s">
        <v>421</v>
      </c>
      <c r="R139" s="30">
        <v>307500</v>
      </c>
      <c r="S139" s="15" t="s">
        <v>467</v>
      </c>
      <c r="T139" s="30">
        <v>4394.9799999999996</v>
      </c>
      <c r="U139" s="15" t="s">
        <v>529</v>
      </c>
      <c r="V139" s="83">
        <v>5666.08</v>
      </c>
      <c r="W139" s="15" t="s">
        <v>596</v>
      </c>
      <c r="X139" s="30"/>
      <c r="Y139" s="15"/>
      <c r="Z139" s="30"/>
      <c r="AA139" s="15"/>
      <c r="AB139" s="31">
        <v>244300</v>
      </c>
      <c r="AC139" s="86" t="s">
        <v>668</v>
      </c>
      <c r="AD139" s="30">
        <v>20000</v>
      </c>
      <c r="AE139" s="86" t="s">
        <v>742</v>
      </c>
      <c r="AF139" s="30">
        <v>3549.99</v>
      </c>
      <c r="AG139" s="15" t="s">
        <v>855</v>
      </c>
      <c r="AH139" s="30">
        <v>100000</v>
      </c>
      <c r="AI139" s="86" t="s">
        <v>805</v>
      </c>
      <c r="AJ139" s="30"/>
      <c r="AK139" s="15"/>
      <c r="AL139" s="30">
        <v>779700</v>
      </c>
      <c r="AM139" s="15" t="s">
        <v>928</v>
      </c>
      <c r="AN139" s="30"/>
      <c r="AO139" s="15"/>
      <c r="AP139" s="100">
        <f>SUM(AP131:AP138)</f>
        <v>667362.9800000001</v>
      </c>
      <c r="AQ139" s="24"/>
      <c r="AR139" s="30">
        <v>4656.8500000000004</v>
      </c>
      <c r="AS139" s="15" t="s">
        <v>1060</v>
      </c>
      <c r="AT139" s="30">
        <v>30000</v>
      </c>
      <c r="AU139" s="15" t="s">
        <v>1113</v>
      </c>
      <c r="AV139" s="30">
        <v>10912.15</v>
      </c>
      <c r="AW139" s="15" t="s">
        <v>1177</v>
      </c>
      <c r="AX139" s="30">
        <v>18777</v>
      </c>
      <c r="AY139" s="15" t="s">
        <v>1257</v>
      </c>
      <c r="AZ139" s="30"/>
      <c r="BA139" s="15"/>
      <c r="BB139" s="30"/>
      <c r="BC139" s="15"/>
      <c r="BD139" s="30"/>
      <c r="BE139" s="15"/>
      <c r="BF139" s="29">
        <v>143500</v>
      </c>
      <c r="BG139" s="106" t="s">
        <v>1431</v>
      </c>
      <c r="BH139" s="30"/>
      <c r="BI139" s="15"/>
      <c r="BJ139" s="30"/>
      <c r="BK139" s="15"/>
      <c r="BL139" s="30"/>
      <c r="BM139" s="15"/>
      <c r="BN139" s="30"/>
      <c r="BO139" s="15"/>
      <c r="BP139" s="30"/>
      <c r="BQ139" s="15"/>
      <c r="BR139" s="30"/>
      <c r="BS139" s="15"/>
      <c r="BT139" s="30"/>
      <c r="BU139" s="15"/>
      <c r="BV139" s="30"/>
      <c r="BW139" s="15"/>
      <c r="BX139" s="30"/>
      <c r="BY139" s="15"/>
      <c r="BZ139" s="30"/>
      <c r="CA139" s="15"/>
      <c r="CB139" s="30"/>
      <c r="CC139" s="15"/>
      <c r="CD139" s="30"/>
      <c r="CE139" s="15"/>
      <c r="CF139" s="30"/>
      <c r="CG139" s="15"/>
      <c r="CH139" s="30"/>
      <c r="CI139" s="15"/>
      <c r="CJ139" s="30"/>
      <c r="CK139" s="15"/>
      <c r="CL139" s="30"/>
      <c r="CM139" s="15"/>
      <c r="CN139" s="30"/>
      <c r="CO139" s="15"/>
      <c r="CP139" s="30"/>
      <c r="CQ139" s="15"/>
      <c r="CR139" s="30"/>
      <c r="CS139" s="15"/>
      <c r="CT139" s="30"/>
      <c r="CU139" s="15"/>
      <c r="CV139" s="30"/>
      <c r="CW139" s="15"/>
      <c r="CX139" s="30"/>
      <c r="CY139" s="15"/>
      <c r="CZ139" s="30"/>
      <c r="DA139" s="15"/>
      <c r="DB139" s="30"/>
      <c r="DC139" s="15"/>
      <c r="DD139" s="30"/>
      <c r="DE139" s="15"/>
      <c r="DF139" s="30"/>
      <c r="DG139" s="15"/>
      <c r="DH139" s="30"/>
      <c r="DI139" s="15"/>
      <c r="DJ139" s="30"/>
      <c r="DK139" s="15"/>
      <c r="DL139" s="30"/>
      <c r="DM139" s="15"/>
      <c r="DN139" s="30"/>
      <c r="DO139" s="15"/>
      <c r="DP139" s="30"/>
      <c r="DQ139" s="15"/>
      <c r="DR139" s="30"/>
      <c r="DS139" s="15"/>
      <c r="DT139" s="30"/>
      <c r="DU139" s="15"/>
      <c r="DV139" s="30"/>
      <c r="DW139" s="15"/>
      <c r="DX139" s="30"/>
      <c r="DY139" s="15"/>
      <c r="DZ139" s="30"/>
      <c r="EA139" s="15"/>
      <c r="EB139" s="30"/>
      <c r="EC139" s="15"/>
      <c r="ED139" s="30"/>
      <c r="EE139" s="15"/>
      <c r="EF139" s="30"/>
      <c r="EG139" s="15"/>
      <c r="EH139" s="30"/>
      <c r="EI139" s="15"/>
      <c r="EJ139" s="30"/>
      <c r="EK139" s="15"/>
      <c r="EL139" s="30"/>
    </row>
    <row r="140" spans="1:142" s="72" customFormat="1" x14ac:dyDescent="0.2">
      <c r="A140" s="45"/>
      <c r="B140" s="29">
        <v>175100</v>
      </c>
      <c r="C140" s="24" t="s">
        <v>29</v>
      </c>
      <c r="D140" s="29">
        <v>47165.29</v>
      </c>
      <c r="E140" s="24" t="s">
        <v>86</v>
      </c>
      <c r="F140" s="29">
        <v>1099.01</v>
      </c>
      <c r="G140" s="24" t="s">
        <v>186</v>
      </c>
      <c r="H140" s="29"/>
      <c r="I140" s="24"/>
      <c r="J140" s="29">
        <v>3247.11</v>
      </c>
      <c r="K140" s="24" t="s">
        <v>275</v>
      </c>
      <c r="L140" s="29"/>
      <c r="M140" s="24"/>
      <c r="N140" s="29">
        <v>3419</v>
      </c>
      <c r="O140" s="24" t="s">
        <v>371</v>
      </c>
      <c r="P140" s="29">
        <v>1995</v>
      </c>
      <c r="Q140" s="24" t="s">
        <v>426</v>
      </c>
      <c r="R140" s="29">
        <v>15100.95</v>
      </c>
      <c r="S140" s="24" t="s">
        <v>470</v>
      </c>
      <c r="T140" s="29">
        <v>1970</v>
      </c>
      <c r="U140" s="24" t="s">
        <v>530</v>
      </c>
      <c r="V140" s="29">
        <v>2000</v>
      </c>
      <c r="W140" s="24" t="s">
        <v>598</v>
      </c>
      <c r="X140" s="29"/>
      <c r="Y140" s="24"/>
      <c r="Z140" s="29"/>
      <c r="AA140" s="24"/>
      <c r="AB140" s="29">
        <v>3169</v>
      </c>
      <c r="AC140" s="85" t="s">
        <v>669</v>
      </c>
      <c r="AD140" s="29">
        <v>1099</v>
      </c>
      <c r="AE140" s="85" t="s">
        <v>743</v>
      </c>
      <c r="AF140" s="29">
        <v>3250</v>
      </c>
      <c r="AG140" s="24" t="s">
        <v>857</v>
      </c>
      <c r="AH140" s="29">
        <v>3250</v>
      </c>
      <c r="AI140" s="85" t="s">
        <v>806</v>
      </c>
      <c r="AJ140" s="29"/>
      <c r="AK140" s="24"/>
      <c r="AL140" s="29">
        <v>131.46</v>
      </c>
      <c r="AM140" s="24" t="s">
        <v>929</v>
      </c>
      <c r="AN140" s="29"/>
      <c r="AO140" s="24"/>
      <c r="AP140" s="100"/>
      <c r="AQ140" s="24"/>
      <c r="AR140" s="29">
        <v>2360</v>
      </c>
      <c r="AS140" s="24" t="s">
        <v>1069</v>
      </c>
      <c r="AT140" s="105">
        <v>80000</v>
      </c>
      <c r="AU140" s="106" t="s">
        <v>1114</v>
      </c>
      <c r="AV140" s="29">
        <v>9087.85</v>
      </c>
      <c r="AW140" s="24" t="s">
        <v>1179</v>
      </c>
      <c r="AX140" s="29">
        <v>1090.01</v>
      </c>
      <c r="AY140" s="24" t="s">
        <v>1258</v>
      </c>
      <c r="AZ140" s="29"/>
      <c r="BA140" s="24"/>
      <c r="BB140" s="29"/>
      <c r="BC140" s="24"/>
      <c r="BD140" s="29"/>
      <c r="BE140" s="24"/>
      <c r="BF140" s="29">
        <v>15000</v>
      </c>
      <c r="BG140" s="106" t="s">
        <v>1433</v>
      </c>
      <c r="BH140" s="29"/>
      <c r="BI140" s="24"/>
      <c r="BJ140" s="29"/>
      <c r="BK140" s="24"/>
      <c r="BL140" s="29"/>
      <c r="BM140" s="24"/>
      <c r="BN140" s="29"/>
      <c r="BO140" s="24"/>
      <c r="BP140" s="29"/>
      <c r="BQ140" s="24"/>
      <c r="BR140" s="29"/>
      <c r="BS140" s="24"/>
      <c r="BT140" s="29"/>
      <c r="BU140" s="24"/>
      <c r="BV140" s="29"/>
      <c r="BW140" s="24"/>
      <c r="BX140" s="29"/>
      <c r="BY140" s="24"/>
      <c r="BZ140" s="29"/>
      <c r="CA140" s="24"/>
      <c r="CB140" s="29"/>
      <c r="CC140" s="24"/>
      <c r="CD140" s="29"/>
      <c r="CE140" s="24"/>
      <c r="CF140" s="29"/>
      <c r="CG140" s="24"/>
      <c r="CH140" s="29"/>
      <c r="CI140" s="24"/>
      <c r="CJ140" s="29"/>
      <c r="CK140" s="24"/>
      <c r="CL140" s="29"/>
      <c r="CM140" s="24"/>
      <c r="CN140" s="29"/>
      <c r="CO140" s="24"/>
      <c r="CP140" s="29"/>
      <c r="CQ140" s="24"/>
      <c r="CR140" s="29"/>
      <c r="CS140" s="24"/>
      <c r="CT140" s="29"/>
      <c r="CU140" s="24"/>
      <c r="CV140" s="29"/>
      <c r="CW140" s="24"/>
      <c r="CX140" s="29"/>
      <c r="CY140" s="24"/>
      <c r="CZ140" s="29"/>
      <c r="DA140" s="24"/>
      <c r="DB140" s="29"/>
      <c r="DC140" s="24"/>
      <c r="DD140" s="29"/>
      <c r="DE140" s="24"/>
      <c r="DF140" s="29"/>
      <c r="DG140" s="24"/>
      <c r="DH140" s="29"/>
      <c r="DI140" s="24"/>
      <c r="DJ140" s="29"/>
      <c r="DK140" s="24"/>
      <c r="DL140" s="29"/>
      <c r="DM140" s="24"/>
      <c r="DN140" s="29"/>
      <c r="DO140" s="24"/>
      <c r="DP140" s="29"/>
      <c r="DQ140" s="24"/>
      <c r="DR140" s="29"/>
      <c r="DS140" s="24"/>
      <c r="DT140" s="29"/>
      <c r="DU140" s="24"/>
      <c r="DV140" s="29"/>
      <c r="DW140" s="24"/>
      <c r="DX140" s="29"/>
      <c r="DY140" s="24"/>
      <c r="DZ140" s="29"/>
      <c r="EA140" s="24"/>
      <c r="EB140" s="29"/>
      <c r="EC140" s="24"/>
      <c r="ED140" s="29"/>
      <c r="EE140" s="24"/>
      <c r="EF140" s="29"/>
      <c r="EG140" s="24"/>
      <c r="EH140" s="29"/>
      <c r="EI140" s="24"/>
      <c r="EJ140" s="29"/>
      <c r="EK140" s="24"/>
      <c r="EL140" s="29"/>
    </row>
    <row r="141" spans="1:142" s="72" customFormat="1" x14ac:dyDescent="0.2">
      <c r="A141" s="45"/>
      <c r="B141" s="29">
        <v>55000</v>
      </c>
      <c r="C141" s="24" t="s">
        <v>33</v>
      </c>
      <c r="D141" s="29">
        <v>250000</v>
      </c>
      <c r="E141" s="24" t="s">
        <v>88</v>
      </c>
      <c r="F141" s="29">
        <v>2200</v>
      </c>
      <c r="G141" s="24" t="s">
        <v>187</v>
      </c>
      <c r="H141" s="29"/>
      <c r="I141" s="24"/>
      <c r="J141" s="29">
        <v>8897.3799999999992</v>
      </c>
      <c r="K141" s="24" t="s">
        <v>276</v>
      </c>
      <c r="L141" s="29"/>
      <c r="M141" s="24"/>
      <c r="N141" s="29">
        <v>2576.16</v>
      </c>
      <c r="O141" s="24" t="s">
        <v>378</v>
      </c>
      <c r="P141" s="29">
        <v>1099</v>
      </c>
      <c r="Q141" s="24" t="s">
        <v>428</v>
      </c>
      <c r="R141" s="29">
        <v>1970</v>
      </c>
      <c r="S141" s="24" t="s">
        <v>492</v>
      </c>
      <c r="T141" s="29">
        <v>4395</v>
      </c>
      <c r="U141" s="24" t="s">
        <v>536</v>
      </c>
      <c r="V141" s="29">
        <v>232000</v>
      </c>
      <c r="W141" s="24" t="s">
        <v>599</v>
      </c>
      <c r="X141" s="29"/>
      <c r="Y141" s="24"/>
      <c r="Z141" s="29"/>
      <c r="AA141" s="24"/>
      <c r="AB141" s="29">
        <v>150000</v>
      </c>
      <c r="AC141" s="85" t="s">
        <v>670</v>
      </c>
      <c r="AD141" s="93">
        <v>113000</v>
      </c>
      <c r="AE141" s="85" t="s">
        <v>744</v>
      </c>
      <c r="AF141" s="29">
        <v>394.01</v>
      </c>
      <c r="AG141" s="24" t="s">
        <v>870</v>
      </c>
      <c r="AH141" s="29">
        <v>19500</v>
      </c>
      <c r="AI141" s="85" t="s">
        <v>807</v>
      </c>
      <c r="AJ141" s="29"/>
      <c r="AK141" s="24"/>
      <c r="AL141" s="29">
        <v>5892.09</v>
      </c>
      <c r="AM141" s="24" t="s">
        <v>930</v>
      </c>
      <c r="AN141" s="29"/>
      <c r="AO141" s="24"/>
      <c r="AP141" s="29"/>
      <c r="AQ141" s="24"/>
      <c r="AR141" s="29">
        <v>3250</v>
      </c>
      <c r="AS141" s="24" t="s">
        <v>1070</v>
      </c>
      <c r="AT141" s="105">
        <v>185800</v>
      </c>
      <c r="AU141" s="106" t="s">
        <v>1115</v>
      </c>
      <c r="AV141" s="29">
        <v>230000</v>
      </c>
      <c r="AW141" s="24" t="s">
        <v>1180</v>
      </c>
      <c r="AX141" s="29">
        <v>593</v>
      </c>
      <c r="AY141" s="24" t="s">
        <v>1263</v>
      </c>
      <c r="AZ141" s="29"/>
      <c r="BA141" s="24"/>
      <c r="BB141" s="29"/>
      <c r="BC141" s="24"/>
      <c r="BD141" s="29"/>
      <c r="BE141" s="24"/>
      <c r="BF141" s="29">
        <v>200000</v>
      </c>
      <c r="BG141" s="106" t="s">
        <v>1434</v>
      </c>
      <c r="BH141" s="29"/>
      <c r="BI141" s="24"/>
      <c r="BJ141" s="29"/>
      <c r="BK141" s="24"/>
      <c r="BL141" s="29"/>
      <c r="BM141" s="24"/>
      <c r="BN141" s="29"/>
      <c r="BO141" s="24"/>
      <c r="BP141" s="29"/>
      <c r="BQ141" s="24"/>
      <c r="BR141" s="29"/>
      <c r="BS141" s="24"/>
      <c r="BT141" s="29"/>
      <c r="BU141" s="24"/>
      <c r="BV141" s="29"/>
      <c r="BW141" s="24"/>
      <c r="BX141" s="29"/>
      <c r="BY141" s="24"/>
      <c r="BZ141" s="29"/>
      <c r="CA141" s="24"/>
      <c r="CB141" s="29"/>
      <c r="CC141" s="24"/>
      <c r="CD141" s="29"/>
      <c r="CE141" s="24"/>
      <c r="CF141" s="29"/>
      <c r="CG141" s="24"/>
      <c r="CH141" s="29"/>
      <c r="CI141" s="24"/>
      <c r="CJ141" s="29"/>
      <c r="CK141" s="24"/>
      <c r="CL141" s="29"/>
      <c r="CM141" s="24"/>
      <c r="CN141" s="29"/>
      <c r="CO141" s="24"/>
      <c r="CP141" s="29"/>
      <c r="CQ141" s="24"/>
      <c r="CR141" s="29"/>
      <c r="CS141" s="24"/>
      <c r="CT141" s="29"/>
      <c r="CU141" s="24"/>
      <c r="CV141" s="29"/>
      <c r="CW141" s="24"/>
      <c r="CX141" s="29"/>
      <c r="CY141" s="24"/>
      <c r="CZ141" s="29"/>
      <c r="DA141" s="24"/>
      <c r="DB141" s="29"/>
      <c r="DC141" s="24"/>
      <c r="DD141" s="29"/>
      <c r="DE141" s="24"/>
      <c r="DF141" s="29"/>
      <c r="DG141" s="24"/>
      <c r="DH141" s="29"/>
      <c r="DI141" s="24"/>
      <c r="DJ141" s="29"/>
      <c r="DK141" s="24"/>
      <c r="DL141" s="29"/>
      <c r="DM141" s="24"/>
      <c r="DN141" s="29"/>
      <c r="DO141" s="24"/>
      <c r="DP141" s="29"/>
      <c r="DQ141" s="24"/>
      <c r="DR141" s="29"/>
      <c r="DS141" s="24"/>
      <c r="DT141" s="29"/>
      <c r="DU141" s="24"/>
      <c r="DV141" s="29"/>
      <c r="DW141" s="24"/>
      <c r="DX141" s="29"/>
      <c r="DY141" s="24"/>
      <c r="DZ141" s="29"/>
      <c r="EA141" s="24"/>
      <c r="EB141" s="29"/>
      <c r="EC141" s="24"/>
      <c r="ED141" s="29"/>
      <c r="EE141" s="24"/>
      <c r="EF141" s="29"/>
      <c r="EG141" s="24"/>
      <c r="EH141" s="29"/>
      <c r="EI141" s="24"/>
      <c r="EJ141" s="29"/>
      <c r="EK141" s="24"/>
      <c r="EL141" s="29"/>
    </row>
    <row r="142" spans="1:142" s="72" customFormat="1" x14ac:dyDescent="0.2">
      <c r="A142" s="45"/>
      <c r="B142" s="29">
        <v>25000</v>
      </c>
      <c r="C142" s="24" t="s">
        <v>34</v>
      </c>
      <c r="D142" s="29">
        <v>275000</v>
      </c>
      <c r="E142" s="24" t="s">
        <v>90</v>
      </c>
      <c r="F142" s="29">
        <v>4635</v>
      </c>
      <c r="G142" s="24" t="s">
        <v>81</v>
      </c>
      <c r="H142" s="29"/>
      <c r="I142" s="24"/>
      <c r="J142" s="29">
        <v>2059</v>
      </c>
      <c r="K142" s="24" t="s">
        <v>277</v>
      </c>
      <c r="L142" s="29"/>
      <c r="M142" s="24"/>
      <c r="N142" s="29">
        <v>7155</v>
      </c>
      <c r="O142" s="24" t="s">
        <v>380</v>
      </c>
      <c r="P142" s="62">
        <f>SUM(P131:P141)</f>
        <v>430261.78</v>
      </c>
      <c r="Q142" s="24"/>
      <c r="R142" s="62">
        <f>SUM(R131:R141)</f>
        <v>858608.24</v>
      </c>
      <c r="T142" s="29">
        <v>1995</v>
      </c>
      <c r="U142" s="24" t="s">
        <v>538</v>
      </c>
      <c r="V142" s="29">
        <v>1994.99</v>
      </c>
      <c r="W142" s="24" t="s">
        <v>608</v>
      </c>
      <c r="X142" s="29"/>
      <c r="Y142" s="24"/>
      <c r="Z142" s="29"/>
      <c r="AA142" s="24"/>
      <c r="AB142" s="29">
        <v>562300</v>
      </c>
      <c r="AC142" s="85" t="s">
        <v>671</v>
      </c>
      <c r="AD142" s="94">
        <f>SUM(AD131:AD141)</f>
        <v>1062304.46</v>
      </c>
      <c r="AE142" s="24"/>
      <c r="AF142" s="96">
        <v>8239.77</v>
      </c>
      <c r="AG142" s="15" t="s">
        <v>864</v>
      </c>
      <c r="AH142" s="29">
        <v>3250</v>
      </c>
      <c r="AI142" s="85" t="s">
        <v>808</v>
      </c>
      <c r="AJ142" s="29"/>
      <c r="AK142" s="24"/>
      <c r="AL142" s="29">
        <v>10000</v>
      </c>
      <c r="AM142" s="24" t="s">
        <v>931</v>
      </c>
      <c r="AN142" s="29"/>
      <c r="AO142" s="24"/>
      <c r="AP142" s="29"/>
      <c r="AQ142" s="24"/>
      <c r="AR142" s="29">
        <v>1970</v>
      </c>
      <c r="AS142" s="24" t="s">
        <v>1071</v>
      </c>
      <c r="AT142" s="105">
        <v>343500</v>
      </c>
      <c r="AU142" s="106" t="s">
        <v>1116</v>
      </c>
      <c r="AV142" s="29">
        <v>72000</v>
      </c>
      <c r="AW142" s="24" t="s">
        <v>1182</v>
      </c>
      <c r="AX142" s="29">
        <v>1235.8800000000001</v>
      </c>
      <c r="AY142" s="24" t="s">
        <v>1266</v>
      </c>
      <c r="AZ142" s="29"/>
      <c r="BA142" s="24"/>
      <c r="BB142" s="29"/>
      <c r="BC142" s="24"/>
      <c r="BD142" s="29"/>
      <c r="BE142" s="24"/>
      <c r="BF142" s="29">
        <v>18000</v>
      </c>
      <c r="BG142" s="106" t="s">
        <v>1437</v>
      </c>
      <c r="BH142" s="29"/>
      <c r="BI142" s="24"/>
      <c r="BJ142" s="29"/>
      <c r="BK142" s="24"/>
      <c r="BL142" s="29"/>
      <c r="BM142" s="24"/>
      <c r="BN142" s="29"/>
      <c r="BO142" s="24"/>
      <c r="BP142" s="29"/>
      <c r="BQ142" s="24"/>
      <c r="BR142" s="29"/>
      <c r="BS142" s="24"/>
      <c r="BT142" s="29"/>
      <c r="BU142" s="24"/>
      <c r="BV142" s="29"/>
      <c r="BW142" s="24"/>
      <c r="BX142" s="29"/>
      <c r="BY142" s="24"/>
      <c r="BZ142" s="29"/>
      <c r="CA142" s="24"/>
      <c r="CB142" s="29"/>
      <c r="CC142" s="24"/>
      <c r="CD142" s="29"/>
      <c r="CE142" s="24"/>
      <c r="CF142" s="29"/>
      <c r="CG142" s="24"/>
      <c r="CH142" s="29"/>
      <c r="CI142" s="24"/>
      <c r="CJ142" s="29"/>
      <c r="CK142" s="24"/>
      <c r="CL142" s="29"/>
      <c r="CM142" s="24"/>
      <c r="CN142" s="29"/>
      <c r="CO142" s="24"/>
      <c r="CP142" s="29"/>
      <c r="CQ142" s="24"/>
      <c r="CR142" s="29"/>
      <c r="CS142" s="24"/>
      <c r="CT142" s="29"/>
      <c r="CU142" s="24"/>
      <c r="CV142" s="29"/>
      <c r="CW142" s="24"/>
      <c r="CX142" s="29"/>
      <c r="CY142" s="24"/>
      <c r="CZ142" s="29"/>
      <c r="DA142" s="24"/>
      <c r="DB142" s="29"/>
      <c r="DC142" s="24"/>
      <c r="DD142" s="29"/>
      <c r="DE142" s="24"/>
      <c r="DF142" s="29"/>
      <c r="DG142" s="24"/>
      <c r="DH142" s="29"/>
      <c r="DI142" s="24"/>
      <c r="DJ142" s="29"/>
      <c r="DK142" s="24"/>
      <c r="DL142" s="29"/>
      <c r="DM142" s="24"/>
      <c r="DN142" s="29"/>
      <c r="DO142" s="24"/>
      <c r="DP142" s="29"/>
      <c r="DQ142" s="24"/>
      <c r="DR142" s="29"/>
      <c r="DS142" s="24"/>
      <c r="DT142" s="29"/>
      <c r="DU142" s="24"/>
      <c r="DV142" s="29"/>
      <c r="DW142" s="24"/>
      <c r="DX142" s="29"/>
      <c r="DY142" s="24"/>
      <c r="DZ142" s="29"/>
      <c r="EA142" s="24"/>
      <c r="EB142" s="29"/>
      <c r="EC142" s="24"/>
      <c r="ED142" s="29"/>
      <c r="EE142" s="24"/>
      <c r="EF142" s="29"/>
      <c r="EG142" s="24"/>
      <c r="EH142" s="29"/>
      <c r="EI142" s="24"/>
      <c r="EJ142" s="29"/>
      <c r="EK142" s="24"/>
      <c r="EL142" s="29"/>
    </row>
    <row r="143" spans="1:142" s="24" customFormat="1" x14ac:dyDescent="0.2">
      <c r="A143" s="45"/>
      <c r="B143" s="29">
        <v>200</v>
      </c>
      <c r="C143" s="24" t="s">
        <v>46</v>
      </c>
      <c r="D143" s="29">
        <v>275000</v>
      </c>
      <c r="E143" s="24" t="s">
        <v>91</v>
      </c>
      <c r="F143" s="29">
        <v>1995</v>
      </c>
      <c r="G143" s="24" t="s">
        <v>87</v>
      </c>
      <c r="H143" s="29"/>
      <c r="J143" s="29">
        <v>1497</v>
      </c>
      <c r="K143" s="24" t="s">
        <v>279</v>
      </c>
      <c r="L143" s="29"/>
      <c r="N143" s="29">
        <v>1970</v>
      </c>
      <c r="O143" s="24" t="s">
        <v>390</v>
      </c>
      <c r="P143" s="29"/>
      <c r="R143" s="29"/>
      <c r="T143" s="79">
        <f>SUM(T131:T142)</f>
        <v>533757.52</v>
      </c>
      <c r="V143" s="29">
        <v>1099</v>
      </c>
      <c r="W143" s="24" t="s">
        <v>579</v>
      </c>
      <c r="X143" s="29"/>
      <c r="Z143" s="29"/>
      <c r="AB143" s="29">
        <v>122000</v>
      </c>
      <c r="AC143" s="85" t="s">
        <v>672</v>
      </c>
      <c r="AD143" s="29"/>
      <c r="AF143" s="96">
        <v>1995</v>
      </c>
      <c r="AG143" s="15" t="s">
        <v>848</v>
      </c>
      <c r="AH143" s="29">
        <v>2350</v>
      </c>
      <c r="AI143" s="85" t="s">
        <v>809</v>
      </c>
      <c r="AJ143" s="29"/>
      <c r="AL143" s="29">
        <v>22145.62</v>
      </c>
      <c r="AM143" s="24" t="s">
        <v>933</v>
      </c>
      <c r="AN143" s="29"/>
      <c r="AP143" s="29"/>
      <c r="AR143" s="29">
        <v>1299.01</v>
      </c>
      <c r="AS143" s="24" t="s">
        <v>1072</v>
      </c>
      <c r="AT143" s="105">
        <v>45000</v>
      </c>
      <c r="AU143" s="106" t="s">
        <v>1121</v>
      </c>
      <c r="AV143" s="29">
        <v>3065</v>
      </c>
      <c r="AW143" s="24" t="s">
        <v>1194</v>
      </c>
      <c r="AX143" s="29">
        <v>1568.9</v>
      </c>
      <c r="AY143" s="24" t="s">
        <v>1267</v>
      </c>
      <c r="AZ143" s="29"/>
      <c r="BB143" s="29"/>
      <c r="BD143" s="29"/>
      <c r="BF143" s="30">
        <v>1449.08</v>
      </c>
      <c r="BG143" s="108" t="s">
        <v>1450</v>
      </c>
      <c r="BH143" s="29"/>
      <c r="BJ143" s="29"/>
      <c r="BL143" s="29"/>
      <c r="BN143" s="29"/>
      <c r="BP143" s="29"/>
      <c r="BR143" s="29"/>
      <c r="BT143" s="29"/>
      <c r="BV143" s="29"/>
      <c r="BX143" s="29"/>
      <c r="BZ143" s="29"/>
      <c r="CB143" s="29"/>
      <c r="CD143" s="29"/>
      <c r="CF143" s="29"/>
      <c r="CH143" s="29"/>
      <c r="CJ143" s="29"/>
      <c r="CL143" s="29"/>
      <c r="CN143" s="29"/>
      <c r="CP143" s="29"/>
      <c r="CR143" s="29"/>
      <c r="CT143" s="29"/>
      <c r="CV143" s="29"/>
      <c r="CX143" s="29"/>
      <c r="CZ143" s="29"/>
      <c r="DB143" s="29"/>
      <c r="DD143" s="29"/>
      <c r="DF143" s="29"/>
      <c r="DH143" s="29"/>
      <c r="DJ143" s="29"/>
      <c r="DL143" s="29"/>
      <c r="DN143" s="29"/>
      <c r="DP143" s="29"/>
      <c r="DR143" s="29"/>
      <c r="DT143" s="29"/>
      <c r="DV143" s="29"/>
      <c r="DX143" s="29"/>
      <c r="DZ143" s="29"/>
      <c r="EB143" s="29"/>
      <c r="ED143" s="29"/>
      <c r="EF143" s="29"/>
      <c r="EH143" s="29"/>
      <c r="EJ143" s="29"/>
      <c r="EL143" s="29"/>
    </row>
    <row r="144" spans="1:142" s="72" customFormat="1" x14ac:dyDescent="0.2">
      <c r="A144" s="45"/>
      <c r="B144" s="29">
        <v>1840</v>
      </c>
      <c r="C144" s="24" t="s">
        <v>49</v>
      </c>
      <c r="D144" s="29">
        <v>3000</v>
      </c>
      <c r="E144" s="24" t="s">
        <v>92</v>
      </c>
      <c r="F144" s="29">
        <v>2770.01</v>
      </c>
      <c r="G144" s="24" t="s">
        <v>193</v>
      </c>
      <c r="H144" s="29"/>
      <c r="I144" s="24"/>
      <c r="J144" s="30">
        <v>3250</v>
      </c>
      <c r="K144" s="15" t="s">
        <v>281</v>
      </c>
      <c r="L144" s="29"/>
      <c r="M144" s="24"/>
      <c r="N144" s="29">
        <v>4395.01</v>
      </c>
      <c r="O144" s="24" t="s">
        <v>391</v>
      </c>
      <c r="P144" s="29"/>
      <c r="Q144" s="24"/>
      <c r="R144" s="29"/>
      <c r="S144" s="24"/>
      <c r="T144" s="29"/>
      <c r="U144" s="24"/>
      <c r="V144" s="29">
        <v>1099.01</v>
      </c>
      <c r="W144" s="24" t="s">
        <v>610</v>
      </c>
      <c r="X144" s="29"/>
      <c r="Y144" s="24"/>
      <c r="Z144" s="29"/>
      <c r="AA144" s="24"/>
      <c r="AB144" s="29">
        <v>343500</v>
      </c>
      <c r="AC144" s="85" t="s">
        <v>673</v>
      </c>
      <c r="AD144" s="29"/>
      <c r="AE144" s="24"/>
      <c r="AF144" s="97">
        <f>SUM(AF131:AF143)</f>
        <v>662232.52000000014</v>
      </c>
      <c r="AG144" s="24"/>
      <c r="AH144" s="93">
        <v>5000</v>
      </c>
      <c r="AI144" s="85" t="s">
        <v>810</v>
      </c>
      <c r="AJ144" s="29"/>
      <c r="AK144" s="24"/>
      <c r="AL144" s="29">
        <v>14032.47</v>
      </c>
      <c r="AM144" s="24" t="s">
        <v>934</v>
      </c>
      <c r="AN144" s="29"/>
      <c r="AO144" s="24"/>
      <c r="AP144" s="29"/>
      <c r="AQ144" s="24"/>
      <c r="AR144" s="29">
        <v>4395</v>
      </c>
      <c r="AS144" s="24" t="s">
        <v>1085</v>
      </c>
      <c r="AT144" s="105">
        <v>54347.41</v>
      </c>
      <c r="AU144" s="106" t="s">
        <v>1122</v>
      </c>
      <c r="AV144" s="29">
        <v>1099</v>
      </c>
      <c r="AW144" s="24" t="s">
        <v>1195</v>
      </c>
      <c r="AX144" s="100">
        <f>SUM(AX131:AX143)</f>
        <v>372033.83</v>
      </c>
      <c r="AY144" s="24"/>
      <c r="AZ144" s="29"/>
      <c r="BA144" s="24"/>
      <c r="BB144" s="29"/>
      <c r="BC144" s="24"/>
      <c r="BD144" s="29"/>
      <c r="BE144" s="24"/>
      <c r="BF144" s="101">
        <v>3588.99</v>
      </c>
      <c r="BG144" s="109" t="s">
        <v>1454</v>
      </c>
      <c r="BH144" s="29"/>
      <c r="BI144" s="24"/>
      <c r="BJ144" s="29"/>
      <c r="BK144" s="24"/>
      <c r="BL144" s="29"/>
      <c r="BM144" s="24"/>
      <c r="BN144" s="29"/>
      <c r="BO144" s="24"/>
      <c r="BP144" s="29"/>
      <c r="BQ144" s="24"/>
      <c r="BR144" s="29"/>
      <c r="BS144" s="24"/>
      <c r="BT144" s="29"/>
      <c r="BU144" s="24"/>
      <c r="BV144" s="29"/>
      <c r="BW144" s="24"/>
      <c r="BX144" s="29"/>
      <c r="BY144" s="24"/>
      <c r="BZ144" s="29"/>
      <c r="CA144" s="24"/>
      <c r="CB144" s="29"/>
      <c r="CC144" s="24"/>
      <c r="CD144" s="29"/>
      <c r="CE144" s="24"/>
      <c r="CF144" s="29"/>
      <c r="CG144" s="24"/>
      <c r="CH144" s="29"/>
      <c r="CI144" s="24"/>
      <c r="CJ144" s="29"/>
      <c r="CK144" s="24"/>
      <c r="CL144" s="29"/>
      <c r="CM144" s="24"/>
      <c r="CN144" s="29"/>
      <c r="CO144" s="24"/>
      <c r="CP144" s="29"/>
      <c r="CQ144" s="24"/>
      <c r="CR144" s="29"/>
      <c r="CS144" s="24"/>
      <c r="CT144" s="29"/>
      <c r="CU144" s="24"/>
      <c r="CV144" s="29"/>
      <c r="CW144" s="24"/>
      <c r="CX144" s="29"/>
      <c r="CY144" s="24"/>
      <c r="CZ144" s="29"/>
      <c r="DA144" s="24"/>
      <c r="DB144" s="29"/>
      <c r="DC144" s="24"/>
      <c r="DD144" s="29"/>
      <c r="DE144" s="24"/>
      <c r="DF144" s="29"/>
      <c r="DG144" s="24"/>
      <c r="DH144" s="29"/>
      <c r="DI144" s="24"/>
      <c r="DJ144" s="29"/>
      <c r="DK144" s="24"/>
      <c r="DL144" s="29"/>
      <c r="DM144" s="24"/>
      <c r="DN144" s="29"/>
      <c r="DO144" s="24"/>
      <c r="DP144" s="29"/>
      <c r="DQ144" s="24"/>
      <c r="DR144" s="29"/>
      <c r="DS144" s="24"/>
      <c r="DT144" s="29"/>
      <c r="DU144" s="24"/>
      <c r="DV144" s="29"/>
      <c r="DW144" s="24"/>
      <c r="DX144" s="29"/>
      <c r="DY144" s="24"/>
      <c r="DZ144" s="29"/>
      <c r="EA144" s="24"/>
      <c r="EB144" s="29"/>
      <c r="EC144" s="24"/>
      <c r="ED144" s="29"/>
      <c r="EE144" s="24"/>
      <c r="EF144" s="29"/>
      <c r="EG144" s="24"/>
      <c r="EH144" s="29"/>
      <c r="EI144" s="24"/>
      <c r="EJ144" s="29"/>
      <c r="EK144" s="24"/>
      <c r="EL144" s="29"/>
    </row>
    <row r="145" spans="1:142" s="9" customFormat="1" x14ac:dyDescent="0.2">
      <c r="A145" s="41"/>
      <c r="B145" s="30">
        <v>1949.99</v>
      </c>
      <c r="C145" s="15" t="s">
        <v>50</v>
      </c>
      <c r="D145" s="30">
        <v>30900</v>
      </c>
      <c r="E145" s="15" t="s">
        <v>94</v>
      </c>
      <c r="F145" s="30">
        <v>1099.01</v>
      </c>
      <c r="G145" s="15" t="s">
        <v>199</v>
      </c>
      <c r="H145" s="30"/>
      <c r="I145" s="15"/>
      <c r="J145" s="63">
        <v>4395.01</v>
      </c>
      <c r="K145" s="57" t="s">
        <v>289</v>
      </c>
      <c r="L145" s="30"/>
      <c r="M145" s="15"/>
      <c r="N145" s="79">
        <f>SUM(N131:N144)</f>
        <v>1368429.1</v>
      </c>
      <c r="O145" s="15"/>
      <c r="P145" s="30"/>
      <c r="Q145" s="15"/>
      <c r="R145" s="30"/>
      <c r="S145" s="15"/>
      <c r="T145" s="30"/>
      <c r="U145" s="15"/>
      <c r="V145" s="30">
        <v>4395.01</v>
      </c>
      <c r="W145" s="15" t="s">
        <v>611</v>
      </c>
      <c r="X145" s="30"/>
      <c r="Y145" s="15"/>
      <c r="Z145" s="30"/>
      <c r="AA145" s="15"/>
      <c r="AB145" s="31">
        <v>5000</v>
      </c>
      <c r="AC145" s="86" t="s">
        <v>674</v>
      </c>
      <c r="AD145" s="30"/>
      <c r="AE145" s="15"/>
      <c r="AF145" s="30"/>
      <c r="AG145" s="15"/>
      <c r="AH145" s="98">
        <f>SUM(AH131:AH144)</f>
        <v>587653.01</v>
      </c>
      <c r="AI145" s="15"/>
      <c r="AJ145" s="30"/>
      <c r="AK145" s="15"/>
      <c r="AL145" s="30">
        <v>1779.65</v>
      </c>
      <c r="AM145" s="15" t="s">
        <v>948</v>
      </c>
      <c r="AN145" s="30"/>
      <c r="AO145" s="15"/>
      <c r="AP145" s="30"/>
      <c r="AQ145" s="15"/>
      <c r="AR145" s="30">
        <v>1500</v>
      </c>
      <c r="AS145" s="15" t="s">
        <v>1093</v>
      </c>
      <c r="AT145" s="107">
        <v>110448.68</v>
      </c>
      <c r="AU145" s="108" t="s">
        <v>1124</v>
      </c>
      <c r="AV145" s="30">
        <v>2866</v>
      </c>
      <c r="AW145" s="15" t="s">
        <v>1196</v>
      </c>
      <c r="AX145" s="30"/>
      <c r="AY145" s="15"/>
      <c r="AZ145" s="30"/>
      <c r="BA145" s="15"/>
      <c r="BB145" s="30"/>
      <c r="BC145" s="15"/>
      <c r="BD145" s="30"/>
      <c r="BE145" s="15"/>
      <c r="BF145" s="31">
        <v>1970</v>
      </c>
      <c r="BG145" s="106" t="s">
        <v>1455</v>
      </c>
      <c r="BH145" s="30"/>
      <c r="BI145" s="15"/>
      <c r="BJ145" s="30"/>
      <c r="BK145" s="15"/>
      <c r="BL145" s="30"/>
      <c r="BM145" s="15"/>
      <c r="BN145" s="30"/>
      <c r="BO145" s="15"/>
      <c r="BP145" s="30"/>
      <c r="BQ145" s="15"/>
      <c r="BR145" s="30"/>
      <c r="BS145" s="15"/>
      <c r="BT145" s="30"/>
      <c r="BU145" s="15"/>
      <c r="BV145" s="30"/>
      <c r="BW145" s="15"/>
      <c r="BX145" s="30"/>
      <c r="BY145" s="15"/>
      <c r="BZ145" s="30"/>
      <c r="CA145" s="15"/>
      <c r="CB145" s="30"/>
      <c r="CC145" s="15"/>
      <c r="CD145" s="30"/>
      <c r="CE145" s="15"/>
      <c r="CF145" s="30"/>
      <c r="CG145" s="15"/>
      <c r="CH145" s="30"/>
      <c r="CI145" s="15"/>
      <c r="CJ145" s="30"/>
      <c r="CK145" s="15"/>
      <c r="CL145" s="30"/>
      <c r="CM145" s="15"/>
      <c r="CN145" s="30"/>
      <c r="CO145" s="15"/>
      <c r="CP145" s="30"/>
      <c r="CQ145" s="15"/>
      <c r="CR145" s="30"/>
      <c r="CS145" s="15"/>
      <c r="CT145" s="30"/>
      <c r="CU145" s="15"/>
      <c r="CV145" s="30"/>
      <c r="CW145" s="15"/>
      <c r="CX145" s="30"/>
      <c r="CY145" s="15"/>
      <c r="CZ145" s="30"/>
      <c r="DA145" s="15"/>
      <c r="DB145" s="30"/>
      <c r="DC145" s="15"/>
      <c r="DD145" s="30"/>
      <c r="DE145" s="15"/>
      <c r="DF145" s="30"/>
      <c r="DG145" s="15"/>
      <c r="DH145" s="30"/>
      <c r="DI145" s="15"/>
      <c r="DJ145" s="30"/>
      <c r="DK145" s="15"/>
      <c r="DL145" s="30"/>
      <c r="DM145" s="15"/>
      <c r="DN145" s="30"/>
      <c r="DO145" s="15"/>
      <c r="DP145" s="30"/>
      <c r="DQ145" s="15"/>
      <c r="DR145" s="30"/>
      <c r="DS145" s="15"/>
      <c r="DT145" s="30"/>
      <c r="DU145" s="15"/>
      <c r="DV145" s="30"/>
      <c r="DW145" s="15"/>
      <c r="DX145" s="30"/>
      <c r="DY145" s="15"/>
      <c r="DZ145" s="30"/>
      <c r="EA145" s="15"/>
      <c r="EB145" s="30"/>
      <c r="EC145" s="15"/>
      <c r="ED145" s="30"/>
      <c r="EE145" s="15"/>
      <c r="EF145" s="30"/>
      <c r="EG145" s="15"/>
      <c r="EH145" s="30"/>
      <c r="EI145" s="15"/>
      <c r="EJ145" s="30"/>
      <c r="EK145" s="15"/>
      <c r="EL145" s="30"/>
    </row>
    <row r="146" spans="1:142" s="73" customFormat="1" x14ac:dyDescent="0.2">
      <c r="A146" s="50"/>
      <c r="B146" s="53">
        <f>SUM(B131:B145)</f>
        <v>1098975.42</v>
      </c>
      <c r="C146" s="57"/>
      <c r="D146" s="31">
        <v>33713.089999999997</v>
      </c>
      <c r="E146" s="57" t="s">
        <v>99</v>
      </c>
      <c r="F146" s="53">
        <f>SUM(F131:F145)</f>
        <v>1191543.03</v>
      </c>
      <c r="G146" s="57"/>
      <c r="H146" s="63"/>
      <c r="I146" s="57"/>
      <c r="J146" s="31">
        <v>1099</v>
      </c>
      <c r="K146" s="24" t="s">
        <v>293</v>
      </c>
      <c r="L146" s="63"/>
      <c r="M146" s="57"/>
      <c r="N146" s="63"/>
      <c r="O146" s="57"/>
      <c r="P146" s="63"/>
      <c r="Q146" s="57"/>
      <c r="R146" s="63"/>
      <c r="S146" s="57"/>
      <c r="T146" s="63"/>
      <c r="U146" s="57"/>
      <c r="V146" s="63">
        <v>3250</v>
      </c>
      <c r="W146" s="57" t="s">
        <v>612</v>
      </c>
      <c r="X146" s="63"/>
      <c r="Y146" s="57"/>
      <c r="Z146" s="63"/>
      <c r="AA146" s="57"/>
      <c r="AB146" s="31">
        <v>5000</v>
      </c>
      <c r="AC146" s="86" t="s">
        <v>675</v>
      </c>
      <c r="AD146" s="63"/>
      <c r="AE146" s="57"/>
      <c r="AF146" s="63"/>
      <c r="AG146" s="57"/>
      <c r="AH146" s="63"/>
      <c r="AI146" s="57"/>
      <c r="AJ146" s="63"/>
      <c r="AK146" s="57"/>
      <c r="AL146" s="101">
        <v>4395</v>
      </c>
      <c r="AM146" s="57" t="s">
        <v>953</v>
      </c>
      <c r="AN146" s="63"/>
      <c r="AO146" s="57"/>
      <c r="AP146" s="63"/>
      <c r="AQ146" s="57"/>
      <c r="AR146" s="30">
        <v>155146.21</v>
      </c>
      <c r="AS146" s="57" t="s">
        <v>1096</v>
      </c>
      <c r="AT146" s="110">
        <v>1099.01</v>
      </c>
      <c r="AU146" s="109" t="s">
        <v>1132</v>
      </c>
      <c r="AV146" s="101">
        <v>1099</v>
      </c>
      <c r="AW146" s="57" t="s">
        <v>1199</v>
      </c>
      <c r="AX146" s="63"/>
      <c r="AY146" s="57"/>
      <c r="AZ146" s="63"/>
      <c r="BA146" s="57"/>
      <c r="BB146" s="63"/>
      <c r="BC146" s="57"/>
      <c r="BD146" s="63"/>
      <c r="BE146" s="57"/>
      <c r="BF146" s="104">
        <v>7500</v>
      </c>
      <c r="BG146" s="106" t="s">
        <v>1476</v>
      </c>
      <c r="BH146" s="63"/>
      <c r="BI146" s="57"/>
      <c r="BJ146" s="63"/>
      <c r="BK146" s="57"/>
      <c r="BL146" s="63"/>
      <c r="BM146" s="57"/>
      <c r="BN146" s="63"/>
      <c r="BO146" s="57"/>
      <c r="BP146" s="63"/>
      <c r="BQ146" s="57"/>
      <c r="BR146" s="63"/>
      <c r="BS146" s="57"/>
      <c r="BT146" s="63"/>
      <c r="BU146" s="57"/>
      <c r="BV146" s="63"/>
      <c r="BW146" s="57"/>
      <c r="BX146" s="63"/>
      <c r="BY146" s="57"/>
      <c r="BZ146" s="63"/>
      <c r="CA146" s="57"/>
      <c r="CB146" s="63"/>
      <c r="CC146" s="57"/>
      <c r="CD146" s="63"/>
      <c r="CE146" s="57"/>
      <c r="CF146" s="63"/>
      <c r="CG146" s="57"/>
      <c r="CH146" s="63"/>
      <c r="CI146" s="57"/>
      <c r="CJ146" s="63"/>
      <c r="CK146" s="57"/>
      <c r="CL146" s="63"/>
      <c r="CM146" s="57"/>
      <c r="CN146" s="63"/>
      <c r="CO146" s="57"/>
      <c r="CP146" s="63"/>
      <c r="CQ146" s="57"/>
      <c r="CR146" s="63"/>
      <c r="CS146" s="57"/>
      <c r="CT146" s="63"/>
      <c r="CU146" s="57"/>
      <c r="CV146" s="63"/>
      <c r="CW146" s="57"/>
      <c r="CX146" s="63"/>
      <c r="CY146" s="57"/>
      <c r="CZ146" s="63"/>
      <c r="DA146" s="57"/>
      <c r="DB146" s="63"/>
      <c r="DC146" s="57"/>
      <c r="DD146" s="63"/>
      <c r="DE146" s="57"/>
      <c r="DF146" s="63"/>
      <c r="DG146" s="57"/>
      <c r="DH146" s="63"/>
      <c r="DI146" s="57"/>
      <c r="DJ146" s="63"/>
      <c r="DK146" s="57"/>
      <c r="DL146" s="63"/>
      <c r="DM146" s="57"/>
      <c r="DN146" s="63"/>
      <c r="DO146" s="57"/>
      <c r="DP146" s="63"/>
      <c r="DQ146" s="57"/>
      <c r="DR146" s="63"/>
      <c r="DS146" s="57"/>
      <c r="DT146" s="63"/>
      <c r="DU146" s="57"/>
      <c r="DV146" s="63"/>
      <c r="DW146" s="57"/>
      <c r="DX146" s="63"/>
      <c r="DY146" s="57"/>
      <c r="DZ146" s="63"/>
      <c r="EA146" s="57"/>
      <c r="EB146" s="63"/>
      <c r="EC146" s="57"/>
      <c r="ED146" s="63"/>
      <c r="EE146" s="57"/>
      <c r="EF146" s="63"/>
      <c r="EG146" s="57"/>
      <c r="EH146" s="63"/>
      <c r="EI146" s="57"/>
      <c r="EJ146" s="63"/>
      <c r="EK146" s="57"/>
      <c r="EL146" s="63"/>
    </row>
    <row r="147" spans="1:142" s="72" customFormat="1" x14ac:dyDescent="0.2">
      <c r="A147" s="46"/>
      <c r="B147" s="31"/>
      <c r="C147" s="24"/>
      <c r="D147" s="31">
        <v>27919.84</v>
      </c>
      <c r="E147" s="24" t="s">
        <v>101</v>
      </c>
      <c r="F147" s="31"/>
      <c r="G147" s="24"/>
      <c r="H147" s="31"/>
      <c r="I147" s="24"/>
      <c r="J147" s="31">
        <v>4395.01</v>
      </c>
      <c r="K147" s="24" t="s">
        <v>291</v>
      </c>
      <c r="L147" s="31"/>
      <c r="M147" s="24"/>
      <c r="N147" s="31"/>
      <c r="O147" s="24"/>
      <c r="P147" s="31"/>
      <c r="Q147" s="24"/>
      <c r="R147" s="31"/>
      <c r="S147" s="24"/>
      <c r="T147" s="31"/>
      <c r="U147" s="24"/>
      <c r="V147" s="31">
        <v>10410.65</v>
      </c>
      <c r="W147" s="24" t="s">
        <v>603</v>
      </c>
      <c r="X147" s="31"/>
      <c r="Y147" s="24"/>
      <c r="Z147" s="31"/>
      <c r="AA147" s="24"/>
      <c r="AB147" s="31">
        <v>32232.11</v>
      </c>
      <c r="AC147" s="85" t="s">
        <v>676</v>
      </c>
      <c r="AD147" s="31"/>
      <c r="AE147" s="24"/>
      <c r="AF147" s="31"/>
      <c r="AG147" s="24"/>
      <c r="AH147" s="31"/>
      <c r="AI147" s="24"/>
      <c r="AJ147" s="31"/>
      <c r="AK147" s="24"/>
      <c r="AL147" s="31">
        <v>2047.04</v>
      </c>
      <c r="AM147" s="24" t="s">
        <v>955</v>
      </c>
      <c r="AN147" s="31"/>
      <c r="AO147" s="24"/>
      <c r="AP147" s="31"/>
      <c r="AQ147" s="24"/>
      <c r="AR147" s="100">
        <f>SUM(AR131:AR146)</f>
        <v>931596.89</v>
      </c>
      <c r="AS147" s="24"/>
      <c r="AT147" s="78">
        <v>1499</v>
      </c>
      <c r="AU147" s="106" t="s">
        <v>1139</v>
      </c>
      <c r="AV147" s="31">
        <v>1099</v>
      </c>
      <c r="AW147" s="24" t="s">
        <v>1212</v>
      </c>
      <c r="AX147" s="31"/>
      <c r="AY147" s="24"/>
      <c r="AZ147" s="31"/>
      <c r="BA147" s="24"/>
      <c r="BB147" s="31"/>
      <c r="BC147" s="24"/>
      <c r="BD147" s="31"/>
      <c r="BE147" s="24"/>
      <c r="BF147" s="114">
        <v>2458</v>
      </c>
      <c r="BG147" s="25" t="s">
        <v>1466</v>
      </c>
      <c r="BH147" s="31"/>
      <c r="BI147" s="24"/>
      <c r="BJ147" s="31"/>
      <c r="BK147" s="24"/>
      <c r="BL147" s="31"/>
      <c r="BM147" s="24"/>
      <c r="BN147" s="31"/>
      <c r="BO147" s="24"/>
      <c r="BP147" s="31"/>
      <c r="BQ147" s="24"/>
      <c r="BR147" s="31"/>
      <c r="BS147" s="24"/>
      <c r="BT147" s="31"/>
      <c r="BU147" s="24"/>
      <c r="BV147" s="31"/>
      <c r="BW147" s="24"/>
      <c r="BX147" s="31"/>
      <c r="BY147" s="24"/>
      <c r="BZ147" s="31"/>
      <c r="CA147" s="24"/>
      <c r="CB147" s="31"/>
      <c r="CC147" s="24"/>
      <c r="CD147" s="31"/>
      <c r="CE147" s="24"/>
      <c r="CF147" s="31"/>
      <c r="CG147" s="24"/>
      <c r="CH147" s="31"/>
      <c r="CI147" s="24"/>
      <c r="CJ147" s="31"/>
      <c r="CK147" s="24"/>
      <c r="CL147" s="31"/>
      <c r="CM147" s="24"/>
      <c r="CN147" s="31"/>
      <c r="CO147" s="24"/>
      <c r="CP147" s="31"/>
      <c r="CQ147" s="24"/>
      <c r="CR147" s="31"/>
      <c r="CS147" s="24"/>
      <c r="CT147" s="31"/>
      <c r="CU147" s="24"/>
      <c r="CV147" s="31"/>
      <c r="CW147" s="24"/>
      <c r="CX147" s="31"/>
      <c r="CY147" s="24"/>
      <c r="CZ147" s="31"/>
      <c r="DA147" s="24"/>
      <c r="DB147" s="31"/>
      <c r="DC147" s="24"/>
      <c r="DD147" s="31"/>
      <c r="DE147" s="24"/>
      <c r="DF147" s="31"/>
      <c r="DG147" s="24"/>
      <c r="DH147" s="31"/>
      <c r="DI147" s="24"/>
      <c r="DJ147" s="31"/>
      <c r="DK147" s="24"/>
      <c r="DL147" s="31"/>
      <c r="DM147" s="24"/>
      <c r="DN147" s="31"/>
      <c r="DO147" s="24"/>
      <c r="DP147" s="31"/>
      <c r="DQ147" s="24"/>
      <c r="DR147" s="31"/>
      <c r="DS147" s="24"/>
      <c r="DT147" s="31"/>
      <c r="DU147" s="24"/>
      <c r="DV147" s="31"/>
      <c r="DW147" s="24"/>
      <c r="DX147" s="31"/>
      <c r="DY147" s="24"/>
      <c r="DZ147" s="31"/>
      <c r="EA147" s="24"/>
      <c r="EB147" s="31"/>
      <c r="EC147" s="24"/>
      <c r="ED147" s="31"/>
      <c r="EE147" s="24"/>
      <c r="EF147" s="31"/>
      <c r="EG147" s="24"/>
      <c r="EH147" s="31"/>
      <c r="EI147" s="24"/>
      <c r="EJ147" s="31"/>
      <c r="EK147" s="24"/>
      <c r="EL147" s="31"/>
    </row>
    <row r="148" spans="1:142" s="72" customFormat="1" x14ac:dyDescent="0.2">
      <c r="A148" s="46"/>
      <c r="B148" s="31"/>
      <c r="C148" s="24"/>
      <c r="D148" s="31">
        <v>3354</v>
      </c>
      <c r="E148" s="24" t="s">
        <v>116</v>
      </c>
      <c r="F148" s="31"/>
      <c r="G148" s="24"/>
      <c r="H148" s="31"/>
      <c r="I148" s="24"/>
      <c r="J148" s="32">
        <v>1969.99</v>
      </c>
      <c r="K148" s="24" t="s">
        <v>292</v>
      </c>
      <c r="L148" s="31"/>
      <c r="M148" s="24"/>
      <c r="N148" s="31"/>
      <c r="O148" s="24"/>
      <c r="P148" s="31"/>
      <c r="Q148" s="24"/>
      <c r="R148" s="31"/>
      <c r="S148" s="24"/>
      <c r="T148" s="31"/>
      <c r="U148" s="24"/>
      <c r="V148" s="31">
        <v>1099.01</v>
      </c>
      <c r="W148" s="24" t="s">
        <v>622</v>
      </c>
      <c r="X148" s="31"/>
      <c r="Y148" s="24"/>
      <c r="Z148" s="31"/>
      <c r="AA148" s="24"/>
      <c r="AB148" s="31"/>
      <c r="AC148" s="24"/>
      <c r="AD148" s="31"/>
      <c r="AE148" s="24"/>
      <c r="AF148" s="31"/>
      <c r="AG148" s="24"/>
      <c r="AH148" s="31"/>
      <c r="AI148" s="24"/>
      <c r="AJ148" s="31"/>
      <c r="AK148" s="24"/>
      <c r="AL148" s="31">
        <v>1099</v>
      </c>
      <c r="AM148" s="24" t="s">
        <v>957</v>
      </c>
      <c r="AN148" s="31"/>
      <c r="AO148" s="24"/>
      <c r="AP148" s="31"/>
      <c r="AQ148" s="24"/>
      <c r="AR148" s="31"/>
      <c r="AS148" s="24"/>
      <c r="AT148" s="78">
        <v>1099</v>
      </c>
      <c r="AU148" s="106" t="s">
        <v>1140</v>
      </c>
      <c r="AV148" s="100">
        <f>SUM(AV131:AV147)</f>
        <v>1096600.3600000001</v>
      </c>
      <c r="AW148" s="24"/>
      <c r="AX148" s="31"/>
      <c r="AY148" s="24"/>
      <c r="AZ148" s="31"/>
      <c r="BA148" s="24"/>
      <c r="BB148" s="31"/>
      <c r="BC148" s="24"/>
      <c r="BD148" s="31"/>
      <c r="BE148" s="24"/>
      <c r="BF148" s="96">
        <v>10443.41</v>
      </c>
      <c r="BG148" s="108" t="s">
        <v>1471</v>
      </c>
      <c r="BH148" s="31"/>
      <c r="BI148" s="24"/>
      <c r="BJ148" s="31"/>
      <c r="BK148" s="24"/>
      <c r="BL148" s="31"/>
      <c r="BM148" s="24"/>
      <c r="BN148" s="31"/>
      <c r="BO148" s="24"/>
      <c r="BP148" s="31"/>
      <c r="BQ148" s="24"/>
      <c r="BR148" s="31"/>
      <c r="BS148" s="24"/>
      <c r="BT148" s="31"/>
      <c r="BU148" s="24"/>
      <c r="BV148" s="31"/>
      <c r="BW148" s="24"/>
      <c r="BX148" s="31"/>
      <c r="BY148" s="24"/>
      <c r="BZ148" s="31"/>
      <c r="CA148" s="24"/>
      <c r="CB148" s="31"/>
      <c r="CC148" s="24"/>
      <c r="CD148" s="31"/>
      <c r="CE148" s="24"/>
      <c r="CF148" s="31"/>
      <c r="CG148" s="24"/>
      <c r="CH148" s="31"/>
      <c r="CI148" s="24"/>
      <c r="CJ148" s="31"/>
      <c r="CK148" s="24"/>
      <c r="CL148" s="31"/>
      <c r="CM148" s="24"/>
      <c r="CN148" s="31"/>
      <c r="CO148" s="24"/>
      <c r="CP148" s="31"/>
      <c r="CQ148" s="24"/>
      <c r="CR148" s="31"/>
      <c r="CS148" s="24"/>
      <c r="CT148" s="31"/>
      <c r="CU148" s="24"/>
      <c r="CV148" s="31"/>
      <c r="CW148" s="24"/>
      <c r="CX148" s="31"/>
      <c r="CY148" s="24"/>
      <c r="CZ148" s="31"/>
      <c r="DA148" s="24"/>
      <c r="DB148" s="31"/>
      <c r="DC148" s="24"/>
      <c r="DD148" s="31"/>
      <c r="DE148" s="24"/>
      <c r="DF148" s="31"/>
      <c r="DG148" s="24"/>
      <c r="DH148" s="31"/>
      <c r="DI148" s="24"/>
      <c r="DJ148" s="31"/>
      <c r="DK148" s="24"/>
      <c r="DL148" s="31"/>
      <c r="DM148" s="24"/>
      <c r="DN148" s="31"/>
      <c r="DO148" s="24"/>
      <c r="DP148" s="31"/>
      <c r="DQ148" s="24"/>
      <c r="DR148" s="31"/>
      <c r="DS148" s="24"/>
      <c r="DT148" s="31"/>
      <c r="DU148" s="24"/>
      <c r="DV148" s="31"/>
      <c r="DW148" s="24"/>
      <c r="DX148" s="31"/>
      <c r="DY148" s="24"/>
      <c r="DZ148" s="31"/>
      <c r="EA148" s="24"/>
      <c r="EB148" s="31"/>
      <c r="EC148" s="24"/>
      <c r="ED148" s="31"/>
      <c r="EE148" s="24"/>
      <c r="EF148" s="31"/>
      <c r="EG148" s="24"/>
      <c r="EH148" s="31"/>
      <c r="EI148" s="24"/>
      <c r="EJ148" s="31"/>
      <c r="EK148" s="24"/>
      <c r="EL148" s="31"/>
    </row>
    <row r="149" spans="1:142" s="24" customFormat="1" x14ac:dyDescent="0.2">
      <c r="A149" s="46"/>
      <c r="B149" s="32">
        <f>+B146</f>
        <v>1098975.42</v>
      </c>
      <c r="D149" s="32">
        <v>3250.01</v>
      </c>
      <c r="E149" s="24" t="s">
        <v>119</v>
      </c>
      <c r="F149" s="32">
        <f>+F146</f>
        <v>1191543.03</v>
      </c>
      <c r="H149" s="32"/>
      <c r="J149" s="31">
        <v>1099</v>
      </c>
      <c r="K149" s="24" t="s">
        <v>308</v>
      </c>
      <c r="L149" s="32"/>
      <c r="N149" s="32"/>
      <c r="P149" s="32"/>
      <c r="R149" s="32"/>
      <c r="T149" s="32"/>
      <c r="V149" s="32">
        <v>1969.99</v>
      </c>
      <c r="W149" s="24" t="s">
        <v>624</v>
      </c>
      <c r="X149" s="32"/>
      <c r="Z149" s="32"/>
      <c r="AB149" s="84"/>
      <c r="AD149" s="32"/>
      <c r="AF149" s="32"/>
      <c r="AH149" s="32"/>
      <c r="AJ149" s="32"/>
      <c r="AL149" s="100">
        <f>SUM(AL131:AL148)</f>
        <v>1241222.33</v>
      </c>
      <c r="AN149" s="32"/>
      <c r="AP149" s="32"/>
      <c r="AR149" s="32"/>
      <c r="AT149" s="78">
        <v>1099.01</v>
      </c>
      <c r="AU149" s="106" t="s">
        <v>1141</v>
      </c>
      <c r="AV149" s="32"/>
      <c r="AX149" s="32"/>
      <c r="AZ149" s="32"/>
      <c r="BB149" s="32"/>
      <c r="BD149" s="32"/>
      <c r="BF149" s="104">
        <v>1494.08</v>
      </c>
      <c r="BG149" s="106" t="s">
        <v>1472</v>
      </c>
      <c r="BH149" s="32"/>
      <c r="BJ149" s="32"/>
      <c r="BL149" s="32"/>
      <c r="BN149" s="32"/>
      <c r="BP149" s="32"/>
      <c r="BR149" s="32"/>
      <c r="BT149" s="32"/>
      <c r="BV149" s="32"/>
      <c r="BX149" s="32"/>
      <c r="BZ149" s="32"/>
      <c r="CB149" s="32"/>
      <c r="CD149" s="32"/>
      <c r="CF149" s="32"/>
      <c r="CH149" s="32"/>
      <c r="CJ149" s="32"/>
      <c r="CL149" s="32"/>
      <c r="CN149" s="32"/>
      <c r="CP149" s="32"/>
      <c r="CR149" s="32"/>
      <c r="CT149" s="32"/>
      <c r="CV149" s="32"/>
      <c r="CX149" s="32"/>
      <c r="CZ149" s="32"/>
      <c r="DB149" s="32"/>
      <c r="DD149" s="32"/>
      <c r="DF149" s="32"/>
      <c r="DH149" s="32"/>
      <c r="DJ149" s="32"/>
      <c r="DL149" s="32"/>
      <c r="DN149" s="32"/>
      <c r="DP149" s="32"/>
      <c r="DR149" s="32"/>
      <c r="DT149" s="32"/>
      <c r="DV149" s="32"/>
      <c r="DX149" s="32"/>
      <c r="DZ149" s="32"/>
      <c r="EB149" s="32"/>
      <c r="ED149" s="32"/>
      <c r="EF149" s="32"/>
      <c r="EH149" s="32"/>
      <c r="EJ149" s="32"/>
      <c r="EL149" s="32"/>
    </row>
    <row r="150" spans="1:142" s="72" customFormat="1" x14ac:dyDescent="0.2">
      <c r="A150" s="46"/>
      <c r="B150" s="31">
        <v>1098975.43</v>
      </c>
      <c r="C150" s="24"/>
      <c r="D150" s="31">
        <v>1970</v>
      </c>
      <c r="E150" s="24" t="s">
        <v>113</v>
      </c>
      <c r="F150" s="31">
        <v>1191543</v>
      </c>
      <c r="G150" s="24"/>
      <c r="H150" s="31"/>
      <c r="I150" s="24"/>
      <c r="J150" s="31">
        <v>505</v>
      </c>
      <c r="K150" s="24" t="s">
        <v>301</v>
      </c>
      <c r="L150" s="31"/>
      <c r="M150" s="24"/>
      <c r="N150" s="31"/>
      <c r="O150" s="24"/>
      <c r="P150" s="31"/>
      <c r="Q150" s="24"/>
      <c r="R150" s="31"/>
      <c r="S150" s="24"/>
      <c r="T150" s="31"/>
      <c r="U150" s="24"/>
      <c r="V150" s="61">
        <f>SUM(V131:V149)</f>
        <v>999393.4</v>
      </c>
      <c r="W150" s="24"/>
      <c r="X150" s="31"/>
      <c r="Y150" s="24"/>
      <c r="Z150" s="31"/>
      <c r="AA150" s="24"/>
      <c r="AB150" s="32">
        <f>SUM(AB131:AB149)</f>
        <v>1793113.6900000002</v>
      </c>
      <c r="AC150" s="24"/>
      <c r="AD150" s="31"/>
      <c r="AE150" s="24"/>
      <c r="AF150" s="31"/>
      <c r="AG150" s="24"/>
      <c r="AH150" s="31"/>
      <c r="AI150" s="24"/>
      <c r="AJ150" s="31"/>
      <c r="AK150" s="24"/>
      <c r="AL150" s="31"/>
      <c r="AM150" s="24"/>
      <c r="AN150" s="31"/>
      <c r="AO150" s="24"/>
      <c r="AP150" s="31"/>
      <c r="AQ150" s="24"/>
      <c r="AR150" s="31"/>
      <c r="AS150" s="24"/>
      <c r="AT150" s="78">
        <v>1099</v>
      </c>
      <c r="AU150" s="106" t="s">
        <v>1142</v>
      </c>
      <c r="AV150" s="31"/>
      <c r="AW150" s="24"/>
      <c r="AX150" s="31"/>
      <c r="AY150" s="24"/>
      <c r="AZ150" s="31"/>
      <c r="BA150" s="24"/>
      <c r="BB150" s="31"/>
      <c r="BC150" s="24"/>
      <c r="BD150" s="31"/>
      <c r="BE150" s="24"/>
      <c r="BF150" s="30">
        <v>143911.51999999999</v>
      </c>
      <c r="BG150" s="106" t="s">
        <v>1475</v>
      </c>
      <c r="BH150" s="31"/>
      <c r="BI150" s="24"/>
      <c r="BJ150" s="31"/>
      <c r="BK150" s="24"/>
      <c r="BL150" s="31"/>
      <c r="BM150" s="24"/>
      <c r="BN150" s="31"/>
      <c r="BO150" s="24"/>
      <c r="BP150" s="31"/>
      <c r="BQ150" s="24"/>
      <c r="BR150" s="31"/>
      <c r="BS150" s="24"/>
      <c r="BT150" s="31"/>
      <c r="BU150" s="24"/>
      <c r="BV150" s="31"/>
      <c r="BW150" s="24"/>
      <c r="BX150" s="31"/>
      <c r="BY150" s="24"/>
      <c r="BZ150" s="31"/>
      <c r="CA150" s="24"/>
      <c r="CB150" s="31"/>
      <c r="CC150" s="24"/>
      <c r="CD150" s="31"/>
      <c r="CE150" s="24"/>
      <c r="CF150" s="31"/>
      <c r="CG150" s="24"/>
      <c r="CH150" s="31"/>
      <c r="CI150" s="24"/>
      <c r="CJ150" s="31"/>
      <c r="CK150" s="24"/>
      <c r="CL150" s="31"/>
      <c r="CM150" s="24"/>
      <c r="CN150" s="31"/>
      <c r="CO150" s="24"/>
      <c r="CP150" s="31"/>
      <c r="CQ150" s="24"/>
      <c r="CR150" s="31"/>
      <c r="CS150" s="24"/>
      <c r="CT150" s="31"/>
      <c r="CU150" s="24"/>
      <c r="CV150" s="31"/>
      <c r="CW150" s="24"/>
      <c r="CX150" s="31"/>
      <c r="CY150" s="24"/>
      <c r="CZ150" s="31"/>
      <c r="DA150" s="24"/>
      <c r="DB150" s="31"/>
      <c r="DC150" s="24"/>
      <c r="DD150" s="31"/>
      <c r="DE150" s="24"/>
      <c r="DF150" s="31"/>
      <c r="DG150" s="24"/>
      <c r="DH150" s="31"/>
      <c r="DI150" s="24"/>
      <c r="DJ150" s="31"/>
      <c r="DK150" s="24"/>
      <c r="DL150" s="31"/>
      <c r="DM150" s="24"/>
      <c r="DN150" s="31"/>
      <c r="DO150" s="24"/>
      <c r="DP150" s="31"/>
      <c r="DQ150" s="24"/>
      <c r="DR150" s="31"/>
      <c r="DS150" s="24"/>
      <c r="DT150" s="31"/>
      <c r="DU150" s="24"/>
      <c r="DV150" s="31"/>
      <c r="DW150" s="24"/>
      <c r="DX150" s="31"/>
      <c r="DY150" s="24"/>
      <c r="DZ150" s="31"/>
      <c r="EA150" s="24"/>
      <c r="EB150" s="31"/>
      <c r="EC150" s="24"/>
      <c r="ED150" s="31"/>
      <c r="EE150" s="24"/>
      <c r="EF150" s="31"/>
      <c r="EG150" s="24"/>
      <c r="EH150" s="31"/>
      <c r="EI150" s="24"/>
      <c r="EJ150" s="31"/>
      <c r="EK150" s="24"/>
      <c r="EL150" s="31"/>
    </row>
    <row r="151" spans="1:142" s="72" customFormat="1" x14ac:dyDescent="0.2">
      <c r="A151" s="46"/>
      <c r="B151" s="31">
        <f>+B149-B150</f>
        <v>-1.0000000009313226E-2</v>
      </c>
      <c r="C151" s="24"/>
      <c r="D151" s="31">
        <v>3649.01</v>
      </c>
      <c r="E151" s="24" t="s">
        <v>128</v>
      </c>
      <c r="F151" s="31">
        <f>+F149-F150</f>
        <v>3.0000000027939677E-2</v>
      </c>
      <c r="G151" s="24"/>
      <c r="H151" s="31"/>
      <c r="I151" s="24"/>
      <c r="J151" s="31">
        <v>1099.01</v>
      </c>
      <c r="K151" s="24" t="s">
        <v>268</v>
      </c>
      <c r="L151" s="31"/>
      <c r="M151" s="24"/>
      <c r="N151" s="31"/>
      <c r="O151" s="24"/>
      <c r="P151" s="31"/>
      <c r="Q151" s="24"/>
      <c r="R151" s="31"/>
      <c r="S151" s="24"/>
      <c r="T151" s="31"/>
      <c r="U151" s="24"/>
      <c r="V151" s="31"/>
      <c r="W151" s="24"/>
      <c r="X151" s="31"/>
      <c r="Y151" s="24"/>
      <c r="Z151" s="31"/>
      <c r="AA151" s="24"/>
      <c r="AB151" s="31"/>
      <c r="AC151" s="24"/>
      <c r="AD151" s="31"/>
      <c r="AE151" s="24"/>
      <c r="AF151" s="31"/>
      <c r="AG151" s="24"/>
      <c r="AH151" s="31"/>
      <c r="AI151" s="24"/>
      <c r="AJ151" s="31"/>
      <c r="AK151" s="24"/>
      <c r="AL151" s="31"/>
      <c r="AM151" s="24"/>
      <c r="AN151" s="31"/>
      <c r="AO151" s="24"/>
      <c r="AP151" s="31"/>
      <c r="AQ151" s="24"/>
      <c r="AR151" s="31"/>
      <c r="AS151" s="24"/>
      <c r="AT151" s="78">
        <v>1099.01</v>
      </c>
      <c r="AU151" s="106" t="s">
        <v>1143</v>
      </c>
      <c r="AV151" s="31"/>
      <c r="AW151" s="24"/>
      <c r="AX151" s="31"/>
      <c r="AY151" s="24"/>
      <c r="AZ151" s="31"/>
      <c r="BA151" s="24"/>
      <c r="BB151" s="31"/>
      <c r="BC151" s="24"/>
      <c r="BD151" s="31"/>
      <c r="BE151" s="24"/>
      <c r="BF151" s="115">
        <f>+SUM(BF131:BF150)</f>
        <v>1109315.0799999998</v>
      </c>
      <c r="BG151" s="24"/>
      <c r="BH151" s="31"/>
      <c r="BI151" s="24"/>
      <c r="BJ151" s="31"/>
      <c r="BK151" s="24"/>
      <c r="BL151" s="31"/>
      <c r="BM151" s="24"/>
      <c r="BN151" s="31"/>
      <c r="BO151" s="24"/>
      <c r="BP151" s="31"/>
      <c r="BQ151" s="24"/>
      <c r="BR151" s="31"/>
      <c r="BS151" s="24"/>
      <c r="BT151" s="31"/>
      <c r="BU151" s="24"/>
      <c r="BV151" s="31"/>
      <c r="BW151" s="24"/>
      <c r="BX151" s="31"/>
      <c r="BY151" s="24"/>
      <c r="BZ151" s="31"/>
      <c r="CA151" s="24"/>
      <c r="CB151" s="31"/>
      <c r="CC151" s="24"/>
      <c r="CD151" s="31"/>
      <c r="CE151" s="24"/>
      <c r="CF151" s="31"/>
      <c r="CG151" s="24"/>
      <c r="CH151" s="31"/>
      <c r="CI151" s="24"/>
      <c r="CJ151" s="31"/>
      <c r="CK151" s="24"/>
      <c r="CL151" s="31"/>
      <c r="CM151" s="24"/>
      <c r="CN151" s="31"/>
      <c r="CO151" s="24"/>
      <c r="CP151" s="31"/>
      <c r="CQ151" s="24"/>
      <c r="CR151" s="31"/>
      <c r="CS151" s="24"/>
      <c r="CT151" s="31"/>
      <c r="CU151" s="24"/>
      <c r="CV151" s="31"/>
      <c r="CW151" s="24"/>
      <c r="CX151" s="31"/>
      <c r="CY151" s="24"/>
      <c r="CZ151" s="31"/>
      <c r="DA151" s="24"/>
      <c r="DB151" s="31"/>
      <c r="DC151" s="24"/>
      <c r="DD151" s="31"/>
      <c r="DE151" s="24"/>
      <c r="DF151" s="31"/>
      <c r="DG151" s="24"/>
      <c r="DH151" s="31"/>
      <c r="DI151" s="24"/>
      <c r="DJ151" s="31"/>
      <c r="DK151" s="24"/>
      <c r="DL151" s="31"/>
      <c r="DM151" s="24"/>
      <c r="DN151" s="31"/>
      <c r="DO151" s="24"/>
      <c r="DP151" s="31"/>
      <c r="DQ151" s="24"/>
      <c r="DR151" s="31"/>
      <c r="DS151" s="24"/>
      <c r="DT151" s="31"/>
      <c r="DU151" s="24"/>
      <c r="DV151" s="31"/>
      <c r="DW151" s="24"/>
      <c r="DX151" s="31"/>
      <c r="DY151" s="24"/>
      <c r="DZ151" s="31"/>
      <c r="EA151" s="24"/>
      <c r="EB151" s="31"/>
      <c r="EC151" s="24"/>
      <c r="ED151" s="31"/>
      <c r="EE151" s="24"/>
      <c r="EF151" s="31"/>
      <c r="EG151" s="24"/>
      <c r="EH151" s="31"/>
      <c r="EI151" s="24"/>
      <c r="EJ151" s="31"/>
      <c r="EK151" s="24"/>
      <c r="EL151" s="31"/>
    </row>
    <row r="152" spans="1:142" s="72" customFormat="1" x14ac:dyDescent="0.2">
      <c r="A152" s="46"/>
      <c r="B152" s="31"/>
      <c r="C152" s="24"/>
      <c r="D152" s="31">
        <v>6650.05</v>
      </c>
      <c r="E152" s="24" t="s">
        <v>135</v>
      </c>
      <c r="F152" s="31"/>
      <c r="G152" s="24"/>
      <c r="H152" s="31"/>
      <c r="I152" s="24"/>
      <c r="J152" s="31">
        <v>1970</v>
      </c>
      <c r="K152" s="24" t="s">
        <v>304</v>
      </c>
      <c r="L152" s="31"/>
      <c r="M152" s="24"/>
      <c r="N152" s="31"/>
      <c r="O152" s="24"/>
      <c r="P152" s="31"/>
      <c r="Q152" s="24"/>
      <c r="R152" s="31"/>
      <c r="S152" s="24"/>
      <c r="T152" s="31"/>
      <c r="U152" s="24"/>
      <c r="V152" s="31"/>
      <c r="W152" s="24"/>
      <c r="X152" s="31"/>
      <c r="Y152" s="24"/>
      <c r="Z152" s="31"/>
      <c r="AA152" s="24"/>
      <c r="AB152" s="31"/>
      <c r="AC152" s="24"/>
      <c r="AD152" s="31"/>
      <c r="AE152" s="24"/>
      <c r="AF152" s="31"/>
      <c r="AG152" s="24"/>
      <c r="AH152" s="31"/>
      <c r="AI152" s="24"/>
      <c r="AJ152" s="31"/>
      <c r="AK152" s="24"/>
      <c r="AL152" s="31"/>
      <c r="AM152" s="24"/>
      <c r="AN152" s="31"/>
      <c r="AO152" s="24"/>
      <c r="AP152" s="31"/>
      <c r="AQ152" s="24"/>
      <c r="AR152" s="31"/>
      <c r="AS152" s="24"/>
      <c r="AT152" s="78">
        <v>1099.01</v>
      </c>
      <c r="AU152" s="106" t="s">
        <v>1144</v>
      </c>
      <c r="AV152" s="31"/>
      <c r="AW152" s="24"/>
      <c r="AX152" s="31"/>
      <c r="AY152" s="24"/>
      <c r="AZ152" s="31"/>
      <c r="BA152" s="24"/>
      <c r="BB152" s="31"/>
      <c r="BC152" s="24"/>
      <c r="BD152" s="31"/>
      <c r="BE152" s="24"/>
      <c r="BF152" s="116"/>
      <c r="BG152" s="24"/>
      <c r="BH152" s="31"/>
      <c r="BI152" s="24"/>
      <c r="BJ152" s="31"/>
      <c r="BK152" s="24"/>
      <c r="BL152" s="31"/>
      <c r="BM152" s="24"/>
      <c r="BN152" s="31"/>
      <c r="BO152" s="24"/>
      <c r="BP152" s="31"/>
      <c r="BQ152" s="24"/>
      <c r="BR152" s="31"/>
      <c r="BS152" s="24"/>
      <c r="BT152" s="31"/>
      <c r="BU152" s="24"/>
      <c r="BV152" s="31"/>
      <c r="BW152" s="24"/>
      <c r="BX152" s="31"/>
      <c r="BY152" s="24"/>
      <c r="BZ152" s="31"/>
      <c r="CA152" s="24"/>
      <c r="CB152" s="31"/>
      <c r="CC152" s="24"/>
      <c r="CD152" s="31"/>
      <c r="CE152" s="24"/>
      <c r="CF152" s="31"/>
      <c r="CG152" s="24"/>
      <c r="CH152" s="31"/>
      <c r="CI152" s="24"/>
      <c r="CJ152" s="31"/>
      <c r="CK152" s="24"/>
      <c r="CL152" s="31"/>
      <c r="CM152" s="24"/>
      <c r="CN152" s="31"/>
      <c r="CO152" s="24"/>
      <c r="CP152" s="31"/>
      <c r="CQ152" s="24"/>
      <c r="CR152" s="31"/>
      <c r="CS152" s="24"/>
      <c r="CT152" s="31"/>
      <c r="CU152" s="24"/>
      <c r="CV152" s="31"/>
      <c r="CW152" s="24"/>
      <c r="CX152" s="31"/>
      <c r="CY152" s="24"/>
      <c r="CZ152" s="31"/>
      <c r="DA152" s="24"/>
      <c r="DB152" s="31"/>
      <c r="DC152" s="24"/>
      <c r="DD152" s="31"/>
      <c r="DE152" s="24"/>
      <c r="DF152" s="31"/>
      <c r="DG152" s="24"/>
      <c r="DH152" s="31"/>
      <c r="DI152" s="24"/>
      <c r="DJ152" s="31"/>
      <c r="DK152" s="24"/>
      <c r="DL152" s="31"/>
      <c r="DM152" s="24"/>
      <c r="DN152" s="31"/>
      <c r="DO152" s="24"/>
      <c r="DP152" s="31"/>
      <c r="DQ152" s="24"/>
      <c r="DR152" s="31"/>
      <c r="DS152" s="24"/>
      <c r="DT152" s="31"/>
      <c r="DU152" s="24"/>
      <c r="DV152" s="31"/>
      <c r="DW152" s="24"/>
      <c r="DX152" s="31"/>
      <c r="DY152" s="24"/>
      <c r="DZ152" s="31"/>
      <c r="EA152" s="24"/>
      <c r="EB152" s="31"/>
      <c r="EC152" s="24"/>
      <c r="ED152" s="31"/>
      <c r="EE152" s="24"/>
      <c r="EF152" s="31"/>
      <c r="EG152" s="24"/>
      <c r="EH152" s="31"/>
      <c r="EI152" s="24"/>
      <c r="EJ152" s="31"/>
      <c r="EK152" s="24"/>
      <c r="EL152" s="31"/>
    </row>
    <row r="153" spans="1:142" s="72" customFormat="1" x14ac:dyDescent="0.2">
      <c r="A153" s="46"/>
      <c r="B153" s="31"/>
      <c r="C153" s="24"/>
      <c r="D153" s="31">
        <v>4395.01</v>
      </c>
      <c r="E153" s="24" t="s">
        <v>136</v>
      </c>
      <c r="F153" s="31"/>
      <c r="G153" s="24"/>
      <c r="H153" s="31"/>
      <c r="I153" s="24"/>
      <c r="J153" s="77">
        <f>SUM(J131:J152)</f>
        <v>566039.65</v>
      </c>
      <c r="L153" s="31"/>
      <c r="M153" s="24"/>
      <c r="N153" s="31"/>
      <c r="O153" s="24"/>
      <c r="P153" s="31"/>
      <c r="Q153" s="24"/>
      <c r="R153" s="31"/>
      <c r="S153" s="24"/>
      <c r="T153" s="31"/>
      <c r="U153" s="24"/>
      <c r="V153" s="31"/>
      <c r="W153" s="24"/>
      <c r="X153" s="31"/>
      <c r="Y153" s="24"/>
      <c r="Z153" s="31"/>
      <c r="AA153" s="24"/>
      <c r="AB153" s="31"/>
      <c r="AC153" s="24"/>
      <c r="AD153" s="31"/>
      <c r="AE153" s="24"/>
      <c r="AF153" s="31"/>
      <c r="AG153" s="24"/>
      <c r="AH153" s="31"/>
      <c r="AI153" s="24"/>
      <c r="AJ153" s="31"/>
      <c r="AK153" s="24"/>
      <c r="AL153" s="31"/>
      <c r="AM153" s="24"/>
      <c r="AN153" s="31"/>
      <c r="AO153" s="24"/>
      <c r="AP153" s="31"/>
      <c r="AQ153" s="24"/>
      <c r="AR153" s="31"/>
      <c r="AS153" s="24"/>
      <c r="AT153" s="78">
        <v>1556.09</v>
      </c>
      <c r="AU153" s="106" t="s">
        <v>1155</v>
      </c>
      <c r="AV153" s="31"/>
      <c r="AW153" s="24"/>
      <c r="AX153" s="31"/>
      <c r="AY153" s="24"/>
      <c r="AZ153" s="31"/>
      <c r="BA153" s="24"/>
      <c r="BB153" s="31"/>
      <c r="BC153" s="24"/>
      <c r="BD153" s="31"/>
      <c r="BE153" s="24"/>
      <c r="BF153" s="31"/>
      <c r="BG153" s="24"/>
      <c r="BH153" s="31"/>
      <c r="BI153" s="24"/>
      <c r="BJ153" s="31"/>
      <c r="BK153" s="24"/>
      <c r="BL153" s="31"/>
      <c r="BM153" s="24"/>
      <c r="BN153" s="31"/>
      <c r="BO153" s="24"/>
      <c r="BP153" s="31"/>
      <c r="BQ153" s="24"/>
      <c r="BR153" s="31"/>
      <c r="BS153" s="24"/>
      <c r="BT153" s="31"/>
      <c r="BU153" s="24"/>
      <c r="BV153" s="31"/>
      <c r="BW153" s="24"/>
      <c r="BX153" s="31"/>
      <c r="BY153" s="24"/>
      <c r="BZ153" s="31"/>
      <c r="CA153" s="24"/>
      <c r="CB153" s="31"/>
      <c r="CC153" s="24"/>
      <c r="CD153" s="31"/>
      <c r="CE153" s="24"/>
      <c r="CF153" s="31"/>
      <c r="CG153" s="24"/>
      <c r="CH153" s="31"/>
      <c r="CI153" s="24"/>
      <c r="CJ153" s="31"/>
      <c r="CK153" s="24"/>
      <c r="CL153" s="31"/>
      <c r="CM153" s="24"/>
      <c r="CN153" s="31"/>
      <c r="CO153" s="24"/>
      <c r="CP153" s="31"/>
      <c r="CQ153" s="24"/>
      <c r="CR153" s="31"/>
      <c r="CS153" s="24"/>
      <c r="CT153" s="31"/>
      <c r="CU153" s="24"/>
      <c r="CV153" s="31"/>
      <c r="CW153" s="24"/>
      <c r="CX153" s="31"/>
      <c r="CY153" s="24"/>
      <c r="CZ153" s="31"/>
      <c r="DA153" s="24"/>
      <c r="DB153" s="31"/>
      <c r="DC153" s="24"/>
      <c r="DD153" s="31"/>
      <c r="DE153" s="24"/>
      <c r="DF153" s="31"/>
      <c r="DG153" s="24"/>
      <c r="DH153" s="31"/>
      <c r="DI153" s="24"/>
      <c r="DJ153" s="31"/>
      <c r="DK153" s="24"/>
      <c r="DL153" s="31"/>
      <c r="DM153" s="24"/>
      <c r="DN153" s="31"/>
      <c r="DO153" s="24"/>
      <c r="DP153" s="31"/>
      <c r="DQ153" s="24"/>
      <c r="DR153" s="31"/>
      <c r="DS153" s="24"/>
      <c r="DT153" s="31"/>
      <c r="DU153" s="24"/>
      <c r="DV153" s="31"/>
      <c r="DW153" s="24"/>
      <c r="DX153" s="31"/>
      <c r="DY153" s="24"/>
      <c r="DZ153" s="31"/>
      <c r="EA153" s="24"/>
      <c r="EB153" s="31"/>
      <c r="EC153" s="24"/>
      <c r="ED153" s="31"/>
      <c r="EE153" s="24"/>
      <c r="EF153" s="31"/>
      <c r="EG153" s="24"/>
      <c r="EH153" s="31"/>
      <c r="EI153" s="24"/>
      <c r="EJ153" s="31"/>
      <c r="EK153" s="24"/>
      <c r="EL153" s="31"/>
    </row>
    <row r="154" spans="1:142" s="54" customFormat="1" x14ac:dyDescent="0.2">
      <c r="A154" s="46"/>
      <c r="B154" s="34"/>
      <c r="D154" s="61">
        <f>SUM(D131:D153)</f>
        <v>2105128.0699999998</v>
      </c>
      <c r="F154" s="34"/>
      <c r="H154" s="34"/>
      <c r="J154" s="31"/>
      <c r="L154" s="34"/>
      <c r="N154" s="34"/>
      <c r="P154" s="34"/>
      <c r="R154" s="34"/>
      <c r="T154" s="34"/>
      <c r="V154" s="34"/>
      <c r="X154" s="34"/>
      <c r="Z154" s="34"/>
      <c r="AB154" s="34"/>
      <c r="AD154" s="34"/>
      <c r="AF154" s="34"/>
      <c r="AH154" s="34"/>
      <c r="AJ154" s="34"/>
      <c r="AL154" s="34"/>
      <c r="AN154" s="34"/>
      <c r="AP154" s="34"/>
      <c r="AR154" s="34"/>
      <c r="AT154" s="78">
        <v>1508.91</v>
      </c>
      <c r="AU154" s="106" t="s">
        <v>1156</v>
      </c>
      <c r="AV154" s="34"/>
      <c r="AX154" s="34"/>
      <c r="AZ154" s="34"/>
      <c r="BB154" s="34"/>
      <c r="BD154" s="34"/>
      <c r="BF154" s="34"/>
      <c r="BH154" s="34"/>
      <c r="BJ154" s="34"/>
      <c r="BL154" s="34"/>
      <c r="BN154" s="34"/>
      <c r="BP154" s="34"/>
      <c r="BR154" s="34"/>
      <c r="BT154" s="34"/>
      <c r="BV154" s="34"/>
      <c r="BX154" s="34"/>
      <c r="BZ154" s="34"/>
      <c r="CB154" s="34"/>
      <c r="CD154" s="34"/>
      <c r="CF154" s="34"/>
      <c r="CH154" s="34"/>
      <c r="CJ154" s="34"/>
      <c r="CL154" s="34"/>
      <c r="CN154" s="34"/>
      <c r="CP154" s="34"/>
      <c r="CR154" s="34"/>
      <c r="CT154" s="34"/>
      <c r="CV154" s="34"/>
      <c r="CX154" s="34"/>
      <c r="CZ154" s="34"/>
      <c r="DB154" s="34"/>
      <c r="DD154" s="34"/>
      <c r="DF154" s="34"/>
      <c r="DH154" s="34"/>
      <c r="DJ154" s="34"/>
      <c r="DL154" s="34"/>
      <c r="DN154" s="34"/>
      <c r="DP154" s="34"/>
      <c r="DR154" s="34"/>
      <c r="DT154" s="34"/>
      <c r="DV154" s="34"/>
      <c r="DX154" s="34"/>
      <c r="DZ154" s="34"/>
      <c r="EB154" s="34"/>
      <c r="ED154" s="34"/>
      <c r="EF154" s="34"/>
      <c r="EH154" s="34"/>
      <c r="EJ154" s="34"/>
      <c r="EL154" s="34"/>
    </row>
    <row r="155" spans="1:142" s="72" customFormat="1" x14ac:dyDescent="0.2">
      <c r="A155" s="46"/>
      <c r="B155" s="31"/>
      <c r="C155" s="24"/>
      <c r="D155" s="31"/>
      <c r="E155" s="24"/>
      <c r="F155" s="31"/>
      <c r="G155" s="24"/>
      <c r="H155" s="31"/>
      <c r="I155" s="24"/>
      <c r="J155" s="31"/>
      <c r="K155" s="24"/>
      <c r="L155" s="31"/>
      <c r="M155" s="24"/>
      <c r="N155" s="31"/>
      <c r="O155" s="24"/>
      <c r="P155" s="31"/>
      <c r="Q155" s="24"/>
      <c r="R155" s="31"/>
      <c r="S155" s="24"/>
      <c r="T155" s="31"/>
      <c r="U155" s="24"/>
      <c r="V155" s="31"/>
      <c r="W155" s="24"/>
      <c r="X155" s="31"/>
      <c r="Y155" s="24"/>
      <c r="Z155" s="31"/>
      <c r="AA155" s="24"/>
      <c r="AB155" s="31"/>
      <c r="AC155" s="24"/>
      <c r="AD155" s="31"/>
      <c r="AE155" s="24"/>
      <c r="AF155" s="31"/>
      <c r="AG155" s="24"/>
      <c r="AH155" s="31"/>
      <c r="AI155" s="24"/>
      <c r="AJ155" s="31"/>
      <c r="AK155" s="24"/>
      <c r="AL155" s="31"/>
      <c r="AM155" s="24"/>
      <c r="AN155" s="31"/>
      <c r="AO155" s="24"/>
      <c r="AP155" s="31"/>
      <c r="AQ155" s="24"/>
      <c r="AR155" s="31"/>
      <c r="AS155" s="24"/>
      <c r="AT155" s="78">
        <v>118</v>
      </c>
      <c r="AU155" s="106" t="s">
        <v>1157</v>
      </c>
      <c r="AV155" s="31"/>
      <c r="AW155" s="24"/>
      <c r="AX155" s="31"/>
      <c r="AY155" s="24"/>
      <c r="AZ155" s="31"/>
      <c r="BA155" s="24"/>
      <c r="BB155" s="31"/>
      <c r="BC155" s="24"/>
      <c r="BD155" s="31"/>
      <c r="BE155" s="24"/>
      <c r="BF155" s="31"/>
      <c r="BG155" s="24"/>
      <c r="BH155" s="31"/>
      <c r="BI155" s="24"/>
      <c r="BJ155" s="31"/>
      <c r="BK155" s="24"/>
      <c r="BL155" s="31"/>
      <c r="BM155" s="24"/>
      <c r="BN155" s="31"/>
      <c r="BO155" s="24"/>
      <c r="BP155" s="31"/>
      <c r="BQ155" s="24"/>
      <c r="BR155" s="31"/>
      <c r="BS155" s="24"/>
      <c r="BT155" s="31"/>
      <c r="BU155" s="24"/>
      <c r="BV155" s="31"/>
      <c r="BW155" s="24"/>
      <c r="BX155" s="31"/>
      <c r="BY155" s="24"/>
      <c r="BZ155" s="31"/>
      <c r="CA155" s="24"/>
      <c r="CB155" s="31"/>
      <c r="CC155" s="24"/>
      <c r="CD155" s="31"/>
      <c r="CE155" s="24"/>
      <c r="CF155" s="31"/>
      <c r="CG155" s="24"/>
      <c r="CH155" s="31"/>
      <c r="CI155" s="24"/>
      <c r="CJ155" s="31"/>
      <c r="CK155" s="24"/>
      <c r="CL155" s="31"/>
      <c r="CM155" s="24"/>
      <c r="CN155" s="31"/>
      <c r="CO155" s="24"/>
      <c r="CP155" s="31"/>
      <c r="CQ155" s="24"/>
      <c r="CR155" s="31"/>
      <c r="CS155" s="24"/>
      <c r="CT155" s="31"/>
      <c r="CU155" s="24"/>
      <c r="CV155" s="31"/>
      <c r="CW155" s="24"/>
      <c r="CX155" s="31"/>
      <c r="CY155" s="24"/>
      <c r="CZ155" s="31"/>
      <c r="DA155" s="24"/>
      <c r="DB155" s="31"/>
      <c r="DC155" s="24"/>
      <c r="DD155" s="31"/>
      <c r="DE155" s="24"/>
      <c r="DF155" s="31"/>
      <c r="DG155" s="24"/>
      <c r="DH155" s="31"/>
      <c r="DI155" s="24"/>
      <c r="DJ155" s="31"/>
      <c r="DK155" s="24"/>
      <c r="DL155" s="31"/>
      <c r="DM155" s="24"/>
      <c r="DN155" s="31"/>
      <c r="DO155" s="24"/>
      <c r="DP155" s="31"/>
      <c r="DQ155" s="24"/>
      <c r="DR155" s="31"/>
      <c r="DS155" s="24"/>
      <c r="DT155" s="31"/>
      <c r="DU155" s="24"/>
      <c r="DV155" s="31"/>
      <c r="DW155" s="24"/>
      <c r="DX155" s="31"/>
      <c r="DY155" s="24"/>
      <c r="DZ155" s="31"/>
      <c r="EA155" s="24"/>
      <c r="EB155" s="31"/>
      <c r="EC155" s="24"/>
      <c r="ED155" s="31"/>
      <c r="EE155" s="24"/>
      <c r="EF155" s="31"/>
      <c r="EG155" s="24"/>
      <c r="EH155" s="31"/>
      <c r="EI155" s="24"/>
      <c r="EJ155" s="31"/>
      <c r="EK155" s="24"/>
      <c r="EL155" s="31"/>
    </row>
    <row r="156" spans="1:142" s="72" customFormat="1" x14ac:dyDescent="0.2">
      <c r="A156" s="46"/>
      <c r="B156" s="31"/>
      <c r="C156" s="24"/>
      <c r="D156" s="31"/>
      <c r="E156" s="24"/>
      <c r="F156" s="31"/>
      <c r="G156" s="24"/>
      <c r="H156" s="31"/>
      <c r="I156" s="24"/>
      <c r="J156" s="31">
        <f>+J153</f>
        <v>566039.65</v>
      </c>
      <c r="K156" s="24"/>
      <c r="L156" s="31"/>
      <c r="M156" s="24"/>
      <c r="N156" s="31"/>
      <c r="O156" s="24"/>
      <c r="P156" s="31"/>
      <c r="Q156" s="24"/>
      <c r="R156" s="31"/>
      <c r="S156" s="24"/>
      <c r="T156" s="31"/>
      <c r="U156" s="24"/>
      <c r="V156" s="31"/>
      <c r="W156" s="24"/>
      <c r="X156" s="31"/>
      <c r="Y156" s="24"/>
      <c r="Z156" s="31"/>
      <c r="AA156" s="24"/>
      <c r="AB156" s="31"/>
      <c r="AC156" s="24"/>
      <c r="AD156" s="31"/>
      <c r="AE156" s="24"/>
      <c r="AF156" s="31"/>
      <c r="AG156" s="24"/>
      <c r="AH156" s="31"/>
      <c r="AI156" s="24"/>
      <c r="AJ156" s="31"/>
      <c r="AK156" s="24"/>
      <c r="AL156" s="31"/>
      <c r="AM156" s="24"/>
      <c r="AN156" s="31"/>
      <c r="AO156" s="24"/>
      <c r="AP156" s="31"/>
      <c r="AQ156" s="24"/>
      <c r="AR156" s="31"/>
      <c r="AS156" s="24"/>
      <c r="AT156" s="100">
        <f>SUM(AT131:AT155)</f>
        <v>1806800.15</v>
      </c>
      <c r="AU156" s="24"/>
      <c r="AV156" s="31"/>
      <c r="AW156" s="24"/>
      <c r="AX156" s="31"/>
      <c r="AY156" s="24"/>
      <c r="AZ156" s="31"/>
      <c r="BA156" s="24"/>
      <c r="BB156" s="31"/>
      <c r="BC156" s="24"/>
      <c r="BD156" s="31"/>
      <c r="BE156" s="24"/>
      <c r="BF156" s="31"/>
      <c r="BG156" s="24"/>
      <c r="BH156" s="31"/>
      <c r="BI156" s="24"/>
      <c r="BJ156" s="31"/>
      <c r="BK156" s="24"/>
      <c r="BL156" s="31"/>
      <c r="BM156" s="24"/>
      <c r="BN156" s="31"/>
      <c r="BO156" s="24"/>
      <c r="BP156" s="31"/>
      <c r="BQ156" s="24"/>
      <c r="BR156" s="31"/>
      <c r="BS156" s="24"/>
      <c r="BT156" s="31"/>
      <c r="BU156" s="24"/>
      <c r="BV156" s="31"/>
      <c r="BW156" s="24"/>
      <c r="BX156" s="31"/>
      <c r="BY156" s="24"/>
      <c r="BZ156" s="31"/>
      <c r="CA156" s="24"/>
      <c r="CB156" s="31"/>
      <c r="CC156" s="24"/>
      <c r="CD156" s="31"/>
      <c r="CE156" s="24"/>
      <c r="CF156" s="31"/>
      <c r="CG156" s="24"/>
      <c r="CH156" s="31"/>
      <c r="CI156" s="24"/>
      <c r="CJ156" s="31"/>
      <c r="CK156" s="24"/>
      <c r="CL156" s="31"/>
      <c r="CM156" s="24"/>
      <c r="CN156" s="31"/>
      <c r="CO156" s="24"/>
      <c r="CP156" s="31"/>
      <c r="CQ156" s="24"/>
      <c r="CR156" s="31"/>
      <c r="CS156" s="24"/>
      <c r="CT156" s="31"/>
      <c r="CU156" s="24"/>
      <c r="CV156" s="31"/>
      <c r="CW156" s="24"/>
      <c r="CX156" s="31"/>
      <c r="CY156" s="24"/>
      <c r="CZ156" s="31"/>
      <c r="DA156" s="24"/>
      <c r="DB156" s="31"/>
      <c r="DC156" s="24"/>
      <c r="DD156" s="31"/>
      <c r="DE156" s="24"/>
      <c r="DF156" s="31"/>
      <c r="DG156" s="24"/>
      <c r="DH156" s="31"/>
      <c r="DI156" s="24"/>
      <c r="DJ156" s="31"/>
      <c r="DK156" s="24"/>
      <c r="DL156" s="31"/>
      <c r="DM156" s="24"/>
      <c r="DN156" s="31"/>
      <c r="DO156" s="24"/>
      <c r="DP156" s="31"/>
      <c r="DQ156" s="24"/>
      <c r="DR156" s="31"/>
      <c r="DS156" s="24"/>
      <c r="DT156" s="31"/>
      <c r="DU156" s="24"/>
      <c r="DV156" s="31"/>
      <c r="DW156" s="24"/>
      <c r="DX156" s="31"/>
      <c r="DY156" s="24"/>
      <c r="DZ156" s="31"/>
      <c r="EA156" s="24"/>
      <c r="EB156" s="31"/>
      <c r="EC156" s="24"/>
      <c r="ED156" s="31"/>
      <c r="EE156" s="24"/>
      <c r="EF156" s="31"/>
      <c r="EG156" s="24"/>
      <c r="EH156" s="31"/>
      <c r="EI156" s="24"/>
      <c r="EJ156" s="31"/>
      <c r="EK156" s="24"/>
      <c r="EL156" s="31"/>
    </row>
    <row r="157" spans="1:142" s="72" customFormat="1" x14ac:dyDescent="0.2">
      <c r="A157" s="46"/>
      <c r="B157" s="31"/>
      <c r="C157" s="24"/>
      <c r="D157" s="31">
        <f>+D154</f>
        <v>2105128.0699999998</v>
      </c>
      <c r="E157" s="24"/>
      <c r="F157" s="31"/>
      <c r="G157" s="24"/>
      <c r="H157" s="31"/>
      <c r="I157" s="24"/>
      <c r="J157" s="78">
        <v>353040.63</v>
      </c>
      <c r="K157" s="24"/>
      <c r="L157" s="31"/>
      <c r="M157" s="24"/>
      <c r="N157" s="31"/>
      <c r="O157" s="24"/>
      <c r="P157" s="31"/>
      <c r="Q157" s="24"/>
      <c r="R157" s="31"/>
      <c r="S157" s="24"/>
      <c r="T157" s="31"/>
      <c r="U157" s="24"/>
      <c r="V157" s="31"/>
      <c r="W157" s="24"/>
      <c r="X157" s="31"/>
      <c r="Y157" s="24"/>
      <c r="Z157" s="31"/>
      <c r="AA157" s="24"/>
      <c r="AB157" s="31"/>
      <c r="AC157" s="24"/>
      <c r="AD157" s="31"/>
      <c r="AE157" s="24"/>
      <c r="AF157" s="31"/>
      <c r="AG157" s="24"/>
      <c r="AH157" s="31"/>
      <c r="AI157" s="24"/>
      <c r="AJ157" s="31"/>
      <c r="AK157" s="24"/>
      <c r="AL157" s="31"/>
      <c r="AM157" s="24"/>
      <c r="AN157" s="31"/>
      <c r="AO157" s="24"/>
      <c r="AP157" s="31"/>
      <c r="AQ157" s="24"/>
      <c r="AR157" s="31"/>
      <c r="AS157" s="24"/>
      <c r="AT157" s="100"/>
      <c r="AU157" s="24"/>
      <c r="AV157" s="31"/>
      <c r="AW157" s="24"/>
      <c r="AX157" s="31"/>
      <c r="AY157" s="24"/>
      <c r="AZ157" s="31"/>
      <c r="BA157" s="24"/>
      <c r="BB157" s="31"/>
      <c r="BC157" s="24"/>
      <c r="BD157" s="31"/>
      <c r="BE157" s="24"/>
      <c r="BF157" s="31"/>
      <c r="BG157" s="24"/>
      <c r="BH157" s="31"/>
      <c r="BI157" s="24"/>
      <c r="BJ157" s="31"/>
      <c r="BK157" s="24"/>
      <c r="BL157" s="31"/>
      <c r="BM157" s="24"/>
      <c r="BN157" s="31"/>
      <c r="BO157" s="24"/>
      <c r="BP157" s="31"/>
      <c r="BQ157" s="24"/>
      <c r="BR157" s="31"/>
      <c r="BS157" s="24"/>
      <c r="BT157" s="31"/>
      <c r="BU157" s="24"/>
      <c r="BV157" s="31"/>
      <c r="BW157" s="24"/>
      <c r="BX157" s="31"/>
      <c r="BY157" s="24"/>
      <c r="BZ157" s="31"/>
      <c r="CA157" s="24"/>
      <c r="CB157" s="31"/>
      <c r="CC157" s="24"/>
      <c r="CD157" s="31"/>
      <c r="CE157" s="24"/>
      <c r="CF157" s="31"/>
      <c r="CG157" s="24"/>
      <c r="CH157" s="31"/>
      <c r="CI157" s="24"/>
      <c r="CJ157" s="31"/>
      <c r="CK157" s="24"/>
      <c r="CL157" s="31"/>
      <c r="CM157" s="24"/>
      <c r="CN157" s="31"/>
      <c r="CO157" s="24"/>
      <c r="CP157" s="31"/>
      <c r="CQ157" s="24"/>
      <c r="CR157" s="31"/>
      <c r="CS157" s="24"/>
      <c r="CT157" s="31"/>
      <c r="CU157" s="24"/>
      <c r="CV157" s="31"/>
      <c r="CW157" s="24"/>
      <c r="CX157" s="31"/>
      <c r="CY157" s="24"/>
      <c r="CZ157" s="31"/>
      <c r="DA157" s="24"/>
      <c r="DB157" s="31"/>
      <c r="DC157" s="24"/>
      <c r="DD157" s="31"/>
      <c r="DE157" s="24"/>
      <c r="DF157" s="31"/>
      <c r="DG157" s="24"/>
      <c r="DH157" s="31"/>
      <c r="DI157" s="24"/>
      <c r="DJ157" s="31"/>
      <c r="DK157" s="24"/>
      <c r="DL157" s="31"/>
      <c r="DM157" s="24"/>
      <c r="DN157" s="31"/>
      <c r="DO157" s="24"/>
      <c r="DP157" s="31"/>
      <c r="DQ157" s="24"/>
      <c r="DR157" s="31"/>
      <c r="DS157" s="24"/>
      <c r="DT157" s="31"/>
      <c r="DU157" s="24"/>
      <c r="DV157" s="31"/>
      <c r="DW157" s="24"/>
      <c r="DX157" s="31"/>
      <c r="DY157" s="24"/>
      <c r="DZ157" s="31"/>
      <c r="EA157" s="24"/>
      <c r="EB157" s="31"/>
      <c r="EC157" s="24"/>
      <c r="ED157" s="31"/>
      <c r="EE157" s="24"/>
      <c r="EF157" s="31"/>
      <c r="EG157" s="24"/>
      <c r="EH157" s="31"/>
      <c r="EI157" s="24"/>
      <c r="EJ157" s="31"/>
      <c r="EK157" s="24"/>
      <c r="EL157" s="31"/>
    </row>
    <row r="158" spans="1:142" s="74" customFormat="1" x14ac:dyDescent="0.2">
      <c r="A158" s="46"/>
      <c r="B158" s="35"/>
      <c r="C158" s="58"/>
      <c r="D158" s="31">
        <v>1861974.45</v>
      </c>
      <c r="E158" s="58"/>
      <c r="F158" s="35"/>
      <c r="G158" s="58"/>
      <c r="H158" s="35"/>
      <c r="I158" s="58"/>
      <c r="J158" s="33">
        <f>+J156-J157</f>
        <v>212999.02000000002</v>
      </c>
      <c r="K158" s="58"/>
      <c r="L158" s="35"/>
      <c r="M158" s="58"/>
      <c r="N158" s="35"/>
      <c r="O158" s="58"/>
      <c r="P158" s="35"/>
      <c r="Q158" s="58"/>
      <c r="R158" s="35"/>
      <c r="S158" s="58"/>
      <c r="T158" s="35"/>
      <c r="U158" s="58"/>
      <c r="V158" s="35"/>
      <c r="W158" s="58"/>
      <c r="X158" s="35"/>
      <c r="Y158" s="58"/>
      <c r="Z158" s="35"/>
      <c r="AA158" s="58"/>
      <c r="AB158" s="35"/>
      <c r="AC158" s="58"/>
      <c r="AD158" s="35"/>
      <c r="AE158" s="58"/>
      <c r="AF158" s="35"/>
      <c r="AG158" s="58"/>
      <c r="AH158" s="35"/>
      <c r="AI158" s="58"/>
      <c r="AJ158" s="35"/>
      <c r="AK158" s="58"/>
      <c r="AL158" s="35"/>
      <c r="AM158" s="58"/>
      <c r="AN158" s="35"/>
      <c r="AO158" s="58"/>
      <c r="AP158" s="35"/>
      <c r="AQ158" s="58"/>
      <c r="AR158" s="35"/>
      <c r="AS158" s="58"/>
      <c r="AT158" s="35"/>
      <c r="AU158" s="58"/>
      <c r="AV158" s="35"/>
      <c r="AW158" s="58"/>
      <c r="AX158" s="35"/>
      <c r="AY158" s="58"/>
      <c r="AZ158" s="35"/>
      <c r="BA158" s="58"/>
      <c r="BB158" s="35"/>
      <c r="BC158" s="58"/>
      <c r="BD158" s="35"/>
      <c r="BE158" s="58"/>
      <c r="BF158" s="35"/>
      <c r="BG158" s="58"/>
      <c r="BH158" s="35"/>
      <c r="BI158" s="58"/>
      <c r="BJ158" s="35"/>
      <c r="BK158" s="58"/>
      <c r="BL158" s="35"/>
      <c r="BM158" s="58"/>
      <c r="BN158" s="35"/>
      <c r="BO158" s="58"/>
      <c r="BP158" s="35"/>
      <c r="BQ158" s="58"/>
      <c r="BR158" s="35"/>
      <c r="BS158" s="58"/>
      <c r="BT158" s="35"/>
      <c r="BU158" s="58"/>
      <c r="BV158" s="35"/>
      <c r="BW158" s="58"/>
      <c r="BX158" s="35"/>
      <c r="BY158" s="58"/>
      <c r="BZ158" s="35"/>
      <c r="CA158" s="58"/>
      <c r="CB158" s="35"/>
      <c r="CC158" s="58"/>
      <c r="CD158" s="35"/>
      <c r="CE158" s="58"/>
      <c r="CF158" s="35"/>
      <c r="CG158" s="58"/>
      <c r="CH158" s="35"/>
      <c r="CI158" s="58"/>
      <c r="CJ158" s="35"/>
      <c r="CK158" s="58"/>
      <c r="CL158" s="35"/>
      <c r="CM158" s="58"/>
      <c r="CN158" s="35"/>
      <c r="CO158" s="58"/>
      <c r="CP158" s="35"/>
      <c r="CQ158" s="58"/>
      <c r="CR158" s="35"/>
      <c r="CS158" s="58"/>
      <c r="CT158" s="35"/>
      <c r="CU158" s="58"/>
      <c r="CV158" s="35"/>
      <c r="CW158" s="58"/>
      <c r="CX158" s="35"/>
      <c r="CY158" s="58"/>
      <c r="CZ158" s="35"/>
      <c r="DA158" s="58"/>
      <c r="DB158" s="35"/>
      <c r="DC158" s="58"/>
      <c r="DD158" s="35"/>
      <c r="DE158" s="58"/>
      <c r="DF158" s="35"/>
      <c r="DG158" s="58"/>
      <c r="DH158" s="35"/>
      <c r="DI158" s="58"/>
      <c r="DJ158" s="35"/>
      <c r="DK158" s="58"/>
      <c r="DL158" s="35"/>
      <c r="DM158" s="58"/>
      <c r="DN158" s="35"/>
      <c r="DO158" s="58"/>
      <c r="DP158" s="35"/>
      <c r="DQ158" s="58"/>
      <c r="DR158" s="35"/>
      <c r="DS158" s="58"/>
      <c r="DT158" s="35"/>
      <c r="DU158" s="58"/>
      <c r="DV158" s="35"/>
      <c r="DW158" s="58"/>
      <c r="DX158" s="35"/>
      <c r="DY158" s="58"/>
      <c r="DZ158" s="35"/>
      <c r="EA158" s="58"/>
      <c r="EB158" s="35"/>
      <c r="EC158" s="58"/>
      <c r="ED158" s="35"/>
      <c r="EE158" s="58"/>
      <c r="EF158" s="35"/>
      <c r="EG158" s="58"/>
      <c r="EH158" s="35"/>
      <c r="EI158" s="58"/>
      <c r="EJ158" s="35"/>
      <c r="EK158" s="58"/>
      <c r="EL158" s="35"/>
    </row>
    <row r="159" spans="1:142" s="72" customFormat="1" x14ac:dyDescent="0.2">
      <c r="A159" s="46"/>
      <c r="B159" s="31"/>
      <c r="C159" s="24"/>
      <c r="D159" s="33">
        <f>+D157-D158</f>
        <v>243153.61999999988</v>
      </c>
      <c r="E159" s="24" t="s">
        <v>140</v>
      </c>
      <c r="F159" s="31"/>
      <c r="G159" s="24"/>
      <c r="H159" s="31"/>
      <c r="I159" s="24"/>
      <c r="J159" s="36"/>
      <c r="K159" s="24"/>
      <c r="L159" s="31"/>
      <c r="M159" s="24"/>
      <c r="N159" s="31"/>
      <c r="O159" s="24"/>
      <c r="P159" s="31"/>
      <c r="Q159" s="24"/>
      <c r="R159" s="31"/>
      <c r="S159" s="24"/>
      <c r="T159" s="31"/>
      <c r="U159" s="24"/>
      <c r="V159" s="31"/>
      <c r="W159" s="24"/>
      <c r="X159" s="31"/>
      <c r="Y159" s="24"/>
      <c r="Z159" s="31"/>
      <c r="AA159" s="24"/>
      <c r="AB159" s="31"/>
      <c r="AC159" s="24"/>
      <c r="AD159" s="31"/>
      <c r="AE159" s="24"/>
      <c r="AF159" s="31"/>
      <c r="AG159" s="24"/>
      <c r="AH159" s="31"/>
      <c r="AI159" s="24"/>
      <c r="AJ159" s="31"/>
      <c r="AK159" s="24"/>
      <c r="AL159" s="31"/>
      <c r="AM159" s="24"/>
      <c r="AN159" s="31"/>
      <c r="AO159" s="24"/>
      <c r="AP159" s="31"/>
      <c r="AQ159" s="24"/>
      <c r="AR159" s="31"/>
      <c r="AS159" s="24"/>
      <c r="AT159" s="31"/>
      <c r="AU159" s="24"/>
      <c r="AV159" s="31"/>
      <c r="AW159" s="24"/>
      <c r="AX159" s="31"/>
      <c r="AY159" s="24"/>
      <c r="AZ159" s="31"/>
      <c r="BA159" s="24"/>
      <c r="BB159" s="31"/>
      <c r="BC159" s="24"/>
      <c r="BD159" s="31"/>
      <c r="BE159" s="24"/>
      <c r="BF159" s="31"/>
      <c r="BG159" s="24"/>
      <c r="BH159" s="31"/>
      <c r="BI159" s="24"/>
      <c r="BJ159" s="31"/>
      <c r="BK159" s="24"/>
      <c r="BL159" s="31"/>
      <c r="BM159" s="24"/>
      <c r="BN159" s="31"/>
      <c r="BO159" s="24"/>
      <c r="BP159" s="31"/>
      <c r="BQ159" s="24"/>
      <c r="BR159" s="31"/>
      <c r="BS159" s="24"/>
      <c r="BT159" s="31"/>
      <c r="BU159" s="24"/>
      <c r="BV159" s="31"/>
      <c r="BW159" s="24"/>
      <c r="BX159" s="31"/>
      <c r="BY159" s="24"/>
      <c r="BZ159" s="31"/>
      <c r="CA159" s="24"/>
      <c r="CB159" s="31"/>
      <c r="CC159" s="24"/>
      <c r="CD159" s="31"/>
      <c r="CE159" s="24"/>
      <c r="CF159" s="31"/>
      <c r="CG159" s="24"/>
      <c r="CH159" s="31"/>
      <c r="CI159" s="24"/>
      <c r="CJ159" s="31"/>
      <c r="CK159" s="24"/>
      <c r="CL159" s="31"/>
      <c r="CM159" s="24"/>
      <c r="CN159" s="31"/>
      <c r="CO159" s="24"/>
      <c r="CP159" s="31"/>
      <c r="CQ159" s="24"/>
      <c r="CR159" s="31"/>
      <c r="CS159" s="24"/>
      <c r="CT159" s="31"/>
      <c r="CU159" s="24"/>
      <c r="CV159" s="31"/>
      <c r="CW159" s="24"/>
      <c r="CX159" s="31"/>
      <c r="CY159" s="24"/>
      <c r="CZ159" s="31"/>
      <c r="DA159" s="24"/>
      <c r="DB159" s="31"/>
      <c r="DC159" s="24"/>
      <c r="DD159" s="31"/>
      <c r="DE159" s="24"/>
      <c r="DF159" s="31"/>
      <c r="DG159" s="24"/>
      <c r="DH159" s="31"/>
      <c r="DI159" s="24"/>
      <c r="DJ159" s="31"/>
      <c r="DK159" s="24"/>
      <c r="DL159" s="31"/>
      <c r="DM159" s="24"/>
      <c r="DN159" s="31"/>
      <c r="DO159" s="24"/>
      <c r="DP159" s="31"/>
      <c r="DQ159" s="24"/>
      <c r="DR159" s="31"/>
      <c r="DS159" s="24"/>
      <c r="DT159" s="31"/>
      <c r="DU159" s="24"/>
      <c r="DV159" s="31"/>
      <c r="DW159" s="24"/>
      <c r="DX159" s="31"/>
      <c r="DY159" s="24"/>
      <c r="DZ159" s="31"/>
      <c r="EA159" s="24"/>
      <c r="EB159" s="31"/>
      <c r="EC159" s="24"/>
      <c r="ED159" s="31"/>
      <c r="EE159" s="24"/>
      <c r="EF159" s="31"/>
      <c r="EG159" s="24"/>
      <c r="EH159" s="31"/>
      <c r="EI159" s="24"/>
      <c r="EJ159" s="31"/>
      <c r="EK159" s="24"/>
      <c r="EL159" s="31"/>
    </row>
    <row r="160" spans="1:142" s="11" customFormat="1" x14ac:dyDescent="0.2">
      <c r="A160" s="43"/>
      <c r="B160" s="36"/>
      <c r="C160" s="13"/>
      <c r="D160" s="36"/>
      <c r="E160" s="13"/>
      <c r="F160" s="36"/>
      <c r="G160" s="13"/>
      <c r="H160" s="36"/>
      <c r="I160" s="13"/>
      <c r="K160" s="13"/>
      <c r="L160" s="36"/>
      <c r="M160" s="13"/>
      <c r="N160" s="36"/>
      <c r="O160" s="13"/>
      <c r="P160" s="36"/>
      <c r="Q160" s="13"/>
      <c r="R160" s="36"/>
      <c r="S160" s="13"/>
      <c r="T160" s="36"/>
      <c r="U160" s="13"/>
      <c r="V160" s="36"/>
      <c r="W160" s="13"/>
      <c r="X160" s="36"/>
      <c r="Y160" s="13"/>
      <c r="Z160" s="36"/>
      <c r="AA160" s="13"/>
      <c r="AB160" s="36"/>
      <c r="AC160" s="13"/>
      <c r="AD160" s="36"/>
      <c r="AE160" s="13"/>
      <c r="AF160" s="36"/>
      <c r="AG160" s="13"/>
      <c r="AH160" s="36"/>
      <c r="AI160" s="13"/>
      <c r="AJ160" s="36"/>
      <c r="AK160" s="13"/>
      <c r="AL160" s="36"/>
      <c r="AM160" s="13"/>
      <c r="AN160" s="36"/>
      <c r="AO160" s="13"/>
      <c r="AP160" s="36"/>
      <c r="AQ160" s="13"/>
      <c r="AR160" s="36"/>
      <c r="AS160" s="13"/>
      <c r="AT160" s="36"/>
      <c r="AU160" s="13"/>
      <c r="AV160" s="36"/>
      <c r="AW160" s="13"/>
      <c r="AX160" s="36"/>
      <c r="AY160" s="13"/>
      <c r="AZ160" s="36"/>
      <c r="BA160" s="13"/>
      <c r="BB160" s="36"/>
      <c r="BC160" s="13"/>
      <c r="BD160" s="36"/>
      <c r="BE160" s="13"/>
      <c r="BF160" s="36"/>
      <c r="BG160" s="13"/>
      <c r="BH160" s="36"/>
      <c r="BI160" s="13"/>
      <c r="BJ160" s="36"/>
      <c r="BK160" s="13"/>
      <c r="BL160" s="36"/>
      <c r="BM160" s="13"/>
      <c r="BN160" s="36"/>
      <c r="BO160" s="13"/>
      <c r="BP160" s="36"/>
      <c r="BQ160" s="13"/>
      <c r="BR160" s="36"/>
      <c r="BS160" s="13"/>
      <c r="BT160" s="36"/>
      <c r="BU160" s="13"/>
      <c r="BV160" s="36"/>
      <c r="BW160" s="13"/>
      <c r="BX160" s="36"/>
      <c r="BY160" s="13"/>
      <c r="BZ160" s="36"/>
      <c r="CA160" s="13"/>
      <c r="CB160" s="36"/>
      <c r="CC160" s="13"/>
      <c r="CD160" s="36"/>
      <c r="CE160" s="13"/>
      <c r="CF160" s="36"/>
      <c r="CG160" s="13"/>
      <c r="CH160" s="36"/>
      <c r="CI160" s="13"/>
      <c r="CJ160" s="36"/>
      <c r="CK160" s="13"/>
      <c r="CL160" s="36"/>
      <c r="CM160" s="13"/>
      <c r="CN160" s="36"/>
      <c r="CO160" s="13"/>
      <c r="CP160" s="36"/>
      <c r="CQ160" s="13"/>
      <c r="CR160" s="36"/>
      <c r="CS160" s="13"/>
      <c r="CT160" s="36"/>
      <c r="CU160" s="13"/>
      <c r="CV160" s="36"/>
      <c r="CW160" s="13"/>
      <c r="CX160" s="36"/>
      <c r="CY160" s="13"/>
      <c r="CZ160" s="36"/>
      <c r="DA160" s="13"/>
      <c r="DB160" s="36"/>
      <c r="DC160" s="13"/>
      <c r="DD160" s="36"/>
      <c r="DE160" s="13"/>
      <c r="DF160" s="36"/>
      <c r="DG160" s="13"/>
      <c r="DH160" s="36"/>
      <c r="DI160" s="13"/>
      <c r="DJ160" s="36"/>
      <c r="DK160" s="13"/>
      <c r="DL160" s="36"/>
      <c r="DM160" s="13"/>
      <c r="DN160" s="36"/>
      <c r="DO160" s="13"/>
      <c r="DP160" s="36"/>
      <c r="DQ160" s="13"/>
      <c r="DR160" s="36"/>
      <c r="DS160" s="13"/>
      <c r="DT160" s="36"/>
      <c r="DU160" s="13"/>
      <c r="DV160" s="36"/>
      <c r="DW160" s="13"/>
      <c r="DX160" s="36"/>
      <c r="DY160" s="13"/>
      <c r="DZ160" s="36"/>
      <c r="EA160" s="13"/>
      <c r="EB160" s="36"/>
      <c r="EC160" s="13"/>
      <c r="ED160" s="36"/>
      <c r="EE160" s="13"/>
      <c r="EF160" s="36"/>
      <c r="EG160" s="13"/>
      <c r="EH160" s="36"/>
      <c r="EI160" s="13"/>
      <c r="EJ160" s="36"/>
      <c r="EK160" s="13"/>
      <c r="EL160" s="36"/>
    </row>
    <row r="161" spans="1:142" s="11" customFormat="1" x14ac:dyDescent="0.2">
      <c r="A161" s="43"/>
      <c r="B161" s="10"/>
      <c r="C161" s="13"/>
      <c r="D161" s="10"/>
      <c r="E161" s="13"/>
      <c r="F161" s="10"/>
      <c r="G161" s="13"/>
      <c r="H161" s="10"/>
      <c r="I161" s="13"/>
      <c r="J161" s="10"/>
      <c r="K161" s="13"/>
      <c r="L161" s="10"/>
      <c r="M161" s="13"/>
      <c r="N161" s="10"/>
      <c r="O161" s="13"/>
      <c r="P161" s="10"/>
      <c r="Q161" s="13"/>
      <c r="R161" s="10"/>
      <c r="S161" s="13"/>
      <c r="T161" s="10"/>
      <c r="U161" s="13"/>
      <c r="V161" s="10"/>
      <c r="W161" s="13"/>
      <c r="X161" s="10"/>
      <c r="Y161" s="13"/>
      <c r="Z161" s="10"/>
      <c r="AA161" s="13"/>
      <c r="AB161" s="10"/>
      <c r="AC161" s="13"/>
      <c r="AD161" s="10"/>
      <c r="AE161" s="13"/>
      <c r="AF161" s="10"/>
      <c r="AG161" s="13"/>
      <c r="AH161" s="10"/>
      <c r="AI161" s="13"/>
      <c r="AJ161" s="10"/>
      <c r="AK161" s="13"/>
      <c r="AL161" s="10"/>
      <c r="AM161" s="13"/>
      <c r="AN161" s="10"/>
      <c r="AO161" s="13"/>
      <c r="AP161" s="10"/>
      <c r="AQ161" s="13"/>
      <c r="AR161" s="10"/>
      <c r="AS161" s="13"/>
      <c r="AT161" s="10"/>
      <c r="AU161" s="13"/>
      <c r="AV161" s="10"/>
      <c r="AW161" s="13"/>
      <c r="AX161" s="10"/>
      <c r="AY161" s="13"/>
      <c r="AZ161" s="10"/>
      <c r="BA161" s="13"/>
      <c r="BB161" s="10"/>
      <c r="BC161" s="13"/>
      <c r="BD161" s="10"/>
      <c r="BE161" s="13"/>
      <c r="BF161" s="10"/>
      <c r="BG161" s="13"/>
      <c r="BH161" s="10"/>
      <c r="BI161" s="13"/>
      <c r="BJ161" s="10"/>
      <c r="BK161" s="13"/>
      <c r="BL161" s="10"/>
      <c r="BM161" s="13"/>
      <c r="BN161" s="10"/>
      <c r="BO161" s="13"/>
      <c r="BP161" s="10"/>
      <c r="BQ161" s="13"/>
      <c r="BR161" s="10"/>
      <c r="BS161" s="13"/>
      <c r="BT161" s="10"/>
      <c r="BU161" s="13"/>
      <c r="BV161" s="10"/>
      <c r="BW161" s="13"/>
      <c r="BX161" s="10"/>
      <c r="BY161" s="13"/>
      <c r="BZ161" s="10"/>
      <c r="CA161" s="13"/>
      <c r="CB161" s="10"/>
      <c r="CC161" s="13"/>
      <c r="CD161" s="10"/>
      <c r="CE161" s="13"/>
      <c r="CF161" s="10"/>
      <c r="CG161" s="13"/>
      <c r="CH161" s="10"/>
      <c r="CI161" s="13"/>
      <c r="CJ161" s="10"/>
      <c r="CK161" s="13"/>
      <c r="CL161" s="10"/>
      <c r="CM161" s="13"/>
      <c r="CN161" s="10"/>
      <c r="CO161" s="13"/>
      <c r="CP161" s="10"/>
      <c r="CQ161" s="13"/>
      <c r="CR161" s="10"/>
      <c r="CS161" s="13"/>
      <c r="CT161" s="10"/>
      <c r="CU161" s="13"/>
      <c r="CV161" s="10"/>
      <c r="CW161" s="13"/>
      <c r="CX161" s="10"/>
      <c r="CY161" s="13"/>
      <c r="CZ161" s="10"/>
      <c r="DA161" s="13"/>
      <c r="DB161" s="10"/>
      <c r="DC161" s="13"/>
      <c r="DD161" s="10"/>
      <c r="DE161" s="13"/>
      <c r="DF161" s="10"/>
      <c r="DG161" s="13"/>
      <c r="DH161" s="10"/>
      <c r="DI161" s="13"/>
      <c r="DJ161" s="10"/>
      <c r="DK161" s="13"/>
      <c r="DL161" s="10"/>
      <c r="DM161" s="13"/>
      <c r="DN161" s="10"/>
      <c r="DO161" s="13"/>
      <c r="DP161" s="10"/>
      <c r="DQ161" s="13"/>
      <c r="DR161" s="10"/>
      <c r="DS161" s="13"/>
      <c r="DT161" s="10"/>
      <c r="DU161" s="13"/>
      <c r="DV161" s="10"/>
      <c r="DW161" s="13"/>
      <c r="DX161" s="10"/>
      <c r="DY161" s="13"/>
      <c r="DZ161" s="10"/>
      <c r="EA161" s="13"/>
      <c r="EB161" s="10"/>
      <c r="EC161" s="13"/>
      <c r="ED161" s="10"/>
      <c r="EE161" s="13"/>
      <c r="EF161" s="10"/>
      <c r="EG161" s="13"/>
      <c r="EH161" s="10"/>
      <c r="EI161" s="13"/>
      <c r="EJ161" s="10"/>
      <c r="EK161" s="13"/>
      <c r="EL161" s="10"/>
    </row>
    <row r="162" spans="1:142" s="11" customFormat="1" x14ac:dyDescent="0.2">
      <c r="A162" s="43"/>
      <c r="B162" s="10"/>
      <c r="C162" s="13"/>
      <c r="D162" s="10"/>
      <c r="E162" s="13"/>
      <c r="F162" s="10"/>
      <c r="G162" s="13"/>
      <c r="H162" s="10"/>
      <c r="I162" s="13"/>
      <c r="J162" s="10"/>
      <c r="K162" s="13"/>
      <c r="L162" s="10"/>
      <c r="M162" s="13"/>
      <c r="N162" s="10"/>
      <c r="O162" s="13"/>
      <c r="P162" s="10"/>
      <c r="Q162" s="13"/>
      <c r="R162" s="10"/>
      <c r="S162" s="13"/>
      <c r="T162" s="10"/>
      <c r="U162" s="13"/>
      <c r="V162" s="10"/>
      <c r="W162" s="13"/>
      <c r="X162" s="10"/>
      <c r="Y162" s="13"/>
      <c r="Z162" s="10"/>
      <c r="AA162" s="13"/>
      <c r="AB162" s="10"/>
      <c r="AC162" s="13"/>
      <c r="AD162" s="10"/>
      <c r="AE162" s="13"/>
      <c r="AF162" s="10"/>
      <c r="AG162" s="13"/>
      <c r="AH162" s="10"/>
      <c r="AI162" s="13"/>
      <c r="AJ162" s="10"/>
      <c r="AK162" s="13"/>
      <c r="AL162" s="10"/>
      <c r="AM162" s="13"/>
      <c r="AN162" s="10"/>
      <c r="AO162" s="13"/>
      <c r="AP162" s="10"/>
      <c r="AQ162" s="13"/>
      <c r="AR162" s="10"/>
      <c r="AS162" s="13"/>
      <c r="AT162" s="10"/>
      <c r="AU162" s="13"/>
      <c r="AV162" s="10"/>
      <c r="AW162" s="13"/>
      <c r="AX162" s="10"/>
      <c r="AY162" s="13"/>
      <c r="AZ162" s="10"/>
      <c r="BA162" s="13"/>
      <c r="BB162" s="10"/>
      <c r="BC162" s="13"/>
      <c r="BD162" s="10"/>
      <c r="BE162" s="13"/>
      <c r="BF162" s="10"/>
      <c r="BG162" s="13"/>
      <c r="BH162" s="10"/>
      <c r="BI162" s="13"/>
      <c r="BJ162" s="10"/>
      <c r="BK162" s="13"/>
      <c r="BL162" s="10"/>
      <c r="BM162" s="13"/>
      <c r="BN162" s="10"/>
      <c r="BO162" s="13"/>
      <c r="BP162" s="10"/>
      <c r="BQ162" s="13"/>
      <c r="BR162" s="10"/>
      <c r="BS162" s="13"/>
      <c r="BT162" s="10"/>
      <c r="BU162" s="13"/>
      <c r="BV162" s="10"/>
      <c r="BW162" s="13"/>
      <c r="BX162" s="10"/>
      <c r="BY162" s="13"/>
      <c r="BZ162" s="10"/>
      <c r="CA162" s="13"/>
      <c r="CB162" s="10"/>
      <c r="CC162" s="13"/>
      <c r="CD162" s="10"/>
      <c r="CE162" s="13"/>
      <c r="CF162" s="10"/>
      <c r="CG162" s="13"/>
      <c r="CH162" s="10"/>
      <c r="CI162" s="13"/>
      <c r="CJ162" s="10"/>
      <c r="CK162" s="13"/>
      <c r="CL162" s="10"/>
      <c r="CM162" s="13"/>
      <c r="CN162" s="10"/>
      <c r="CO162" s="13"/>
      <c r="CP162" s="10"/>
      <c r="CQ162" s="13"/>
      <c r="CR162" s="10"/>
      <c r="CS162" s="13"/>
      <c r="CT162" s="10"/>
      <c r="CU162" s="13"/>
      <c r="CV162" s="10"/>
      <c r="CW162" s="13"/>
      <c r="CX162" s="10"/>
      <c r="CY162" s="13"/>
      <c r="CZ162" s="10"/>
      <c r="DA162" s="13"/>
      <c r="DB162" s="10"/>
      <c r="DC162" s="13"/>
      <c r="DD162" s="10"/>
      <c r="DE162" s="13"/>
      <c r="DF162" s="10"/>
      <c r="DG162" s="13"/>
      <c r="DH162" s="10"/>
      <c r="DI162" s="13"/>
      <c r="DJ162" s="10"/>
      <c r="DK162" s="13"/>
      <c r="DL162" s="10"/>
      <c r="DM162" s="13"/>
      <c r="DN162" s="10"/>
      <c r="DO162" s="13"/>
      <c r="DP162" s="10"/>
      <c r="DQ162" s="13"/>
      <c r="DR162" s="10"/>
      <c r="DS162" s="13"/>
      <c r="DT162" s="10"/>
      <c r="DU162" s="13"/>
      <c r="DV162" s="10"/>
      <c r="DW162" s="13"/>
      <c r="DX162" s="10"/>
      <c r="DY162" s="13"/>
      <c r="DZ162" s="10"/>
      <c r="EA162" s="13"/>
      <c r="EB162" s="10"/>
      <c r="EC162" s="13"/>
      <c r="ED162" s="10"/>
      <c r="EE162" s="13"/>
      <c r="EF162" s="10"/>
      <c r="EG162" s="13"/>
      <c r="EH162" s="10"/>
      <c r="EI162" s="13"/>
      <c r="EJ162" s="10"/>
      <c r="EK162" s="13"/>
      <c r="EL162" s="10"/>
    </row>
    <row r="163" spans="1:142" s="11" customFormat="1" x14ac:dyDescent="0.2">
      <c r="A163" s="43"/>
      <c r="B163" s="10"/>
      <c r="C163" s="13"/>
      <c r="D163" s="10"/>
      <c r="E163" s="13"/>
      <c r="F163" s="10"/>
      <c r="G163" s="13"/>
      <c r="H163" s="10"/>
      <c r="I163" s="13"/>
      <c r="J163" s="10"/>
      <c r="K163" s="13"/>
      <c r="L163" s="10"/>
      <c r="M163" s="13"/>
      <c r="N163" s="10"/>
      <c r="O163" s="13"/>
      <c r="P163" s="10"/>
      <c r="Q163" s="13"/>
      <c r="R163" s="10"/>
      <c r="S163" s="13"/>
      <c r="T163" s="10"/>
      <c r="U163" s="13"/>
      <c r="V163" s="10"/>
      <c r="W163" s="13"/>
      <c r="X163" s="10"/>
      <c r="Y163" s="13"/>
      <c r="Z163" s="10"/>
      <c r="AA163" s="13"/>
      <c r="AB163" s="10"/>
      <c r="AC163" s="13"/>
      <c r="AD163" s="10"/>
      <c r="AE163" s="13"/>
      <c r="AF163" s="10"/>
      <c r="AG163" s="13"/>
      <c r="AH163" s="10"/>
      <c r="AI163" s="13"/>
      <c r="AJ163" s="10"/>
      <c r="AK163" s="13"/>
      <c r="AL163" s="10"/>
      <c r="AM163" s="13"/>
      <c r="AN163" s="10"/>
      <c r="AO163" s="13"/>
      <c r="AP163" s="10"/>
      <c r="AQ163" s="13"/>
      <c r="AR163" s="10"/>
      <c r="AS163" s="13"/>
      <c r="AT163" s="10"/>
      <c r="AU163" s="13"/>
      <c r="AV163" s="10"/>
      <c r="AW163" s="13"/>
      <c r="AX163" s="10"/>
      <c r="AY163" s="13"/>
      <c r="AZ163" s="10"/>
      <c r="BA163" s="13"/>
      <c r="BB163" s="10"/>
      <c r="BC163" s="13"/>
      <c r="BD163" s="10"/>
      <c r="BE163" s="13"/>
      <c r="BF163" s="10"/>
      <c r="BG163" s="13"/>
      <c r="BH163" s="10"/>
      <c r="BI163" s="13"/>
      <c r="BJ163" s="10"/>
      <c r="BK163" s="13"/>
      <c r="BL163" s="10"/>
      <c r="BM163" s="13"/>
      <c r="BN163" s="10"/>
      <c r="BO163" s="13"/>
      <c r="BP163" s="10"/>
      <c r="BQ163" s="13"/>
      <c r="BR163" s="10"/>
      <c r="BS163" s="13"/>
      <c r="BT163" s="10"/>
      <c r="BU163" s="13"/>
      <c r="BV163" s="10"/>
      <c r="BW163" s="13"/>
      <c r="BX163" s="10"/>
      <c r="BY163" s="13"/>
      <c r="BZ163" s="10"/>
      <c r="CA163" s="13"/>
      <c r="CB163" s="10"/>
      <c r="CC163" s="13"/>
      <c r="CD163" s="10"/>
      <c r="CE163" s="13"/>
      <c r="CF163" s="10"/>
      <c r="CG163" s="13"/>
      <c r="CH163" s="10"/>
      <c r="CI163" s="13"/>
      <c r="CJ163" s="10"/>
      <c r="CK163" s="13"/>
      <c r="CL163" s="10"/>
      <c r="CM163" s="13"/>
      <c r="CN163" s="10"/>
      <c r="CO163" s="13"/>
      <c r="CP163" s="10"/>
      <c r="CQ163" s="13"/>
      <c r="CR163" s="10"/>
      <c r="CS163" s="13"/>
      <c r="CT163" s="10"/>
      <c r="CU163" s="13"/>
      <c r="CV163" s="10"/>
      <c r="CW163" s="13"/>
      <c r="CX163" s="10"/>
      <c r="CY163" s="13"/>
      <c r="CZ163" s="10"/>
      <c r="DA163" s="13"/>
      <c r="DB163" s="10"/>
      <c r="DC163" s="13"/>
      <c r="DD163" s="10"/>
      <c r="DE163" s="13"/>
      <c r="DF163" s="10"/>
      <c r="DG163" s="13"/>
      <c r="DH163" s="10"/>
      <c r="DI163" s="13"/>
      <c r="DJ163" s="10"/>
      <c r="DK163" s="13"/>
      <c r="DL163" s="10"/>
      <c r="DM163" s="13"/>
      <c r="DN163" s="10"/>
      <c r="DO163" s="13"/>
      <c r="DP163" s="10"/>
      <c r="DQ163" s="13"/>
      <c r="DR163" s="10"/>
      <c r="DS163" s="13"/>
      <c r="DT163" s="10"/>
      <c r="DU163" s="13"/>
      <c r="DV163" s="10"/>
      <c r="DW163" s="13"/>
      <c r="DX163" s="10"/>
      <c r="DY163" s="13"/>
      <c r="DZ163" s="10"/>
      <c r="EA163" s="13"/>
      <c r="EB163" s="10"/>
      <c r="EC163" s="13"/>
      <c r="ED163" s="10"/>
      <c r="EE163" s="13"/>
      <c r="EF163" s="10"/>
      <c r="EG163" s="13"/>
      <c r="EH163" s="10"/>
      <c r="EI163" s="13"/>
      <c r="EJ163" s="10"/>
      <c r="EK163" s="13"/>
      <c r="EL163" s="10"/>
    </row>
    <row r="164" spans="1:142" s="75" customFormat="1" x14ac:dyDescent="0.2">
      <c r="A164" s="43"/>
      <c r="B164" s="18"/>
      <c r="C164" s="25"/>
      <c r="D164" s="18"/>
      <c r="E164" s="25"/>
      <c r="F164" s="18"/>
      <c r="G164" s="25"/>
      <c r="H164" s="18"/>
      <c r="I164" s="25"/>
      <c r="J164" s="18"/>
      <c r="K164" s="25"/>
      <c r="L164" s="18"/>
      <c r="M164" s="25"/>
      <c r="N164" s="18"/>
      <c r="O164" s="25"/>
      <c r="P164" s="18"/>
      <c r="Q164" s="25"/>
      <c r="R164" s="18"/>
      <c r="S164" s="25"/>
      <c r="T164" s="18"/>
      <c r="U164" s="25"/>
      <c r="V164" s="18"/>
      <c r="W164" s="25"/>
      <c r="X164" s="18"/>
      <c r="Y164" s="25"/>
      <c r="Z164" s="18"/>
      <c r="AA164" s="25"/>
      <c r="AB164" s="18"/>
      <c r="AC164" s="25"/>
      <c r="AD164" s="18"/>
      <c r="AE164" s="25"/>
      <c r="AF164" s="18"/>
      <c r="AG164" s="25"/>
      <c r="AH164" s="18"/>
      <c r="AI164" s="25"/>
      <c r="AJ164" s="18"/>
      <c r="AK164" s="25"/>
      <c r="AL164" s="18"/>
      <c r="AM164" s="25"/>
      <c r="AN164" s="18"/>
      <c r="AO164" s="25"/>
      <c r="AP164" s="18"/>
      <c r="AQ164" s="25"/>
      <c r="AR164" s="18"/>
      <c r="AS164" s="25"/>
      <c r="AT164" s="18"/>
      <c r="AU164" s="25"/>
      <c r="AV164" s="18"/>
      <c r="AW164" s="25"/>
      <c r="AX164" s="18"/>
      <c r="AY164" s="25"/>
      <c r="AZ164" s="18"/>
      <c r="BA164" s="25"/>
      <c r="BB164" s="18"/>
      <c r="BC164" s="25"/>
      <c r="BD164" s="18"/>
      <c r="BE164" s="25"/>
      <c r="BF164" s="18"/>
      <c r="BG164" s="25"/>
      <c r="BH164" s="18"/>
      <c r="BI164" s="25"/>
      <c r="BJ164" s="18"/>
      <c r="BK164" s="25"/>
      <c r="BL164" s="18"/>
      <c r="BM164" s="25"/>
      <c r="BN164" s="18"/>
      <c r="BO164" s="25"/>
      <c r="BP164" s="18"/>
      <c r="BQ164" s="25"/>
      <c r="BR164" s="18"/>
      <c r="BS164" s="25"/>
      <c r="BT164" s="18"/>
      <c r="BU164" s="25"/>
      <c r="BV164" s="18"/>
      <c r="BW164" s="25"/>
      <c r="BX164" s="18"/>
      <c r="BY164" s="25"/>
      <c r="BZ164" s="18"/>
      <c r="CA164" s="25"/>
      <c r="CB164" s="18"/>
      <c r="CC164" s="25"/>
      <c r="CD164" s="18"/>
      <c r="CE164" s="25"/>
      <c r="CF164" s="18"/>
      <c r="CG164" s="25"/>
      <c r="CH164" s="18"/>
      <c r="CI164" s="25"/>
      <c r="CJ164" s="18"/>
      <c r="CK164" s="25"/>
      <c r="CL164" s="18"/>
      <c r="CM164" s="25"/>
      <c r="CN164" s="18"/>
      <c r="CO164" s="25"/>
      <c r="CP164" s="18"/>
      <c r="CQ164" s="25"/>
      <c r="CR164" s="18"/>
      <c r="CS164" s="25"/>
      <c r="CT164" s="18"/>
      <c r="CU164" s="25"/>
      <c r="CV164" s="18"/>
      <c r="CW164" s="25"/>
      <c r="CX164" s="18"/>
      <c r="CY164" s="25"/>
      <c r="CZ164" s="18"/>
      <c r="DA164" s="25"/>
      <c r="DB164" s="18"/>
      <c r="DC164" s="25"/>
      <c r="DD164" s="18"/>
      <c r="DE164" s="25"/>
      <c r="DF164" s="18"/>
      <c r="DG164" s="25"/>
      <c r="DH164" s="18"/>
      <c r="DI164" s="25"/>
      <c r="DJ164" s="18"/>
      <c r="DK164" s="25"/>
      <c r="DL164" s="18"/>
      <c r="DM164" s="25"/>
      <c r="DN164" s="18"/>
      <c r="DO164" s="25"/>
      <c r="DP164" s="18"/>
      <c r="DQ164" s="25"/>
      <c r="DR164" s="18"/>
      <c r="DS164" s="25"/>
      <c r="DT164" s="18"/>
      <c r="DU164" s="25"/>
      <c r="DV164" s="18"/>
      <c r="DW164" s="25"/>
      <c r="DX164" s="18"/>
      <c r="DY164" s="25"/>
      <c r="DZ164" s="18"/>
      <c r="EA164" s="25"/>
      <c r="EB164" s="18"/>
      <c r="EC164" s="25"/>
      <c r="ED164" s="18"/>
      <c r="EE164" s="25"/>
      <c r="EF164" s="18"/>
      <c r="EG164" s="25"/>
      <c r="EH164" s="18"/>
      <c r="EI164" s="25"/>
      <c r="EJ164" s="18"/>
      <c r="EK164" s="25"/>
      <c r="EL164" s="18"/>
    </row>
    <row r="165" spans="1:142" s="75" customFormat="1" x14ac:dyDescent="0.2">
      <c r="A165" s="43"/>
      <c r="B165" s="18"/>
      <c r="C165" s="25"/>
      <c r="D165" s="18"/>
      <c r="E165" s="25"/>
      <c r="F165" s="18"/>
      <c r="G165" s="25"/>
      <c r="H165" s="18"/>
      <c r="I165" s="25"/>
      <c r="J165" s="18"/>
      <c r="K165" s="25"/>
      <c r="L165" s="18"/>
      <c r="M165" s="25"/>
      <c r="N165" s="18"/>
      <c r="O165" s="25"/>
      <c r="P165" s="18"/>
      <c r="Q165" s="25"/>
      <c r="R165" s="18"/>
      <c r="S165" s="25"/>
      <c r="T165" s="18"/>
      <c r="U165" s="25"/>
      <c r="V165" s="18"/>
      <c r="W165" s="25"/>
      <c r="X165" s="18"/>
      <c r="Y165" s="25"/>
      <c r="Z165" s="18"/>
      <c r="AA165" s="25"/>
      <c r="AB165" s="18"/>
      <c r="AC165" s="25"/>
      <c r="AD165" s="18"/>
      <c r="AE165" s="25"/>
      <c r="AF165" s="18"/>
      <c r="AG165" s="25"/>
      <c r="AH165" s="18"/>
      <c r="AI165" s="25"/>
      <c r="AJ165" s="18"/>
      <c r="AK165" s="25"/>
      <c r="AL165" s="18"/>
      <c r="AM165" s="25"/>
      <c r="AN165" s="18"/>
      <c r="AO165" s="25"/>
      <c r="AP165" s="18"/>
      <c r="AQ165" s="25"/>
      <c r="AR165" s="18"/>
      <c r="AS165" s="25"/>
      <c r="AT165" s="18"/>
      <c r="AU165" s="25"/>
      <c r="AV165" s="18"/>
      <c r="AW165" s="25"/>
      <c r="AX165" s="18"/>
      <c r="AY165" s="25"/>
      <c r="AZ165" s="18"/>
      <c r="BA165" s="25"/>
      <c r="BB165" s="18"/>
      <c r="BC165" s="25"/>
      <c r="BD165" s="18"/>
      <c r="BE165" s="25"/>
      <c r="BF165" s="18"/>
      <c r="BG165" s="25"/>
      <c r="BH165" s="18"/>
      <c r="BI165" s="25"/>
      <c r="BJ165" s="18"/>
      <c r="BK165" s="25"/>
      <c r="BL165" s="18"/>
      <c r="BM165" s="25"/>
      <c r="BN165" s="18"/>
      <c r="BO165" s="25"/>
      <c r="BP165" s="18"/>
      <c r="BQ165" s="25"/>
      <c r="BR165" s="18"/>
      <c r="BS165" s="25"/>
      <c r="BT165" s="18"/>
      <c r="BU165" s="25"/>
      <c r="BV165" s="18"/>
      <c r="BW165" s="25"/>
      <c r="BX165" s="18"/>
      <c r="BY165" s="25"/>
      <c r="BZ165" s="18"/>
      <c r="CA165" s="25"/>
      <c r="CB165" s="18"/>
      <c r="CC165" s="25"/>
      <c r="CD165" s="18"/>
      <c r="CE165" s="25"/>
      <c r="CF165" s="18"/>
      <c r="CG165" s="25"/>
      <c r="CH165" s="18"/>
      <c r="CI165" s="25"/>
      <c r="CJ165" s="18"/>
      <c r="CK165" s="25"/>
      <c r="CL165" s="18"/>
      <c r="CM165" s="25"/>
      <c r="CN165" s="18"/>
      <c r="CO165" s="25"/>
      <c r="CP165" s="18"/>
      <c r="CQ165" s="25"/>
      <c r="CR165" s="18"/>
      <c r="CS165" s="25"/>
      <c r="CT165" s="18"/>
      <c r="CU165" s="25"/>
      <c r="CV165" s="18"/>
      <c r="CW165" s="25"/>
      <c r="CX165" s="18"/>
      <c r="CY165" s="25"/>
      <c r="CZ165" s="18"/>
      <c r="DA165" s="25"/>
      <c r="DB165" s="18"/>
      <c r="DC165" s="25"/>
      <c r="DD165" s="18"/>
      <c r="DE165" s="25"/>
      <c r="DF165" s="18"/>
      <c r="DG165" s="25"/>
      <c r="DH165" s="18"/>
      <c r="DI165" s="25"/>
      <c r="DJ165" s="18"/>
      <c r="DK165" s="25"/>
      <c r="DL165" s="18"/>
      <c r="DM165" s="25"/>
      <c r="DN165" s="18"/>
      <c r="DO165" s="25"/>
      <c r="DP165" s="18"/>
      <c r="DQ165" s="25"/>
      <c r="DR165" s="18"/>
      <c r="DS165" s="25"/>
      <c r="DT165" s="18"/>
      <c r="DU165" s="25"/>
      <c r="DV165" s="18"/>
      <c r="DW165" s="25"/>
      <c r="DX165" s="18"/>
      <c r="DY165" s="25"/>
      <c r="DZ165" s="18"/>
      <c r="EA165" s="25"/>
      <c r="EB165" s="18"/>
      <c r="EC165" s="25"/>
      <c r="ED165" s="18"/>
      <c r="EE165" s="25"/>
      <c r="EF165" s="18"/>
      <c r="EG165" s="25"/>
      <c r="EH165" s="18"/>
      <c r="EI165" s="25"/>
      <c r="EJ165" s="18"/>
      <c r="EK165" s="25"/>
      <c r="EL165" s="18"/>
    </row>
    <row r="166" spans="1:142" s="75" customFormat="1" x14ac:dyDescent="0.2">
      <c r="A166" s="43"/>
      <c r="B166" s="18"/>
      <c r="C166" s="25"/>
      <c r="D166" s="18"/>
      <c r="E166" s="25"/>
      <c r="F166" s="18"/>
      <c r="G166" s="25"/>
      <c r="H166" s="18"/>
      <c r="I166" s="25"/>
      <c r="J166" s="18"/>
      <c r="K166" s="25"/>
      <c r="L166" s="18"/>
      <c r="M166" s="25"/>
      <c r="N166" s="18"/>
      <c r="O166" s="25"/>
      <c r="P166" s="18"/>
      <c r="Q166" s="25"/>
      <c r="R166" s="18"/>
      <c r="S166" s="25"/>
      <c r="T166" s="18"/>
      <c r="U166" s="25"/>
      <c r="V166" s="18"/>
      <c r="W166" s="25"/>
      <c r="X166" s="18"/>
      <c r="Y166" s="25"/>
      <c r="Z166" s="18"/>
      <c r="AA166" s="25"/>
      <c r="AB166" s="18"/>
      <c r="AC166" s="25"/>
      <c r="AD166" s="18"/>
      <c r="AE166" s="25"/>
      <c r="AF166" s="18"/>
      <c r="AG166" s="25"/>
      <c r="AH166" s="18"/>
      <c r="AI166" s="25"/>
      <c r="AJ166" s="18"/>
      <c r="AK166" s="25"/>
      <c r="AL166" s="18"/>
      <c r="AM166" s="25"/>
      <c r="AN166" s="18"/>
      <c r="AO166" s="25"/>
      <c r="AP166" s="18"/>
      <c r="AQ166" s="25"/>
      <c r="AR166" s="18"/>
      <c r="AS166" s="25"/>
      <c r="AT166" s="18"/>
      <c r="AU166" s="25"/>
      <c r="AV166" s="18"/>
      <c r="AW166" s="25"/>
      <c r="AX166" s="18"/>
      <c r="AY166" s="25"/>
      <c r="AZ166" s="18"/>
      <c r="BA166" s="25"/>
      <c r="BB166" s="18"/>
      <c r="BC166" s="25"/>
      <c r="BD166" s="18"/>
      <c r="BE166" s="25"/>
      <c r="BF166" s="18"/>
      <c r="BG166" s="25"/>
      <c r="BH166" s="18"/>
      <c r="BI166" s="25"/>
      <c r="BJ166" s="18"/>
      <c r="BK166" s="25"/>
      <c r="BL166" s="18"/>
      <c r="BM166" s="25"/>
      <c r="BN166" s="18"/>
      <c r="BO166" s="25"/>
      <c r="BP166" s="18"/>
      <c r="BQ166" s="25"/>
      <c r="BR166" s="18"/>
      <c r="BS166" s="25"/>
      <c r="BT166" s="18"/>
      <c r="BU166" s="25"/>
      <c r="BV166" s="18"/>
      <c r="BW166" s="25"/>
      <c r="BX166" s="18"/>
      <c r="BY166" s="25"/>
      <c r="BZ166" s="18"/>
      <c r="CA166" s="25"/>
      <c r="CB166" s="18"/>
      <c r="CC166" s="25"/>
      <c r="CD166" s="18"/>
      <c r="CE166" s="25"/>
      <c r="CF166" s="18"/>
      <c r="CG166" s="25"/>
      <c r="CH166" s="18"/>
      <c r="CI166" s="25"/>
      <c r="CJ166" s="18"/>
      <c r="CK166" s="25"/>
      <c r="CL166" s="18"/>
      <c r="CM166" s="25"/>
      <c r="CN166" s="18"/>
      <c r="CO166" s="25"/>
      <c r="CP166" s="18"/>
      <c r="CQ166" s="25"/>
      <c r="CR166" s="18"/>
      <c r="CS166" s="25"/>
      <c r="CT166" s="18"/>
      <c r="CU166" s="25"/>
      <c r="CV166" s="18"/>
      <c r="CW166" s="25"/>
      <c r="CX166" s="18"/>
      <c r="CY166" s="25"/>
      <c r="CZ166" s="18"/>
      <c r="DA166" s="25"/>
      <c r="DB166" s="18"/>
      <c r="DC166" s="25"/>
      <c r="DD166" s="18"/>
      <c r="DE166" s="25"/>
      <c r="DF166" s="18"/>
      <c r="DG166" s="25"/>
      <c r="DH166" s="18"/>
      <c r="DI166" s="25"/>
      <c r="DJ166" s="18"/>
      <c r="DK166" s="25"/>
      <c r="DL166" s="18"/>
      <c r="DM166" s="25"/>
      <c r="DN166" s="18"/>
      <c r="DO166" s="25"/>
      <c r="DP166" s="18"/>
      <c r="DQ166" s="25"/>
      <c r="DR166" s="18"/>
      <c r="DS166" s="25"/>
      <c r="DT166" s="18"/>
      <c r="DU166" s="25"/>
      <c r="DV166" s="18"/>
      <c r="DW166" s="25"/>
      <c r="DX166" s="18"/>
      <c r="DY166" s="25"/>
      <c r="DZ166" s="18"/>
      <c r="EA166" s="25"/>
      <c r="EB166" s="18"/>
      <c r="EC166" s="25"/>
      <c r="ED166" s="18"/>
      <c r="EE166" s="25"/>
      <c r="EF166" s="18"/>
      <c r="EG166" s="25"/>
      <c r="EH166" s="18"/>
      <c r="EI166" s="25"/>
      <c r="EJ166" s="18"/>
      <c r="EK166" s="25"/>
      <c r="EL166" s="18"/>
    </row>
    <row r="167" spans="1:142" s="75" customFormat="1" x14ac:dyDescent="0.2">
      <c r="A167" s="43"/>
      <c r="B167" s="18"/>
      <c r="C167" s="25"/>
      <c r="D167" s="18"/>
      <c r="E167" s="25"/>
      <c r="F167" s="18"/>
      <c r="G167" s="25"/>
      <c r="H167" s="18"/>
      <c r="I167" s="25"/>
      <c r="J167" s="18"/>
      <c r="K167" s="25"/>
      <c r="L167" s="18"/>
      <c r="M167" s="25"/>
      <c r="N167" s="18"/>
      <c r="O167" s="25"/>
      <c r="P167" s="18"/>
      <c r="Q167" s="25"/>
      <c r="R167" s="18"/>
      <c r="S167" s="25"/>
      <c r="T167" s="18"/>
      <c r="U167" s="25"/>
      <c r="V167" s="18"/>
      <c r="W167" s="25"/>
      <c r="X167" s="18"/>
      <c r="Y167" s="25"/>
      <c r="Z167" s="18"/>
      <c r="AA167" s="25"/>
      <c r="AB167" s="18"/>
      <c r="AC167" s="25"/>
      <c r="AD167" s="18"/>
      <c r="AE167" s="25"/>
      <c r="AF167" s="18"/>
      <c r="AG167" s="25"/>
      <c r="AH167" s="18"/>
      <c r="AI167" s="25"/>
      <c r="AJ167" s="18"/>
      <c r="AK167" s="25"/>
      <c r="AL167" s="18"/>
      <c r="AM167" s="25"/>
      <c r="AN167" s="18"/>
      <c r="AO167" s="25"/>
      <c r="AP167" s="18"/>
      <c r="AQ167" s="25"/>
      <c r="AR167" s="18"/>
      <c r="AS167" s="25"/>
      <c r="AT167" s="18"/>
      <c r="AU167" s="25"/>
      <c r="AV167" s="18"/>
      <c r="AW167" s="25"/>
      <c r="AX167" s="18"/>
      <c r="AY167" s="25"/>
      <c r="AZ167" s="18"/>
      <c r="BA167" s="25"/>
      <c r="BB167" s="18"/>
      <c r="BC167" s="25"/>
      <c r="BD167" s="18"/>
      <c r="BE167" s="25"/>
      <c r="BF167" s="18"/>
      <c r="BG167" s="25"/>
      <c r="BH167" s="18"/>
      <c r="BI167" s="25"/>
      <c r="BJ167" s="18"/>
      <c r="BK167" s="25"/>
      <c r="BL167" s="18"/>
      <c r="BM167" s="25"/>
      <c r="BN167" s="18"/>
      <c r="BO167" s="25"/>
      <c r="BP167" s="18"/>
      <c r="BQ167" s="25"/>
      <c r="BR167" s="18"/>
      <c r="BS167" s="25"/>
      <c r="BT167" s="18"/>
      <c r="BU167" s="25"/>
      <c r="BV167" s="18"/>
      <c r="BW167" s="25"/>
      <c r="BX167" s="18"/>
      <c r="BY167" s="25"/>
      <c r="BZ167" s="18"/>
      <c r="CA167" s="25"/>
      <c r="CB167" s="18"/>
      <c r="CC167" s="25"/>
      <c r="CD167" s="18"/>
      <c r="CE167" s="25"/>
      <c r="CF167" s="18"/>
      <c r="CG167" s="25"/>
      <c r="CH167" s="18"/>
      <c r="CI167" s="25"/>
      <c r="CJ167" s="18"/>
      <c r="CK167" s="25"/>
      <c r="CL167" s="18"/>
      <c r="CM167" s="25"/>
      <c r="CN167" s="18"/>
      <c r="CO167" s="25"/>
      <c r="CP167" s="18"/>
      <c r="CQ167" s="25"/>
      <c r="CR167" s="18"/>
      <c r="CS167" s="25"/>
      <c r="CT167" s="18"/>
      <c r="CU167" s="25"/>
      <c r="CV167" s="18"/>
      <c r="CW167" s="25"/>
      <c r="CX167" s="18"/>
      <c r="CY167" s="25"/>
      <c r="CZ167" s="18"/>
      <c r="DA167" s="25"/>
      <c r="DB167" s="18"/>
      <c r="DC167" s="25"/>
      <c r="DD167" s="18"/>
      <c r="DE167" s="25"/>
      <c r="DF167" s="18"/>
      <c r="DG167" s="25"/>
      <c r="DH167" s="18"/>
      <c r="DI167" s="25"/>
      <c r="DJ167" s="18"/>
      <c r="DK167" s="25"/>
      <c r="DL167" s="18"/>
      <c r="DM167" s="25"/>
      <c r="DN167" s="18"/>
      <c r="DO167" s="25"/>
      <c r="DP167" s="18"/>
      <c r="DQ167" s="25"/>
      <c r="DR167" s="18"/>
      <c r="DS167" s="25"/>
      <c r="DT167" s="18"/>
      <c r="DU167" s="25"/>
      <c r="DV167" s="18"/>
      <c r="DW167" s="25"/>
      <c r="DX167" s="18"/>
      <c r="DY167" s="25"/>
      <c r="DZ167" s="18"/>
      <c r="EA167" s="25"/>
      <c r="EB167" s="18"/>
      <c r="EC167" s="25"/>
      <c r="ED167" s="18"/>
      <c r="EE167" s="25"/>
      <c r="EF167" s="18"/>
      <c r="EG167" s="25"/>
      <c r="EH167" s="18"/>
      <c r="EI167" s="25"/>
      <c r="EJ167" s="18"/>
      <c r="EK167" s="25"/>
      <c r="EL167" s="18"/>
    </row>
    <row r="168" spans="1:142" s="75" customFormat="1" x14ac:dyDescent="0.2">
      <c r="A168" s="43"/>
      <c r="B168" s="18"/>
      <c r="C168" s="25"/>
      <c r="D168" s="18"/>
      <c r="E168" s="25"/>
      <c r="F168" s="18"/>
      <c r="G168" s="25"/>
      <c r="H168" s="18"/>
      <c r="I168" s="25"/>
      <c r="J168" s="18"/>
      <c r="K168" s="25"/>
      <c r="L168" s="18"/>
      <c r="M168" s="25"/>
      <c r="N168" s="18"/>
      <c r="O168" s="25"/>
      <c r="P168" s="18"/>
      <c r="Q168" s="25"/>
      <c r="R168" s="18"/>
      <c r="S168" s="25"/>
      <c r="T168" s="18"/>
      <c r="U168" s="25"/>
      <c r="V168" s="18"/>
      <c r="W168" s="25"/>
      <c r="X168" s="18"/>
      <c r="Y168" s="25"/>
      <c r="Z168" s="18"/>
      <c r="AA168" s="25"/>
      <c r="AB168" s="18"/>
      <c r="AC168" s="25"/>
      <c r="AD168" s="18"/>
      <c r="AE168" s="25"/>
      <c r="AF168" s="18"/>
      <c r="AG168" s="25"/>
      <c r="AH168" s="18"/>
      <c r="AI168" s="25"/>
      <c r="AJ168" s="18"/>
      <c r="AK168" s="25"/>
      <c r="AL168" s="18"/>
      <c r="AM168" s="25"/>
      <c r="AN168" s="18"/>
      <c r="AO168" s="25"/>
      <c r="AP168" s="18"/>
      <c r="AQ168" s="25"/>
      <c r="AR168" s="18"/>
      <c r="AS168" s="25"/>
      <c r="AT168" s="18"/>
      <c r="AU168" s="25"/>
      <c r="AV168" s="18"/>
      <c r="AW168" s="25"/>
      <c r="AX168" s="18"/>
      <c r="AY168" s="25"/>
      <c r="AZ168" s="18"/>
      <c r="BA168" s="25"/>
      <c r="BB168" s="18"/>
      <c r="BC168" s="25"/>
      <c r="BD168" s="18"/>
      <c r="BE168" s="25"/>
      <c r="BF168" s="18"/>
      <c r="BG168" s="25"/>
      <c r="BH168" s="18"/>
      <c r="BI168" s="25"/>
      <c r="BJ168" s="18"/>
      <c r="BK168" s="25"/>
      <c r="BL168" s="18"/>
      <c r="BM168" s="25"/>
      <c r="BN168" s="18"/>
      <c r="BO168" s="25"/>
      <c r="BP168" s="18"/>
      <c r="BQ168" s="25"/>
      <c r="BR168" s="18"/>
      <c r="BS168" s="25"/>
      <c r="BT168" s="18"/>
      <c r="BU168" s="25"/>
      <c r="BV168" s="18"/>
      <c r="BW168" s="25"/>
      <c r="BX168" s="18"/>
      <c r="BY168" s="25"/>
      <c r="BZ168" s="18"/>
      <c r="CA168" s="25"/>
      <c r="CB168" s="18"/>
      <c r="CC168" s="25"/>
      <c r="CD168" s="18"/>
      <c r="CE168" s="25"/>
      <c r="CF168" s="18"/>
      <c r="CG168" s="25"/>
      <c r="CH168" s="18"/>
      <c r="CI168" s="25"/>
      <c r="CJ168" s="18"/>
      <c r="CK168" s="25"/>
      <c r="CL168" s="18"/>
      <c r="CM168" s="25"/>
      <c r="CN168" s="18"/>
      <c r="CO168" s="25"/>
      <c r="CP168" s="18"/>
      <c r="CQ168" s="25"/>
      <c r="CR168" s="18"/>
      <c r="CS168" s="25"/>
      <c r="CT168" s="18"/>
      <c r="CU168" s="25"/>
      <c r="CV168" s="18"/>
      <c r="CW168" s="25"/>
      <c r="CX168" s="18"/>
      <c r="CY168" s="25"/>
      <c r="CZ168" s="18"/>
      <c r="DA168" s="25"/>
      <c r="DB168" s="18"/>
      <c r="DC168" s="25"/>
      <c r="DD168" s="18"/>
      <c r="DE168" s="25"/>
      <c r="DF168" s="18"/>
      <c r="DG168" s="25"/>
      <c r="DH168" s="18"/>
      <c r="DI168" s="25"/>
      <c r="DJ168" s="18"/>
      <c r="DK168" s="25"/>
      <c r="DL168" s="18"/>
      <c r="DM168" s="25"/>
      <c r="DN168" s="18"/>
      <c r="DO168" s="25"/>
      <c r="DP168" s="18"/>
      <c r="DQ168" s="25"/>
      <c r="DR168" s="18"/>
      <c r="DS168" s="25"/>
      <c r="DT168" s="18"/>
      <c r="DU168" s="25"/>
      <c r="DV168" s="18"/>
      <c r="DW168" s="25"/>
      <c r="DX168" s="18"/>
      <c r="DY168" s="25"/>
      <c r="DZ168" s="18"/>
      <c r="EA168" s="25"/>
      <c r="EB168" s="18"/>
      <c r="EC168" s="25"/>
      <c r="ED168" s="18"/>
      <c r="EE168" s="25"/>
      <c r="EF168" s="18"/>
      <c r="EG168" s="25"/>
      <c r="EH168" s="18"/>
      <c r="EI168" s="25"/>
      <c r="EJ168" s="18"/>
      <c r="EK168" s="25"/>
      <c r="EL168" s="18"/>
    </row>
    <row r="169" spans="1:142" s="75" customFormat="1" x14ac:dyDescent="0.2">
      <c r="A169" s="43"/>
      <c r="B169" s="18"/>
      <c r="C169" s="25"/>
      <c r="D169" s="18"/>
      <c r="E169" s="25"/>
      <c r="F169" s="18"/>
      <c r="G169" s="25"/>
      <c r="H169" s="18"/>
      <c r="I169" s="25"/>
      <c r="J169" s="18"/>
      <c r="K169" s="25"/>
      <c r="L169" s="18"/>
      <c r="M169" s="25"/>
      <c r="N169" s="18"/>
      <c r="O169" s="25"/>
      <c r="P169" s="18"/>
      <c r="Q169" s="25"/>
      <c r="R169" s="18"/>
      <c r="S169" s="25"/>
      <c r="T169" s="18"/>
      <c r="U169" s="25"/>
      <c r="V169" s="18"/>
      <c r="W169" s="25"/>
      <c r="X169" s="18"/>
      <c r="Y169" s="25"/>
      <c r="Z169" s="18"/>
      <c r="AA169" s="25"/>
      <c r="AB169" s="18"/>
      <c r="AC169" s="25"/>
      <c r="AD169" s="18"/>
      <c r="AE169" s="25"/>
      <c r="AF169" s="18"/>
      <c r="AG169" s="25"/>
      <c r="AH169" s="18"/>
      <c r="AI169" s="25"/>
      <c r="AJ169" s="18"/>
      <c r="AK169" s="25"/>
      <c r="AL169" s="18"/>
      <c r="AM169" s="25"/>
      <c r="AN169" s="18"/>
      <c r="AO169" s="25"/>
      <c r="AP169" s="18"/>
      <c r="AQ169" s="25"/>
      <c r="AR169" s="18"/>
      <c r="AS169" s="25"/>
      <c r="AT169" s="18"/>
      <c r="AU169" s="25"/>
      <c r="AV169" s="18"/>
      <c r="AW169" s="25"/>
      <c r="AX169" s="18"/>
      <c r="AY169" s="25"/>
      <c r="AZ169" s="18"/>
      <c r="BA169" s="25"/>
      <c r="BB169" s="18"/>
      <c r="BC169" s="25"/>
      <c r="BD169" s="18"/>
      <c r="BE169" s="25"/>
      <c r="BF169" s="18"/>
      <c r="BG169" s="25"/>
      <c r="BH169" s="18"/>
      <c r="BI169" s="25"/>
      <c r="BJ169" s="18"/>
      <c r="BK169" s="25"/>
      <c r="BL169" s="18"/>
      <c r="BM169" s="25"/>
      <c r="BN169" s="18"/>
      <c r="BO169" s="25"/>
      <c r="BP169" s="18"/>
      <c r="BQ169" s="25"/>
      <c r="BR169" s="18"/>
      <c r="BS169" s="25"/>
      <c r="BT169" s="18"/>
      <c r="BU169" s="25"/>
      <c r="BV169" s="18"/>
      <c r="BW169" s="25"/>
      <c r="BX169" s="18"/>
      <c r="BY169" s="25"/>
      <c r="BZ169" s="18"/>
      <c r="CA169" s="25"/>
      <c r="CB169" s="18"/>
      <c r="CC169" s="25"/>
      <c r="CD169" s="18"/>
      <c r="CE169" s="25"/>
      <c r="CF169" s="18"/>
      <c r="CG169" s="25"/>
      <c r="CH169" s="18"/>
      <c r="CI169" s="25"/>
      <c r="CJ169" s="18"/>
      <c r="CK169" s="25"/>
      <c r="CL169" s="18"/>
      <c r="CM169" s="25"/>
      <c r="CN169" s="18"/>
      <c r="CO169" s="25"/>
      <c r="CP169" s="18"/>
      <c r="CQ169" s="25"/>
      <c r="CR169" s="18"/>
      <c r="CS169" s="25"/>
      <c r="CT169" s="18"/>
      <c r="CU169" s="25"/>
      <c r="CV169" s="18"/>
      <c r="CW169" s="25"/>
      <c r="CX169" s="18"/>
      <c r="CY169" s="25"/>
      <c r="CZ169" s="18"/>
      <c r="DA169" s="25"/>
      <c r="DB169" s="18"/>
      <c r="DC169" s="25"/>
      <c r="DD169" s="18"/>
      <c r="DE169" s="25"/>
      <c r="DF169" s="18"/>
      <c r="DG169" s="25"/>
      <c r="DH169" s="18"/>
      <c r="DI169" s="25"/>
      <c r="DJ169" s="18"/>
      <c r="DK169" s="25"/>
      <c r="DL169" s="18"/>
      <c r="DM169" s="25"/>
      <c r="DN169" s="18"/>
      <c r="DO169" s="25"/>
      <c r="DP169" s="18"/>
      <c r="DQ169" s="25"/>
      <c r="DR169" s="18"/>
      <c r="DS169" s="25"/>
      <c r="DT169" s="18"/>
      <c r="DU169" s="25"/>
      <c r="DV169" s="18"/>
      <c r="DW169" s="25"/>
      <c r="DX169" s="18"/>
      <c r="DY169" s="25"/>
      <c r="DZ169" s="18"/>
      <c r="EA169" s="25"/>
      <c r="EB169" s="18"/>
      <c r="EC169" s="25"/>
      <c r="ED169" s="18"/>
      <c r="EE169" s="25"/>
      <c r="EF169" s="18"/>
      <c r="EG169" s="25"/>
      <c r="EH169" s="18"/>
      <c r="EI169" s="25"/>
      <c r="EJ169" s="18"/>
      <c r="EK169" s="25"/>
      <c r="EL169" s="18"/>
    </row>
    <row r="170" spans="1:142" s="75" customFormat="1" x14ac:dyDescent="0.2">
      <c r="A170" s="43"/>
      <c r="B170" s="18"/>
      <c r="C170" s="59"/>
      <c r="D170" s="18"/>
      <c r="E170" s="59"/>
      <c r="F170" s="18"/>
      <c r="G170" s="59"/>
      <c r="H170" s="18"/>
      <c r="I170" s="59"/>
      <c r="J170" s="18"/>
      <c r="K170" s="59"/>
      <c r="L170" s="18"/>
      <c r="M170" s="59"/>
      <c r="N170" s="18"/>
      <c r="O170" s="59"/>
      <c r="P170" s="18"/>
      <c r="Q170" s="59"/>
      <c r="R170" s="18"/>
      <c r="S170" s="59"/>
      <c r="T170" s="18"/>
      <c r="U170" s="59"/>
      <c r="V170" s="18"/>
      <c r="W170" s="59"/>
      <c r="X170" s="18"/>
      <c r="Y170" s="59"/>
      <c r="Z170" s="18"/>
      <c r="AA170" s="59"/>
      <c r="AB170" s="18"/>
      <c r="AC170" s="59"/>
      <c r="AD170" s="18"/>
      <c r="AE170" s="59"/>
      <c r="AF170" s="18"/>
      <c r="AG170" s="59"/>
      <c r="AH170" s="18"/>
      <c r="AI170" s="59"/>
      <c r="AJ170" s="18"/>
      <c r="AK170" s="59"/>
      <c r="AL170" s="18"/>
      <c r="AM170" s="59"/>
      <c r="AN170" s="18"/>
      <c r="AO170" s="59"/>
      <c r="AP170" s="18"/>
      <c r="AQ170" s="59"/>
      <c r="AR170" s="18"/>
      <c r="AS170" s="59"/>
      <c r="AT170" s="18"/>
      <c r="AU170" s="59"/>
      <c r="AV170" s="18"/>
      <c r="AW170" s="59"/>
      <c r="AX170" s="18"/>
      <c r="AY170" s="59"/>
      <c r="AZ170" s="18"/>
      <c r="BA170" s="59"/>
      <c r="BB170" s="18"/>
      <c r="BC170" s="59"/>
      <c r="BD170" s="18"/>
      <c r="BE170" s="59"/>
      <c r="BF170" s="18"/>
      <c r="BG170" s="59"/>
      <c r="BH170" s="18"/>
      <c r="BI170" s="59"/>
      <c r="BJ170" s="18"/>
      <c r="BK170" s="59"/>
      <c r="BL170" s="18"/>
      <c r="BM170" s="59"/>
      <c r="BN170" s="18"/>
      <c r="BO170" s="59"/>
      <c r="BP170" s="18"/>
      <c r="BQ170" s="59"/>
      <c r="BR170" s="18"/>
      <c r="BS170" s="59"/>
      <c r="BT170" s="18"/>
      <c r="BU170" s="59"/>
      <c r="BV170" s="18"/>
      <c r="BW170" s="59"/>
      <c r="BX170" s="18"/>
      <c r="BY170" s="59"/>
      <c r="BZ170" s="18"/>
      <c r="CA170" s="59"/>
      <c r="CB170" s="18"/>
      <c r="CC170" s="59"/>
      <c r="CD170" s="18"/>
      <c r="CE170" s="59"/>
      <c r="CF170" s="18"/>
      <c r="CG170" s="59"/>
      <c r="CH170" s="18"/>
      <c r="CI170" s="59"/>
      <c r="CJ170" s="18"/>
      <c r="CK170" s="59"/>
      <c r="CL170" s="18"/>
      <c r="CM170" s="59"/>
      <c r="CN170" s="18"/>
      <c r="CO170" s="59"/>
      <c r="CP170" s="18"/>
      <c r="CQ170" s="59"/>
      <c r="CR170" s="18"/>
      <c r="CS170" s="59"/>
      <c r="CT170" s="18"/>
      <c r="CU170" s="59"/>
      <c r="CV170" s="18"/>
      <c r="CW170" s="59"/>
      <c r="CX170" s="18"/>
      <c r="CY170" s="59"/>
      <c r="CZ170" s="18"/>
      <c r="DA170" s="59"/>
      <c r="DB170" s="18"/>
      <c r="DC170" s="59"/>
      <c r="DD170" s="18"/>
      <c r="DE170" s="59"/>
      <c r="DF170" s="18"/>
      <c r="DG170" s="59"/>
      <c r="DH170" s="18"/>
      <c r="DI170" s="59"/>
      <c r="DJ170" s="18"/>
      <c r="DK170" s="59"/>
      <c r="DL170" s="18"/>
      <c r="DM170" s="59"/>
      <c r="DN170" s="18"/>
      <c r="DO170" s="59"/>
      <c r="DP170" s="18"/>
      <c r="DQ170" s="59"/>
      <c r="DR170" s="18"/>
      <c r="DS170" s="59"/>
      <c r="DT170" s="18"/>
      <c r="DU170" s="59"/>
      <c r="DV170" s="18"/>
      <c r="DW170" s="59"/>
      <c r="DX170" s="18"/>
      <c r="DY170" s="59"/>
      <c r="DZ170" s="18"/>
      <c r="EA170" s="59"/>
      <c r="EB170" s="18"/>
      <c r="EC170" s="59"/>
      <c r="ED170" s="18"/>
      <c r="EE170" s="59"/>
      <c r="EF170" s="18"/>
      <c r="EG170" s="59"/>
      <c r="EH170" s="18"/>
      <c r="EI170" s="59"/>
      <c r="EJ170" s="18"/>
      <c r="EK170" s="59"/>
      <c r="EL170" s="18"/>
    </row>
    <row r="171" spans="1:142" s="75" customFormat="1" x14ac:dyDescent="0.2">
      <c r="A171" s="43"/>
      <c r="B171" s="18"/>
      <c r="C171" s="59"/>
      <c r="D171" s="18"/>
      <c r="E171" s="59"/>
      <c r="F171" s="18"/>
      <c r="G171" s="59"/>
      <c r="H171" s="18"/>
      <c r="I171" s="59"/>
      <c r="J171" s="18"/>
      <c r="K171" s="59"/>
      <c r="L171" s="18"/>
      <c r="M171" s="59"/>
      <c r="N171" s="18"/>
      <c r="O171" s="59"/>
      <c r="P171" s="18"/>
      <c r="Q171" s="59"/>
      <c r="R171" s="18"/>
      <c r="S171" s="59"/>
      <c r="T171" s="18"/>
      <c r="U171" s="59"/>
      <c r="V171" s="18"/>
      <c r="W171" s="59"/>
      <c r="X171" s="18"/>
      <c r="Y171" s="59"/>
      <c r="Z171" s="18"/>
      <c r="AA171" s="59"/>
      <c r="AB171" s="18"/>
      <c r="AC171" s="59"/>
      <c r="AD171" s="18"/>
      <c r="AE171" s="59"/>
      <c r="AF171" s="18"/>
      <c r="AG171" s="59"/>
      <c r="AH171" s="18"/>
      <c r="AI171" s="59"/>
      <c r="AJ171" s="18"/>
      <c r="AK171" s="59"/>
      <c r="AL171" s="18"/>
      <c r="AM171" s="59"/>
      <c r="AN171" s="18"/>
      <c r="AO171" s="59"/>
      <c r="AP171" s="18"/>
      <c r="AQ171" s="59"/>
      <c r="AR171" s="18"/>
      <c r="AS171" s="59"/>
      <c r="AT171" s="18"/>
      <c r="AU171" s="59"/>
      <c r="AV171" s="18"/>
      <c r="AW171" s="59"/>
      <c r="AX171" s="18"/>
      <c r="AY171" s="59"/>
      <c r="AZ171" s="18"/>
      <c r="BA171" s="59"/>
      <c r="BB171" s="18"/>
      <c r="BC171" s="59"/>
      <c r="BD171" s="18"/>
      <c r="BE171" s="59"/>
      <c r="BF171" s="18"/>
      <c r="BG171" s="59"/>
      <c r="BH171" s="18"/>
      <c r="BI171" s="59"/>
      <c r="BJ171" s="18"/>
      <c r="BK171" s="59"/>
      <c r="BL171" s="18"/>
      <c r="BM171" s="59"/>
      <c r="BN171" s="18"/>
      <c r="BO171" s="59"/>
      <c r="BP171" s="18"/>
      <c r="BQ171" s="59"/>
      <c r="BR171" s="18"/>
      <c r="BS171" s="59"/>
      <c r="BT171" s="18"/>
      <c r="BU171" s="59"/>
      <c r="BV171" s="18"/>
      <c r="BW171" s="59"/>
      <c r="BX171" s="18"/>
      <c r="BY171" s="59"/>
      <c r="BZ171" s="18"/>
      <c r="CA171" s="59"/>
      <c r="CB171" s="18"/>
      <c r="CC171" s="59"/>
      <c r="CD171" s="18"/>
      <c r="CE171" s="59"/>
      <c r="CF171" s="18"/>
      <c r="CG171" s="59"/>
      <c r="CH171" s="18"/>
      <c r="CI171" s="59"/>
      <c r="CJ171" s="18"/>
      <c r="CK171" s="59"/>
      <c r="CL171" s="18"/>
      <c r="CM171" s="59"/>
      <c r="CN171" s="18"/>
      <c r="CO171" s="59"/>
      <c r="CP171" s="18"/>
      <c r="CQ171" s="59"/>
      <c r="CR171" s="18"/>
      <c r="CS171" s="59"/>
      <c r="CT171" s="18"/>
      <c r="CU171" s="59"/>
      <c r="CV171" s="18"/>
      <c r="CW171" s="59"/>
      <c r="CX171" s="18"/>
      <c r="CY171" s="59"/>
      <c r="CZ171" s="18"/>
      <c r="DA171" s="59"/>
      <c r="DB171" s="18"/>
      <c r="DC171" s="59"/>
      <c r="DD171" s="18"/>
      <c r="DE171" s="59"/>
      <c r="DF171" s="18"/>
      <c r="DG171" s="59"/>
      <c r="DH171" s="18"/>
      <c r="DI171" s="59"/>
      <c r="DJ171" s="18"/>
      <c r="DK171" s="59"/>
      <c r="DL171" s="18"/>
      <c r="DM171" s="59"/>
      <c r="DN171" s="18"/>
      <c r="DO171" s="59"/>
      <c r="DP171" s="18"/>
      <c r="DQ171" s="59"/>
      <c r="DR171" s="18"/>
      <c r="DS171" s="59"/>
      <c r="DT171" s="18"/>
      <c r="DU171" s="59"/>
      <c r="DV171" s="18"/>
      <c r="DW171" s="59"/>
      <c r="DX171" s="18"/>
      <c r="DY171" s="59"/>
      <c r="DZ171" s="18"/>
      <c r="EA171" s="59"/>
      <c r="EB171" s="18"/>
      <c r="EC171" s="59"/>
      <c r="ED171" s="18"/>
      <c r="EE171" s="59"/>
      <c r="EF171" s="18"/>
      <c r="EG171" s="59"/>
      <c r="EH171" s="18"/>
      <c r="EI171" s="59"/>
      <c r="EJ171" s="18"/>
      <c r="EK171" s="59"/>
      <c r="EL171" s="18"/>
    </row>
    <row r="172" spans="1:142" s="75" customFormat="1" x14ac:dyDescent="0.2">
      <c r="A172" s="43"/>
      <c r="B172" s="18"/>
      <c r="C172" s="59"/>
      <c r="D172" s="18"/>
      <c r="E172" s="59"/>
      <c r="F172" s="18"/>
      <c r="G172" s="59"/>
      <c r="H172" s="18"/>
      <c r="I172" s="59"/>
      <c r="J172" s="18"/>
      <c r="K172" s="59"/>
      <c r="L172" s="18"/>
      <c r="M172" s="59"/>
      <c r="N172" s="18"/>
      <c r="O172" s="59"/>
      <c r="P172" s="18"/>
      <c r="Q172" s="59"/>
      <c r="R172" s="18"/>
      <c r="S172" s="59"/>
      <c r="T172" s="18"/>
      <c r="U172" s="59"/>
      <c r="V172" s="18"/>
      <c r="W172" s="59"/>
      <c r="X172" s="18"/>
      <c r="Y172" s="59"/>
      <c r="Z172" s="18"/>
      <c r="AA172" s="59"/>
      <c r="AB172" s="18"/>
      <c r="AC172" s="59"/>
      <c r="AD172" s="18"/>
      <c r="AE172" s="59"/>
      <c r="AF172" s="18"/>
      <c r="AG172" s="59"/>
      <c r="AH172" s="18"/>
      <c r="AI172" s="59"/>
      <c r="AJ172" s="18"/>
      <c r="AK172" s="59"/>
      <c r="AL172" s="18"/>
      <c r="AM172" s="59"/>
      <c r="AN172" s="18"/>
      <c r="AO172" s="59"/>
      <c r="AP172" s="18"/>
      <c r="AQ172" s="59"/>
      <c r="AR172" s="18"/>
      <c r="AS172" s="59"/>
      <c r="AT172" s="18"/>
      <c r="AU172" s="59"/>
      <c r="AV172" s="18"/>
      <c r="AW172" s="59"/>
      <c r="AX172" s="18"/>
      <c r="AY172" s="59"/>
      <c r="AZ172" s="18"/>
      <c r="BA172" s="59"/>
      <c r="BB172" s="18"/>
      <c r="BC172" s="59"/>
      <c r="BD172" s="18"/>
      <c r="BE172" s="59"/>
      <c r="BF172" s="18"/>
      <c r="BG172" s="59"/>
      <c r="BH172" s="18"/>
      <c r="BI172" s="59"/>
      <c r="BJ172" s="18"/>
      <c r="BK172" s="59"/>
      <c r="BL172" s="18"/>
      <c r="BM172" s="59"/>
      <c r="BN172" s="18"/>
      <c r="BO172" s="59"/>
      <c r="BP172" s="18"/>
      <c r="BQ172" s="59"/>
      <c r="BR172" s="18"/>
      <c r="BS172" s="59"/>
      <c r="BT172" s="18"/>
      <c r="BU172" s="59"/>
      <c r="BV172" s="18"/>
      <c r="BW172" s="59"/>
      <c r="BX172" s="18"/>
      <c r="BY172" s="59"/>
      <c r="BZ172" s="18"/>
      <c r="CA172" s="59"/>
      <c r="CB172" s="18"/>
      <c r="CC172" s="59"/>
      <c r="CD172" s="18"/>
      <c r="CE172" s="59"/>
      <c r="CF172" s="18"/>
      <c r="CG172" s="59"/>
      <c r="CH172" s="18"/>
      <c r="CI172" s="59"/>
      <c r="CJ172" s="18"/>
      <c r="CK172" s="59"/>
      <c r="CL172" s="18"/>
      <c r="CM172" s="59"/>
      <c r="CN172" s="18"/>
      <c r="CO172" s="59"/>
      <c r="CP172" s="18"/>
      <c r="CQ172" s="59"/>
      <c r="CR172" s="18"/>
      <c r="CS172" s="59"/>
      <c r="CT172" s="18"/>
      <c r="CU172" s="59"/>
      <c r="CV172" s="18"/>
      <c r="CW172" s="59"/>
      <c r="CX172" s="18"/>
      <c r="CY172" s="59"/>
      <c r="CZ172" s="18"/>
      <c r="DA172" s="59"/>
      <c r="DB172" s="18"/>
      <c r="DC172" s="59"/>
      <c r="DD172" s="18"/>
      <c r="DE172" s="59"/>
      <c r="DF172" s="18"/>
      <c r="DG172" s="59"/>
      <c r="DH172" s="18"/>
      <c r="DI172" s="59"/>
      <c r="DJ172" s="18"/>
      <c r="DK172" s="59"/>
      <c r="DL172" s="18"/>
      <c r="DM172" s="59"/>
      <c r="DN172" s="18"/>
      <c r="DO172" s="59"/>
      <c r="DP172" s="18"/>
      <c r="DQ172" s="59"/>
      <c r="DR172" s="18"/>
      <c r="DS172" s="59"/>
      <c r="DT172" s="18"/>
      <c r="DU172" s="59"/>
      <c r="DV172" s="18"/>
      <c r="DW172" s="59"/>
      <c r="DX172" s="18"/>
      <c r="DY172" s="59"/>
      <c r="DZ172" s="18"/>
      <c r="EA172" s="59"/>
      <c r="EB172" s="18"/>
      <c r="EC172" s="59"/>
      <c r="ED172" s="18"/>
      <c r="EE172" s="59"/>
      <c r="EF172" s="18"/>
      <c r="EG172" s="59"/>
      <c r="EH172" s="18"/>
      <c r="EI172" s="59"/>
      <c r="EJ172" s="18"/>
      <c r="EK172" s="59"/>
      <c r="EL172" s="18"/>
    </row>
    <row r="173" spans="1:142" s="75" customFormat="1" x14ac:dyDescent="0.2">
      <c r="A173" s="43"/>
      <c r="B173" s="18"/>
      <c r="C173" s="59"/>
      <c r="D173" s="18"/>
      <c r="E173" s="59"/>
      <c r="F173" s="18"/>
      <c r="G173" s="59"/>
      <c r="H173" s="18"/>
      <c r="I173" s="59"/>
      <c r="J173" s="18"/>
      <c r="K173" s="59"/>
      <c r="L173" s="18"/>
      <c r="M173" s="59"/>
      <c r="N173" s="18"/>
      <c r="O173" s="59"/>
      <c r="P173" s="18"/>
      <c r="Q173" s="59"/>
      <c r="R173" s="18"/>
      <c r="S173" s="59"/>
      <c r="T173" s="18"/>
      <c r="U173" s="59"/>
      <c r="V173" s="18"/>
      <c r="W173" s="59"/>
      <c r="X173" s="18"/>
      <c r="Y173" s="59"/>
      <c r="Z173" s="18"/>
      <c r="AA173" s="59"/>
      <c r="AB173" s="18"/>
      <c r="AC173" s="59"/>
      <c r="AD173" s="18"/>
      <c r="AE173" s="59"/>
      <c r="AF173" s="18"/>
      <c r="AG173" s="59"/>
      <c r="AH173" s="18"/>
      <c r="AI173" s="59"/>
      <c r="AJ173" s="18"/>
      <c r="AK173" s="59"/>
      <c r="AL173" s="18"/>
      <c r="AM173" s="59"/>
      <c r="AN173" s="18"/>
      <c r="AO173" s="59"/>
      <c r="AP173" s="18"/>
      <c r="AQ173" s="59"/>
      <c r="AR173" s="18"/>
      <c r="AS173" s="59"/>
      <c r="AT173" s="18"/>
      <c r="AU173" s="59"/>
      <c r="AV173" s="18"/>
      <c r="AW173" s="59"/>
      <c r="AX173" s="18"/>
      <c r="AY173" s="59"/>
      <c r="AZ173" s="18"/>
      <c r="BA173" s="59"/>
      <c r="BB173" s="18"/>
      <c r="BC173" s="59"/>
      <c r="BD173" s="18"/>
      <c r="BE173" s="59"/>
      <c r="BF173" s="18"/>
      <c r="BG173" s="59"/>
      <c r="BH173" s="18"/>
      <c r="BI173" s="59"/>
      <c r="BJ173" s="18"/>
      <c r="BK173" s="59"/>
      <c r="BL173" s="18"/>
      <c r="BM173" s="59"/>
      <c r="BN173" s="18"/>
      <c r="BO173" s="59"/>
      <c r="BP173" s="18"/>
      <c r="BQ173" s="59"/>
      <c r="BR173" s="18"/>
      <c r="BS173" s="59"/>
      <c r="BT173" s="18"/>
      <c r="BU173" s="59"/>
      <c r="BV173" s="18"/>
      <c r="BW173" s="59"/>
      <c r="BX173" s="18"/>
      <c r="BY173" s="59"/>
      <c r="BZ173" s="18"/>
      <c r="CA173" s="59"/>
      <c r="CB173" s="18"/>
      <c r="CC173" s="59"/>
      <c r="CD173" s="18"/>
      <c r="CE173" s="59"/>
      <c r="CF173" s="18"/>
      <c r="CG173" s="59"/>
      <c r="CH173" s="18"/>
      <c r="CI173" s="59"/>
      <c r="CJ173" s="18"/>
      <c r="CK173" s="59"/>
      <c r="CL173" s="18"/>
      <c r="CM173" s="59"/>
      <c r="CN173" s="18"/>
      <c r="CO173" s="59"/>
      <c r="CP173" s="18"/>
      <c r="CQ173" s="59"/>
      <c r="CR173" s="18"/>
      <c r="CS173" s="59"/>
      <c r="CT173" s="18"/>
      <c r="CU173" s="59"/>
      <c r="CV173" s="18"/>
      <c r="CW173" s="59"/>
      <c r="CX173" s="18"/>
      <c r="CY173" s="59"/>
      <c r="CZ173" s="18"/>
      <c r="DA173" s="59"/>
      <c r="DB173" s="18"/>
      <c r="DC173" s="59"/>
      <c r="DD173" s="18"/>
      <c r="DE173" s="59"/>
      <c r="DF173" s="18"/>
      <c r="DG173" s="59"/>
      <c r="DH173" s="18"/>
      <c r="DI173" s="59"/>
      <c r="DJ173" s="18"/>
      <c r="DK173" s="59"/>
      <c r="DL173" s="18"/>
      <c r="DM173" s="59"/>
      <c r="DN173" s="18"/>
      <c r="DO173" s="59"/>
      <c r="DP173" s="18"/>
      <c r="DQ173" s="59"/>
      <c r="DR173" s="18"/>
      <c r="DS173" s="59"/>
      <c r="DT173" s="18"/>
      <c r="DU173" s="59"/>
      <c r="DV173" s="18"/>
      <c r="DW173" s="59"/>
      <c r="DX173" s="18"/>
      <c r="DY173" s="59"/>
      <c r="DZ173" s="18"/>
      <c r="EA173" s="59"/>
      <c r="EB173" s="18"/>
      <c r="EC173" s="59"/>
      <c r="ED173" s="18"/>
      <c r="EE173" s="59"/>
      <c r="EF173" s="18"/>
      <c r="EG173" s="59"/>
      <c r="EH173" s="18"/>
      <c r="EI173" s="59"/>
      <c r="EJ173" s="18"/>
      <c r="EK173" s="59"/>
      <c r="EL173" s="18"/>
    </row>
    <row r="174" spans="1:142" s="75" customFormat="1" x14ac:dyDescent="0.2">
      <c r="A174" s="43"/>
      <c r="B174" s="18"/>
      <c r="C174" s="59"/>
      <c r="D174" s="18"/>
      <c r="E174" s="59"/>
      <c r="F174" s="18"/>
      <c r="G174" s="59"/>
      <c r="H174" s="18"/>
      <c r="I174" s="59"/>
      <c r="J174" s="18"/>
      <c r="K174" s="59"/>
      <c r="L174" s="18"/>
      <c r="M174" s="59"/>
      <c r="N174" s="18"/>
      <c r="O174" s="59"/>
      <c r="P174" s="18"/>
      <c r="Q174" s="59"/>
      <c r="R174" s="18"/>
      <c r="S174" s="59"/>
      <c r="T174" s="18"/>
      <c r="U174" s="59"/>
      <c r="V174" s="18"/>
      <c r="W174" s="59"/>
      <c r="X174" s="18"/>
      <c r="Y174" s="59"/>
      <c r="Z174" s="18"/>
      <c r="AA174" s="59"/>
      <c r="AB174" s="18"/>
      <c r="AC174" s="59"/>
      <c r="AD174" s="18"/>
      <c r="AE174" s="59"/>
      <c r="AF174" s="18"/>
      <c r="AG174" s="59"/>
      <c r="AH174" s="18"/>
      <c r="AI174" s="59"/>
      <c r="AJ174" s="18"/>
      <c r="AK174" s="59"/>
      <c r="AL174" s="18"/>
      <c r="AM174" s="59"/>
      <c r="AN174" s="18"/>
      <c r="AO174" s="59"/>
      <c r="AP174" s="18"/>
      <c r="AQ174" s="59"/>
      <c r="AR174" s="18"/>
      <c r="AS174" s="59"/>
      <c r="AT174" s="18"/>
      <c r="AU174" s="59"/>
      <c r="AV174" s="18"/>
      <c r="AW174" s="59"/>
      <c r="AX174" s="18"/>
      <c r="AY174" s="59"/>
      <c r="AZ174" s="18"/>
      <c r="BA174" s="59"/>
      <c r="BB174" s="18"/>
      <c r="BC174" s="59"/>
      <c r="BD174" s="18"/>
      <c r="BE174" s="59"/>
      <c r="BF174" s="18"/>
      <c r="BG174" s="59"/>
      <c r="BH174" s="18"/>
      <c r="BI174" s="59"/>
      <c r="BJ174" s="18"/>
      <c r="BK174" s="59"/>
      <c r="BL174" s="18"/>
      <c r="BM174" s="59"/>
      <c r="BN174" s="18"/>
      <c r="BO174" s="59"/>
      <c r="BP174" s="18"/>
      <c r="BQ174" s="59"/>
      <c r="BR174" s="18"/>
      <c r="BS174" s="59"/>
      <c r="BT174" s="18"/>
      <c r="BU174" s="59"/>
      <c r="BV174" s="18"/>
      <c r="BW174" s="59"/>
      <c r="BX174" s="18"/>
      <c r="BY174" s="59"/>
      <c r="BZ174" s="18"/>
      <c r="CA174" s="59"/>
      <c r="CB174" s="18"/>
      <c r="CC174" s="59"/>
      <c r="CD174" s="18"/>
      <c r="CE174" s="59"/>
      <c r="CF174" s="18"/>
      <c r="CG174" s="59"/>
      <c r="CH174" s="18"/>
      <c r="CI174" s="59"/>
      <c r="CJ174" s="18"/>
      <c r="CK174" s="59"/>
      <c r="CL174" s="18"/>
      <c r="CM174" s="59"/>
      <c r="CN174" s="18"/>
      <c r="CO174" s="59"/>
      <c r="CP174" s="18"/>
      <c r="CQ174" s="59"/>
      <c r="CR174" s="18"/>
      <c r="CS174" s="59"/>
      <c r="CT174" s="18"/>
      <c r="CU174" s="59"/>
      <c r="CV174" s="18"/>
      <c r="CW174" s="59"/>
      <c r="CX174" s="18"/>
      <c r="CY174" s="59"/>
      <c r="CZ174" s="18"/>
      <c r="DA174" s="59"/>
      <c r="DB174" s="18"/>
      <c r="DC174" s="59"/>
      <c r="DD174" s="18"/>
      <c r="DE174" s="59"/>
      <c r="DF174" s="18"/>
      <c r="DG174" s="59"/>
      <c r="DH174" s="18"/>
      <c r="DI174" s="59"/>
      <c r="DJ174" s="18"/>
      <c r="DK174" s="59"/>
      <c r="DL174" s="18"/>
      <c r="DM174" s="59"/>
      <c r="DN174" s="18"/>
      <c r="DO174" s="59"/>
      <c r="DP174" s="18"/>
      <c r="DQ174" s="59"/>
      <c r="DR174" s="18"/>
      <c r="DS174" s="59"/>
      <c r="DT174" s="18"/>
      <c r="DU174" s="59"/>
      <c r="DV174" s="18"/>
      <c r="DW174" s="59"/>
      <c r="DX174" s="18"/>
      <c r="DY174" s="59"/>
      <c r="DZ174" s="18"/>
      <c r="EA174" s="59"/>
      <c r="EB174" s="18"/>
      <c r="EC174" s="59"/>
      <c r="ED174" s="18"/>
      <c r="EE174" s="59"/>
      <c r="EF174" s="18"/>
      <c r="EG174" s="59"/>
      <c r="EH174" s="18"/>
      <c r="EI174" s="59"/>
      <c r="EJ174" s="18"/>
      <c r="EK174" s="59"/>
      <c r="EL174" s="18"/>
    </row>
    <row r="175" spans="1:142" s="75" customFormat="1" x14ac:dyDescent="0.2">
      <c r="A175" s="43"/>
      <c r="B175" s="18"/>
      <c r="C175" s="59"/>
      <c r="D175" s="18"/>
      <c r="E175" s="59"/>
      <c r="F175" s="18"/>
      <c r="G175" s="59"/>
      <c r="H175" s="18"/>
      <c r="I175" s="59"/>
      <c r="J175" s="18"/>
      <c r="K175" s="59"/>
      <c r="L175" s="18"/>
      <c r="M175" s="59"/>
      <c r="N175" s="18"/>
      <c r="O175" s="59"/>
      <c r="P175" s="18"/>
      <c r="Q175" s="59"/>
      <c r="R175" s="18"/>
      <c r="S175" s="59"/>
      <c r="T175" s="18"/>
      <c r="U175" s="59"/>
      <c r="V175" s="18"/>
      <c r="W175" s="59"/>
      <c r="X175" s="18"/>
      <c r="Y175" s="59"/>
      <c r="Z175" s="18"/>
      <c r="AA175" s="59"/>
      <c r="AB175" s="18"/>
      <c r="AC175" s="59"/>
      <c r="AD175" s="18"/>
      <c r="AE175" s="59"/>
      <c r="AF175" s="18"/>
      <c r="AG175" s="59"/>
      <c r="AH175" s="18"/>
      <c r="AI175" s="59"/>
      <c r="AJ175" s="18"/>
      <c r="AK175" s="59"/>
      <c r="AL175" s="18"/>
      <c r="AM175" s="59"/>
      <c r="AN175" s="18"/>
      <c r="AO175" s="59"/>
      <c r="AP175" s="18"/>
      <c r="AQ175" s="59"/>
      <c r="AR175" s="18"/>
      <c r="AS175" s="59"/>
      <c r="AT175" s="18"/>
      <c r="AU175" s="59"/>
      <c r="AV175" s="18"/>
      <c r="AW175" s="59"/>
      <c r="AX175" s="18"/>
      <c r="AY175" s="59"/>
      <c r="AZ175" s="18"/>
      <c r="BA175" s="59"/>
      <c r="BB175" s="18"/>
      <c r="BC175" s="59"/>
      <c r="BD175" s="18"/>
      <c r="BE175" s="59"/>
      <c r="BF175" s="18"/>
      <c r="BG175" s="59"/>
      <c r="BH175" s="18"/>
      <c r="BI175" s="59"/>
      <c r="BJ175" s="18"/>
      <c r="BK175" s="59"/>
      <c r="BL175" s="18"/>
      <c r="BM175" s="59"/>
      <c r="BN175" s="18"/>
      <c r="BO175" s="59"/>
      <c r="BP175" s="18"/>
      <c r="BQ175" s="59"/>
      <c r="BR175" s="18"/>
      <c r="BS175" s="59"/>
      <c r="BT175" s="18"/>
      <c r="BU175" s="59"/>
      <c r="BV175" s="18"/>
      <c r="BW175" s="59"/>
      <c r="BX175" s="18"/>
      <c r="BY175" s="59"/>
      <c r="BZ175" s="18"/>
      <c r="CA175" s="59"/>
      <c r="CB175" s="18"/>
      <c r="CC175" s="59"/>
      <c r="CD175" s="18"/>
      <c r="CE175" s="59"/>
      <c r="CF175" s="18"/>
      <c r="CG175" s="59"/>
      <c r="CH175" s="18"/>
      <c r="CI175" s="59"/>
      <c r="CJ175" s="18"/>
      <c r="CK175" s="59"/>
      <c r="CL175" s="18"/>
      <c r="CM175" s="59"/>
      <c r="CN175" s="18"/>
      <c r="CO175" s="59"/>
      <c r="CP175" s="18"/>
      <c r="CQ175" s="59"/>
      <c r="CR175" s="18"/>
      <c r="CS175" s="59"/>
      <c r="CT175" s="18"/>
      <c r="CU175" s="59"/>
      <c r="CV175" s="18"/>
      <c r="CW175" s="59"/>
      <c r="CX175" s="18"/>
      <c r="CY175" s="59"/>
      <c r="CZ175" s="18"/>
      <c r="DA175" s="59"/>
      <c r="DB175" s="18"/>
      <c r="DC175" s="59"/>
      <c r="DD175" s="18"/>
      <c r="DE175" s="59"/>
      <c r="DF175" s="18"/>
      <c r="DG175" s="59"/>
      <c r="DH175" s="18"/>
      <c r="DI175" s="59"/>
      <c r="DJ175" s="18"/>
      <c r="DK175" s="59"/>
      <c r="DL175" s="18"/>
      <c r="DM175" s="59"/>
      <c r="DN175" s="18"/>
      <c r="DO175" s="59"/>
      <c r="DP175" s="18"/>
      <c r="DQ175" s="59"/>
      <c r="DR175" s="18"/>
      <c r="DS175" s="59"/>
      <c r="DT175" s="18"/>
      <c r="DU175" s="59"/>
      <c r="DV175" s="18"/>
      <c r="DW175" s="59"/>
      <c r="DX175" s="18"/>
      <c r="DY175" s="59"/>
      <c r="DZ175" s="18"/>
      <c r="EA175" s="59"/>
      <c r="EB175" s="18"/>
      <c r="EC175" s="59"/>
      <c r="ED175" s="18"/>
      <c r="EE175" s="59"/>
      <c r="EF175" s="18"/>
      <c r="EG175" s="59"/>
      <c r="EH175" s="18"/>
      <c r="EI175" s="59"/>
      <c r="EJ175" s="18"/>
      <c r="EK175" s="59"/>
      <c r="EL175" s="18"/>
    </row>
    <row r="176" spans="1:142" s="75" customFormat="1" x14ac:dyDescent="0.2">
      <c r="A176" s="43"/>
      <c r="B176" s="18"/>
      <c r="C176" s="59"/>
      <c r="D176" s="18"/>
      <c r="E176" s="59"/>
      <c r="F176" s="18"/>
      <c r="G176" s="59"/>
      <c r="H176" s="18"/>
      <c r="I176" s="59"/>
      <c r="J176" s="18"/>
      <c r="K176" s="59"/>
      <c r="L176" s="18"/>
      <c r="M176" s="59"/>
      <c r="N176" s="18"/>
      <c r="O176" s="59"/>
      <c r="P176" s="18"/>
      <c r="Q176" s="59"/>
      <c r="R176" s="18"/>
      <c r="S176" s="59"/>
      <c r="T176" s="18"/>
      <c r="U176" s="59"/>
      <c r="V176" s="18"/>
      <c r="W176" s="59"/>
      <c r="X176" s="18"/>
      <c r="Y176" s="59"/>
      <c r="Z176" s="18"/>
      <c r="AA176" s="59"/>
      <c r="AB176" s="18"/>
      <c r="AC176" s="59"/>
      <c r="AD176" s="18"/>
      <c r="AE176" s="59"/>
      <c r="AF176" s="18"/>
      <c r="AG176" s="59"/>
      <c r="AH176" s="18"/>
      <c r="AI176" s="59"/>
      <c r="AJ176" s="18"/>
      <c r="AK176" s="59"/>
      <c r="AL176" s="18"/>
      <c r="AM176" s="59"/>
      <c r="AN176" s="18"/>
      <c r="AO176" s="59"/>
      <c r="AP176" s="18"/>
      <c r="AQ176" s="59"/>
      <c r="AR176" s="18"/>
      <c r="AS176" s="59"/>
      <c r="AT176" s="18"/>
      <c r="AU176" s="59"/>
      <c r="AV176" s="18"/>
      <c r="AW176" s="59"/>
      <c r="AX176" s="18"/>
      <c r="AY176" s="59"/>
      <c r="AZ176" s="18"/>
      <c r="BA176" s="59"/>
      <c r="BB176" s="18"/>
      <c r="BC176" s="59"/>
      <c r="BD176" s="18"/>
      <c r="BE176" s="59"/>
      <c r="BF176" s="18"/>
      <c r="BG176" s="59"/>
      <c r="BH176" s="18"/>
      <c r="BI176" s="59"/>
      <c r="BJ176" s="18"/>
      <c r="BK176" s="59"/>
      <c r="BL176" s="18"/>
      <c r="BM176" s="59"/>
      <c r="BN176" s="18"/>
      <c r="BO176" s="59"/>
      <c r="BP176" s="18"/>
      <c r="BQ176" s="59"/>
      <c r="BR176" s="18"/>
      <c r="BS176" s="59"/>
      <c r="BT176" s="18"/>
      <c r="BU176" s="59"/>
      <c r="BV176" s="18"/>
      <c r="BW176" s="59"/>
      <c r="BX176" s="18"/>
      <c r="BY176" s="59"/>
      <c r="BZ176" s="18"/>
      <c r="CA176" s="59"/>
      <c r="CB176" s="18"/>
      <c r="CC176" s="59"/>
      <c r="CD176" s="18"/>
      <c r="CE176" s="59"/>
      <c r="CF176" s="18"/>
      <c r="CG176" s="59"/>
      <c r="CH176" s="18"/>
      <c r="CI176" s="59"/>
      <c r="CJ176" s="18"/>
      <c r="CK176" s="59"/>
      <c r="CL176" s="18"/>
      <c r="CM176" s="59"/>
      <c r="CN176" s="18"/>
      <c r="CO176" s="59"/>
      <c r="CP176" s="18"/>
      <c r="CQ176" s="59"/>
      <c r="CR176" s="18"/>
      <c r="CS176" s="59"/>
      <c r="CT176" s="18"/>
      <c r="CU176" s="59"/>
      <c r="CV176" s="18"/>
      <c r="CW176" s="59"/>
      <c r="CX176" s="18"/>
      <c r="CY176" s="59"/>
      <c r="CZ176" s="18"/>
      <c r="DA176" s="59"/>
      <c r="DB176" s="18"/>
      <c r="DC176" s="59"/>
      <c r="DD176" s="18"/>
      <c r="DE176" s="59"/>
      <c r="DF176" s="18"/>
      <c r="DG176" s="59"/>
      <c r="DH176" s="18"/>
      <c r="DI176" s="59"/>
      <c r="DJ176" s="18"/>
      <c r="DK176" s="59"/>
      <c r="DL176" s="18"/>
      <c r="DM176" s="59"/>
      <c r="DN176" s="18"/>
      <c r="DO176" s="59"/>
      <c r="DP176" s="18"/>
      <c r="DQ176" s="59"/>
      <c r="DR176" s="18"/>
      <c r="DS176" s="59"/>
      <c r="DT176" s="18"/>
      <c r="DU176" s="59"/>
      <c r="DV176" s="18"/>
      <c r="DW176" s="59"/>
      <c r="DX176" s="18"/>
      <c r="DY176" s="59"/>
      <c r="DZ176" s="18"/>
      <c r="EA176" s="59"/>
      <c r="EB176" s="18"/>
      <c r="EC176" s="59"/>
      <c r="ED176" s="18"/>
      <c r="EE176" s="59"/>
      <c r="EF176" s="18"/>
      <c r="EG176" s="59"/>
      <c r="EH176" s="18"/>
      <c r="EI176" s="59"/>
      <c r="EJ176" s="18"/>
      <c r="EK176" s="59"/>
      <c r="EL176" s="18"/>
    </row>
    <row r="177" spans="1:142" s="75" customFormat="1" x14ac:dyDescent="0.2">
      <c r="A177" s="43"/>
      <c r="B177" s="18"/>
      <c r="C177" s="59"/>
      <c r="D177" s="18"/>
      <c r="E177" s="59"/>
      <c r="F177" s="18"/>
      <c r="G177" s="59"/>
      <c r="H177" s="18"/>
      <c r="I177" s="59"/>
      <c r="J177" s="18"/>
      <c r="K177" s="59"/>
      <c r="L177" s="18"/>
      <c r="M177" s="59"/>
      <c r="N177" s="18"/>
      <c r="O177" s="59"/>
      <c r="P177" s="18"/>
      <c r="Q177" s="59"/>
      <c r="R177" s="18"/>
      <c r="S177" s="59"/>
      <c r="T177" s="18"/>
      <c r="U177" s="59"/>
      <c r="V177" s="18"/>
      <c r="W177" s="59"/>
      <c r="X177" s="18"/>
      <c r="Y177" s="59"/>
      <c r="Z177" s="18"/>
      <c r="AA177" s="59"/>
      <c r="AB177" s="18"/>
      <c r="AC177" s="59"/>
      <c r="AD177" s="18"/>
      <c r="AE177" s="59"/>
      <c r="AF177" s="18"/>
      <c r="AG177" s="59"/>
      <c r="AH177" s="18"/>
      <c r="AI177" s="59"/>
      <c r="AJ177" s="18"/>
      <c r="AK177" s="59"/>
      <c r="AL177" s="18"/>
      <c r="AM177" s="59"/>
      <c r="AN177" s="18"/>
      <c r="AO177" s="59"/>
      <c r="AP177" s="18"/>
      <c r="AQ177" s="59"/>
      <c r="AR177" s="18"/>
      <c r="AS177" s="59"/>
      <c r="AT177" s="18"/>
      <c r="AU177" s="59"/>
      <c r="AV177" s="18"/>
      <c r="AW177" s="59"/>
      <c r="AX177" s="18"/>
      <c r="AY177" s="59"/>
      <c r="AZ177" s="18"/>
      <c r="BA177" s="59"/>
      <c r="BB177" s="18"/>
      <c r="BC177" s="59"/>
      <c r="BD177" s="18"/>
      <c r="BE177" s="59"/>
      <c r="BF177" s="18"/>
      <c r="BG177" s="59"/>
      <c r="BH177" s="18"/>
      <c r="BI177" s="59"/>
      <c r="BJ177" s="18"/>
      <c r="BK177" s="59"/>
      <c r="BL177" s="18"/>
      <c r="BM177" s="59"/>
      <c r="BN177" s="18"/>
      <c r="BO177" s="59"/>
      <c r="BP177" s="18"/>
      <c r="BQ177" s="59"/>
      <c r="BR177" s="18"/>
      <c r="BS177" s="59"/>
      <c r="BT177" s="18"/>
      <c r="BU177" s="59"/>
      <c r="BV177" s="18"/>
      <c r="BW177" s="59"/>
      <c r="BX177" s="18"/>
      <c r="BY177" s="59"/>
      <c r="BZ177" s="18"/>
      <c r="CA177" s="59"/>
      <c r="CB177" s="18"/>
      <c r="CC177" s="59"/>
      <c r="CD177" s="18"/>
      <c r="CE177" s="59"/>
      <c r="CF177" s="18"/>
      <c r="CG177" s="59"/>
      <c r="CH177" s="18"/>
      <c r="CI177" s="59"/>
      <c r="CJ177" s="18"/>
      <c r="CK177" s="59"/>
      <c r="CL177" s="18"/>
      <c r="CM177" s="59"/>
      <c r="CN177" s="18"/>
      <c r="CO177" s="59"/>
      <c r="CP177" s="18"/>
      <c r="CQ177" s="59"/>
      <c r="CR177" s="18"/>
      <c r="CS177" s="59"/>
      <c r="CT177" s="18"/>
      <c r="CU177" s="59"/>
      <c r="CV177" s="18"/>
      <c r="CW177" s="59"/>
      <c r="CX177" s="18"/>
      <c r="CY177" s="59"/>
      <c r="CZ177" s="18"/>
      <c r="DA177" s="59"/>
      <c r="DB177" s="18"/>
      <c r="DC177" s="59"/>
      <c r="DD177" s="18"/>
      <c r="DE177" s="59"/>
      <c r="DF177" s="18"/>
      <c r="DG177" s="59"/>
      <c r="DH177" s="18"/>
      <c r="DI177" s="59"/>
      <c r="DJ177" s="18"/>
      <c r="DK177" s="59"/>
      <c r="DL177" s="18"/>
      <c r="DM177" s="59"/>
      <c r="DN177" s="18"/>
      <c r="DO177" s="59"/>
      <c r="DP177" s="18"/>
      <c r="DQ177" s="59"/>
      <c r="DR177" s="18"/>
      <c r="DS177" s="59"/>
      <c r="DT177" s="18"/>
      <c r="DU177" s="59"/>
      <c r="DV177" s="18"/>
      <c r="DW177" s="59"/>
      <c r="DX177" s="18"/>
      <c r="DY177" s="59"/>
      <c r="DZ177" s="18"/>
      <c r="EA177" s="59"/>
      <c r="EB177" s="18"/>
      <c r="EC177" s="59"/>
      <c r="ED177" s="18"/>
      <c r="EE177" s="59"/>
      <c r="EF177" s="18"/>
      <c r="EG177" s="59"/>
      <c r="EH177" s="18"/>
      <c r="EI177" s="59"/>
      <c r="EJ177" s="18"/>
      <c r="EK177" s="59"/>
      <c r="EL177" s="18"/>
    </row>
    <row r="178" spans="1:142" s="75" customFormat="1" x14ac:dyDescent="0.2">
      <c r="A178" s="43"/>
      <c r="B178" s="18"/>
      <c r="C178" s="59"/>
      <c r="D178" s="18"/>
      <c r="E178" s="59"/>
      <c r="F178" s="18"/>
      <c r="G178" s="59"/>
      <c r="H178" s="18"/>
      <c r="I178" s="59"/>
      <c r="J178" s="18"/>
      <c r="K178" s="59"/>
      <c r="L178" s="18"/>
      <c r="M178" s="59"/>
      <c r="N178" s="18"/>
      <c r="O178" s="59"/>
      <c r="P178" s="18"/>
      <c r="Q178" s="59"/>
      <c r="R178" s="18"/>
      <c r="S178" s="59"/>
      <c r="T178" s="18"/>
      <c r="U178" s="59"/>
      <c r="V178" s="18"/>
      <c r="W178" s="59"/>
      <c r="X178" s="18"/>
      <c r="Y178" s="59"/>
      <c r="Z178" s="18"/>
      <c r="AA178" s="59"/>
      <c r="AB178" s="18"/>
      <c r="AC178" s="59"/>
      <c r="AD178" s="18"/>
      <c r="AE178" s="59"/>
      <c r="AF178" s="18"/>
      <c r="AG178" s="59"/>
      <c r="AH178" s="18"/>
      <c r="AI178" s="59"/>
      <c r="AJ178" s="18"/>
      <c r="AK178" s="59"/>
      <c r="AL178" s="18"/>
      <c r="AM178" s="59"/>
      <c r="AN178" s="18"/>
      <c r="AO178" s="59"/>
      <c r="AP178" s="18"/>
      <c r="AQ178" s="59"/>
      <c r="AR178" s="18"/>
      <c r="AS178" s="59"/>
      <c r="AT178" s="18"/>
      <c r="AU178" s="59"/>
      <c r="AV178" s="18"/>
      <c r="AW178" s="59"/>
      <c r="AX178" s="18"/>
      <c r="AY178" s="59"/>
      <c r="AZ178" s="18"/>
      <c r="BA178" s="59"/>
      <c r="BB178" s="18"/>
      <c r="BC178" s="59"/>
      <c r="BD178" s="18"/>
      <c r="BE178" s="59"/>
      <c r="BF178" s="18"/>
      <c r="BG178" s="59"/>
      <c r="BH178" s="18"/>
      <c r="BI178" s="59"/>
      <c r="BJ178" s="18"/>
      <c r="BK178" s="59"/>
      <c r="BL178" s="18"/>
      <c r="BM178" s="59"/>
      <c r="BN178" s="18"/>
      <c r="BO178" s="59"/>
      <c r="BP178" s="18"/>
      <c r="BQ178" s="59"/>
      <c r="BR178" s="18"/>
      <c r="BS178" s="59"/>
      <c r="BT178" s="18"/>
      <c r="BU178" s="59"/>
      <c r="BV178" s="18"/>
      <c r="BW178" s="59"/>
      <c r="BX178" s="18"/>
      <c r="BY178" s="59"/>
      <c r="BZ178" s="18"/>
      <c r="CA178" s="59"/>
      <c r="CB178" s="18"/>
      <c r="CC178" s="59"/>
      <c r="CD178" s="18"/>
      <c r="CE178" s="59"/>
      <c r="CF178" s="18"/>
      <c r="CG178" s="59"/>
      <c r="CH178" s="18"/>
      <c r="CI178" s="59"/>
      <c r="CJ178" s="18"/>
      <c r="CK178" s="59"/>
      <c r="CL178" s="18"/>
      <c r="CM178" s="59"/>
      <c r="CN178" s="18"/>
      <c r="CO178" s="59"/>
      <c r="CP178" s="18"/>
      <c r="CQ178" s="59"/>
      <c r="CR178" s="18"/>
      <c r="CS178" s="59"/>
      <c r="CT178" s="18"/>
      <c r="CU178" s="59"/>
      <c r="CV178" s="18"/>
      <c r="CW178" s="59"/>
      <c r="CX178" s="18"/>
      <c r="CY178" s="59"/>
      <c r="CZ178" s="18"/>
      <c r="DA178" s="59"/>
      <c r="DB178" s="18"/>
      <c r="DC178" s="59"/>
      <c r="DD178" s="18"/>
      <c r="DE178" s="59"/>
      <c r="DF178" s="18"/>
      <c r="DG178" s="59"/>
      <c r="DH178" s="18"/>
      <c r="DI178" s="59"/>
      <c r="DJ178" s="18"/>
      <c r="DK178" s="59"/>
      <c r="DL178" s="18"/>
      <c r="DM178" s="59"/>
      <c r="DN178" s="18"/>
      <c r="DO178" s="59"/>
      <c r="DP178" s="18"/>
      <c r="DQ178" s="59"/>
      <c r="DR178" s="18"/>
      <c r="DS178" s="59"/>
      <c r="DT178" s="18"/>
      <c r="DU178" s="59"/>
      <c r="DV178" s="18"/>
      <c r="DW178" s="59"/>
      <c r="DX178" s="18"/>
      <c r="DY178" s="59"/>
      <c r="DZ178" s="18"/>
      <c r="EA178" s="59"/>
      <c r="EB178" s="18"/>
      <c r="EC178" s="59"/>
      <c r="ED178" s="18"/>
      <c r="EE178" s="59"/>
      <c r="EF178" s="18"/>
      <c r="EG178" s="59"/>
      <c r="EH178" s="18"/>
      <c r="EI178" s="59"/>
      <c r="EJ178" s="18"/>
      <c r="EK178" s="59"/>
      <c r="EL178" s="18"/>
    </row>
    <row r="179" spans="1:142" s="75" customFormat="1" x14ac:dyDescent="0.2">
      <c r="A179" s="43"/>
      <c r="B179" s="18"/>
      <c r="C179" s="59"/>
      <c r="D179" s="18"/>
      <c r="E179" s="59"/>
      <c r="F179" s="18"/>
      <c r="G179" s="59"/>
      <c r="H179" s="18"/>
      <c r="I179" s="59"/>
      <c r="J179" s="18"/>
      <c r="K179" s="59"/>
      <c r="L179" s="18"/>
      <c r="M179" s="59"/>
      <c r="N179" s="18"/>
      <c r="O179" s="59"/>
      <c r="P179" s="18"/>
      <c r="Q179" s="59"/>
      <c r="R179" s="18"/>
      <c r="S179" s="59"/>
      <c r="T179" s="18"/>
      <c r="U179" s="59"/>
      <c r="V179" s="18"/>
      <c r="W179" s="59"/>
      <c r="X179" s="18"/>
      <c r="Y179" s="59"/>
      <c r="Z179" s="18"/>
      <c r="AA179" s="59"/>
      <c r="AB179" s="18"/>
      <c r="AC179" s="59"/>
      <c r="AD179" s="18"/>
      <c r="AE179" s="59"/>
      <c r="AF179" s="18"/>
      <c r="AG179" s="59"/>
      <c r="AH179" s="18"/>
      <c r="AI179" s="59"/>
      <c r="AJ179" s="18"/>
      <c r="AK179" s="59"/>
      <c r="AL179" s="18"/>
      <c r="AM179" s="59"/>
      <c r="AN179" s="18"/>
      <c r="AO179" s="59"/>
      <c r="AP179" s="18"/>
      <c r="AQ179" s="59"/>
      <c r="AR179" s="18"/>
      <c r="AS179" s="59"/>
      <c r="AT179" s="18"/>
      <c r="AU179" s="59"/>
      <c r="AV179" s="18"/>
      <c r="AW179" s="59"/>
      <c r="AX179" s="18"/>
      <c r="AY179" s="59"/>
      <c r="AZ179" s="18"/>
      <c r="BA179" s="59"/>
      <c r="BB179" s="18"/>
      <c r="BC179" s="59"/>
      <c r="BD179" s="18"/>
      <c r="BE179" s="59"/>
      <c r="BF179" s="18"/>
      <c r="BG179" s="59"/>
      <c r="BH179" s="18"/>
      <c r="BI179" s="59"/>
      <c r="BJ179" s="18"/>
      <c r="BK179" s="59"/>
      <c r="BL179" s="18"/>
      <c r="BM179" s="59"/>
      <c r="BN179" s="18"/>
      <c r="BO179" s="59"/>
      <c r="BP179" s="18"/>
      <c r="BQ179" s="59"/>
      <c r="BR179" s="18"/>
      <c r="BS179" s="59"/>
      <c r="BT179" s="18"/>
      <c r="BU179" s="59"/>
      <c r="BV179" s="18"/>
      <c r="BW179" s="59"/>
      <c r="BX179" s="18"/>
      <c r="BY179" s="59"/>
      <c r="BZ179" s="18"/>
      <c r="CA179" s="59"/>
      <c r="CB179" s="18"/>
      <c r="CC179" s="59"/>
      <c r="CD179" s="18"/>
      <c r="CE179" s="59"/>
      <c r="CF179" s="18"/>
      <c r="CG179" s="59"/>
      <c r="CH179" s="18"/>
      <c r="CI179" s="59"/>
      <c r="CJ179" s="18"/>
      <c r="CK179" s="59"/>
      <c r="CL179" s="18"/>
      <c r="CM179" s="59"/>
      <c r="CN179" s="18"/>
      <c r="CO179" s="59"/>
      <c r="CP179" s="18"/>
      <c r="CQ179" s="59"/>
      <c r="CR179" s="18"/>
      <c r="CS179" s="59"/>
      <c r="CT179" s="18"/>
      <c r="CU179" s="59"/>
      <c r="CV179" s="18"/>
      <c r="CW179" s="59"/>
      <c r="CX179" s="18"/>
      <c r="CY179" s="59"/>
      <c r="CZ179" s="18"/>
      <c r="DA179" s="59"/>
      <c r="DB179" s="18"/>
      <c r="DC179" s="59"/>
      <c r="DD179" s="18"/>
      <c r="DE179" s="59"/>
      <c r="DF179" s="18"/>
      <c r="DG179" s="59"/>
      <c r="DH179" s="18"/>
      <c r="DI179" s="59"/>
      <c r="DJ179" s="18"/>
      <c r="DK179" s="59"/>
      <c r="DL179" s="18"/>
      <c r="DM179" s="59"/>
      <c r="DN179" s="18"/>
      <c r="DO179" s="59"/>
      <c r="DP179" s="18"/>
      <c r="DQ179" s="59"/>
      <c r="DR179" s="18"/>
      <c r="DS179" s="59"/>
      <c r="DT179" s="18"/>
      <c r="DU179" s="59"/>
      <c r="DV179" s="18"/>
      <c r="DW179" s="59"/>
      <c r="DX179" s="18"/>
      <c r="DY179" s="59"/>
      <c r="DZ179" s="18"/>
      <c r="EA179" s="59"/>
      <c r="EB179" s="18"/>
      <c r="EC179" s="59"/>
      <c r="ED179" s="18"/>
      <c r="EE179" s="59"/>
      <c r="EF179" s="18"/>
      <c r="EG179" s="59"/>
      <c r="EH179" s="18"/>
      <c r="EI179" s="59"/>
      <c r="EJ179" s="18"/>
      <c r="EK179" s="59"/>
      <c r="EL179" s="18"/>
    </row>
    <row r="180" spans="1:142" s="75" customFormat="1" x14ac:dyDescent="0.2">
      <c r="A180" s="43"/>
      <c r="B180" s="18"/>
      <c r="C180" s="59"/>
      <c r="D180" s="18"/>
      <c r="E180" s="59"/>
      <c r="F180" s="18"/>
      <c r="G180" s="59"/>
      <c r="H180" s="18"/>
      <c r="I180" s="59"/>
      <c r="J180" s="18"/>
      <c r="K180" s="59"/>
      <c r="L180" s="18"/>
      <c r="M180" s="59"/>
      <c r="N180" s="18"/>
      <c r="O180" s="59"/>
      <c r="P180" s="18"/>
      <c r="Q180" s="59"/>
      <c r="R180" s="18"/>
      <c r="S180" s="59"/>
      <c r="T180" s="18"/>
      <c r="U180" s="59"/>
      <c r="V180" s="18"/>
      <c r="W180" s="59"/>
      <c r="X180" s="18"/>
      <c r="Y180" s="59"/>
      <c r="Z180" s="18"/>
      <c r="AA180" s="59"/>
      <c r="AB180" s="18"/>
      <c r="AC180" s="59"/>
      <c r="AD180" s="18"/>
      <c r="AE180" s="59"/>
      <c r="AF180" s="18"/>
      <c r="AG180" s="59"/>
      <c r="AH180" s="18"/>
      <c r="AI180" s="59"/>
      <c r="AJ180" s="18"/>
      <c r="AK180" s="59"/>
      <c r="AL180" s="18"/>
      <c r="AM180" s="59"/>
      <c r="AN180" s="18"/>
      <c r="AO180" s="59"/>
      <c r="AP180" s="18"/>
      <c r="AQ180" s="59"/>
      <c r="AR180" s="18"/>
      <c r="AS180" s="59"/>
      <c r="AT180" s="18"/>
      <c r="AU180" s="59"/>
      <c r="AV180" s="18"/>
      <c r="AW180" s="59"/>
      <c r="AX180" s="18"/>
      <c r="AY180" s="59"/>
      <c r="AZ180" s="18"/>
      <c r="BA180" s="59"/>
      <c r="BB180" s="18"/>
      <c r="BC180" s="59"/>
      <c r="BD180" s="18"/>
      <c r="BE180" s="59"/>
      <c r="BF180" s="18"/>
      <c r="BG180" s="59"/>
      <c r="BH180" s="18"/>
      <c r="BI180" s="59"/>
      <c r="BJ180" s="18"/>
      <c r="BK180" s="59"/>
      <c r="BL180" s="18"/>
      <c r="BM180" s="59"/>
      <c r="BN180" s="18"/>
      <c r="BO180" s="59"/>
      <c r="BP180" s="18"/>
      <c r="BQ180" s="59"/>
      <c r="BR180" s="18"/>
      <c r="BS180" s="59"/>
      <c r="BT180" s="18"/>
      <c r="BU180" s="59"/>
      <c r="BV180" s="18"/>
      <c r="BW180" s="59"/>
      <c r="BX180" s="18"/>
      <c r="BY180" s="59"/>
      <c r="BZ180" s="18"/>
      <c r="CA180" s="59"/>
      <c r="CB180" s="18"/>
      <c r="CC180" s="59"/>
      <c r="CD180" s="18"/>
      <c r="CE180" s="59"/>
      <c r="CF180" s="18"/>
      <c r="CG180" s="59"/>
      <c r="CH180" s="18"/>
      <c r="CI180" s="59"/>
      <c r="CJ180" s="18"/>
      <c r="CK180" s="59"/>
      <c r="CL180" s="18"/>
      <c r="CM180" s="59"/>
      <c r="CN180" s="18"/>
      <c r="CO180" s="59"/>
      <c r="CP180" s="18"/>
      <c r="CQ180" s="59"/>
      <c r="CR180" s="18"/>
      <c r="CS180" s="59"/>
      <c r="CT180" s="18"/>
      <c r="CU180" s="59"/>
      <c r="CV180" s="18"/>
      <c r="CW180" s="59"/>
      <c r="CX180" s="18"/>
      <c r="CY180" s="59"/>
      <c r="CZ180" s="18"/>
      <c r="DA180" s="59"/>
      <c r="DB180" s="18"/>
      <c r="DC180" s="59"/>
      <c r="DD180" s="18"/>
      <c r="DE180" s="59"/>
      <c r="DF180" s="18"/>
      <c r="DG180" s="59"/>
      <c r="DH180" s="18"/>
      <c r="DI180" s="59"/>
      <c r="DJ180" s="18"/>
      <c r="DK180" s="59"/>
      <c r="DL180" s="18"/>
      <c r="DM180" s="59"/>
      <c r="DN180" s="18"/>
      <c r="DO180" s="59"/>
      <c r="DP180" s="18"/>
      <c r="DQ180" s="59"/>
      <c r="DR180" s="18"/>
      <c r="DS180" s="59"/>
      <c r="DT180" s="18"/>
      <c r="DU180" s="59"/>
      <c r="DV180" s="18"/>
      <c r="DW180" s="59"/>
      <c r="DX180" s="18"/>
      <c r="DY180" s="59"/>
      <c r="DZ180" s="18"/>
      <c r="EA180" s="59"/>
      <c r="EB180" s="18"/>
      <c r="EC180" s="59"/>
      <c r="ED180" s="18"/>
      <c r="EE180" s="59"/>
      <c r="EF180" s="18"/>
      <c r="EG180" s="59"/>
      <c r="EH180" s="18"/>
      <c r="EI180" s="59"/>
      <c r="EJ180" s="18"/>
      <c r="EK180" s="59"/>
      <c r="EL180" s="18"/>
    </row>
    <row r="181" spans="1:142" s="75" customFormat="1" x14ac:dyDescent="0.2">
      <c r="A181" s="43"/>
      <c r="B181" s="18"/>
      <c r="C181" s="59"/>
      <c r="D181" s="18"/>
      <c r="E181" s="59"/>
      <c r="F181" s="18"/>
      <c r="G181" s="59"/>
      <c r="H181" s="18"/>
      <c r="I181" s="59"/>
      <c r="J181" s="18"/>
      <c r="K181" s="59"/>
      <c r="L181" s="18"/>
      <c r="M181" s="59"/>
      <c r="N181" s="18"/>
      <c r="O181" s="59"/>
      <c r="P181" s="18"/>
      <c r="Q181" s="59"/>
      <c r="R181" s="18"/>
      <c r="S181" s="59"/>
      <c r="T181" s="18"/>
      <c r="U181" s="59"/>
      <c r="V181" s="18"/>
      <c r="W181" s="59"/>
      <c r="X181" s="18"/>
      <c r="Y181" s="59"/>
      <c r="Z181" s="18"/>
      <c r="AA181" s="59"/>
      <c r="AB181" s="18"/>
      <c r="AC181" s="59"/>
      <c r="AD181" s="18"/>
      <c r="AE181" s="59"/>
      <c r="AF181" s="18"/>
      <c r="AG181" s="59"/>
      <c r="AH181" s="18"/>
      <c r="AI181" s="59"/>
      <c r="AJ181" s="18"/>
      <c r="AK181" s="59"/>
      <c r="AL181" s="18"/>
      <c r="AM181" s="59"/>
      <c r="AN181" s="18"/>
      <c r="AO181" s="59"/>
      <c r="AP181" s="18"/>
      <c r="AQ181" s="59"/>
      <c r="AR181" s="18"/>
      <c r="AS181" s="59"/>
      <c r="AT181" s="18"/>
      <c r="AU181" s="59"/>
      <c r="AV181" s="18"/>
      <c r="AW181" s="59"/>
      <c r="AX181" s="18"/>
      <c r="AY181" s="59"/>
      <c r="AZ181" s="18"/>
      <c r="BA181" s="59"/>
      <c r="BB181" s="18"/>
      <c r="BC181" s="59"/>
      <c r="BD181" s="18"/>
      <c r="BE181" s="59"/>
      <c r="BF181" s="18"/>
      <c r="BG181" s="59"/>
      <c r="BH181" s="18"/>
      <c r="BI181" s="59"/>
      <c r="BJ181" s="18"/>
      <c r="BK181" s="59"/>
      <c r="BL181" s="18"/>
      <c r="BM181" s="59"/>
      <c r="BN181" s="18"/>
      <c r="BO181" s="59"/>
      <c r="BP181" s="18"/>
      <c r="BQ181" s="59"/>
      <c r="BR181" s="18"/>
      <c r="BS181" s="59"/>
      <c r="BT181" s="18"/>
      <c r="BU181" s="59"/>
      <c r="BV181" s="18"/>
      <c r="BW181" s="59"/>
      <c r="BX181" s="18"/>
      <c r="BY181" s="59"/>
      <c r="BZ181" s="18"/>
      <c r="CA181" s="59"/>
      <c r="CB181" s="18"/>
      <c r="CC181" s="59"/>
      <c r="CD181" s="18"/>
      <c r="CE181" s="59"/>
      <c r="CF181" s="18"/>
      <c r="CG181" s="59"/>
      <c r="CH181" s="18"/>
      <c r="CI181" s="59"/>
      <c r="CJ181" s="18"/>
      <c r="CK181" s="59"/>
      <c r="CL181" s="18"/>
      <c r="CM181" s="59"/>
      <c r="CN181" s="18"/>
      <c r="CO181" s="59"/>
      <c r="CP181" s="18"/>
      <c r="CQ181" s="59"/>
      <c r="CR181" s="18"/>
      <c r="CS181" s="59"/>
      <c r="CT181" s="18"/>
      <c r="CU181" s="59"/>
      <c r="CV181" s="18"/>
      <c r="CW181" s="59"/>
      <c r="CX181" s="18"/>
      <c r="CY181" s="59"/>
      <c r="CZ181" s="18"/>
      <c r="DA181" s="59"/>
      <c r="DB181" s="18"/>
      <c r="DC181" s="59"/>
      <c r="DD181" s="18"/>
      <c r="DE181" s="59"/>
      <c r="DF181" s="18"/>
      <c r="DG181" s="59"/>
      <c r="DH181" s="18"/>
      <c r="DI181" s="59"/>
      <c r="DJ181" s="18"/>
      <c r="DK181" s="59"/>
      <c r="DL181" s="18"/>
      <c r="DM181" s="59"/>
      <c r="DN181" s="18"/>
      <c r="DO181" s="59"/>
      <c r="DP181" s="18"/>
      <c r="DQ181" s="59"/>
      <c r="DR181" s="18"/>
      <c r="DS181" s="59"/>
      <c r="DT181" s="18"/>
      <c r="DU181" s="59"/>
      <c r="DV181" s="18"/>
      <c r="DW181" s="59"/>
      <c r="DX181" s="18"/>
      <c r="DY181" s="59"/>
      <c r="DZ181" s="18"/>
      <c r="EA181" s="59"/>
      <c r="EB181" s="18"/>
      <c r="EC181" s="59"/>
      <c r="ED181" s="18"/>
      <c r="EE181" s="59"/>
      <c r="EF181" s="18"/>
      <c r="EG181" s="59"/>
      <c r="EH181" s="18"/>
      <c r="EI181" s="59"/>
      <c r="EJ181" s="18"/>
      <c r="EK181" s="59"/>
      <c r="EL181" s="18"/>
    </row>
    <row r="182" spans="1:142" s="75" customFormat="1" x14ac:dyDescent="0.2">
      <c r="A182" s="43"/>
      <c r="B182" s="18"/>
      <c r="C182" s="59"/>
      <c r="D182" s="18"/>
      <c r="E182" s="59"/>
      <c r="F182" s="18"/>
      <c r="G182" s="59"/>
      <c r="H182" s="18"/>
      <c r="I182" s="59"/>
      <c r="J182" s="18"/>
      <c r="K182" s="59"/>
      <c r="L182" s="18"/>
      <c r="M182" s="59"/>
      <c r="N182" s="18"/>
      <c r="O182" s="59"/>
      <c r="P182" s="18"/>
      <c r="Q182" s="59"/>
      <c r="R182" s="18"/>
      <c r="S182" s="59"/>
      <c r="T182" s="18"/>
      <c r="U182" s="59"/>
      <c r="V182" s="18"/>
      <c r="W182" s="59"/>
      <c r="X182" s="18"/>
      <c r="Y182" s="59"/>
      <c r="Z182" s="18"/>
      <c r="AA182" s="59"/>
      <c r="AB182" s="18"/>
      <c r="AC182" s="59"/>
      <c r="AD182" s="18"/>
      <c r="AE182" s="59"/>
      <c r="AF182" s="18"/>
      <c r="AG182" s="59"/>
      <c r="AH182" s="18"/>
      <c r="AI182" s="59"/>
      <c r="AJ182" s="18"/>
      <c r="AK182" s="59"/>
      <c r="AL182" s="18"/>
      <c r="AM182" s="59"/>
      <c r="AN182" s="18"/>
      <c r="AO182" s="59"/>
      <c r="AP182" s="18"/>
      <c r="AQ182" s="59"/>
      <c r="AR182" s="18"/>
      <c r="AS182" s="59"/>
      <c r="AT182" s="18"/>
      <c r="AU182" s="59"/>
      <c r="AV182" s="18"/>
      <c r="AW182" s="59"/>
      <c r="AX182" s="18"/>
      <c r="AY182" s="59"/>
      <c r="AZ182" s="18"/>
      <c r="BA182" s="59"/>
      <c r="BB182" s="18"/>
      <c r="BC182" s="59"/>
      <c r="BD182" s="18"/>
      <c r="BE182" s="59"/>
      <c r="BF182" s="18"/>
      <c r="BG182" s="59"/>
      <c r="BH182" s="18"/>
      <c r="BI182" s="59"/>
      <c r="BJ182" s="18"/>
      <c r="BK182" s="59"/>
      <c r="BL182" s="18"/>
      <c r="BM182" s="59"/>
      <c r="BN182" s="18"/>
      <c r="BO182" s="59"/>
      <c r="BP182" s="18"/>
      <c r="BQ182" s="59"/>
      <c r="BR182" s="18"/>
      <c r="BS182" s="59"/>
      <c r="BT182" s="18"/>
      <c r="BU182" s="59"/>
      <c r="BV182" s="18"/>
      <c r="BW182" s="59"/>
      <c r="BX182" s="18"/>
      <c r="BY182" s="59"/>
      <c r="BZ182" s="18"/>
      <c r="CA182" s="59"/>
      <c r="CB182" s="18"/>
      <c r="CC182" s="59"/>
      <c r="CD182" s="18"/>
      <c r="CE182" s="59"/>
      <c r="CF182" s="18"/>
      <c r="CG182" s="59"/>
      <c r="CH182" s="18"/>
      <c r="CI182" s="59"/>
      <c r="CJ182" s="18"/>
      <c r="CK182" s="59"/>
      <c r="CL182" s="18"/>
      <c r="CM182" s="59"/>
      <c r="CN182" s="18"/>
      <c r="CO182" s="59"/>
      <c r="CP182" s="18"/>
      <c r="CQ182" s="59"/>
      <c r="CR182" s="18"/>
      <c r="CS182" s="59"/>
      <c r="CT182" s="18"/>
      <c r="CU182" s="59"/>
      <c r="CV182" s="18"/>
      <c r="CW182" s="59"/>
      <c r="CX182" s="18"/>
      <c r="CY182" s="59"/>
      <c r="CZ182" s="18"/>
      <c r="DA182" s="59"/>
      <c r="DB182" s="18"/>
      <c r="DC182" s="59"/>
      <c r="DD182" s="18"/>
      <c r="DE182" s="59"/>
      <c r="DF182" s="18"/>
      <c r="DG182" s="59"/>
      <c r="DH182" s="18"/>
      <c r="DI182" s="59"/>
      <c r="DJ182" s="18"/>
      <c r="DK182" s="59"/>
      <c r="DL182" s="18"/>
      <c r="DM182" s="59"/>
      <c r="DN182" s="18"/>
      <c r="DO182" s="59"/>
      <c r="DP182" s="18"/>
      <c r="DQ182" s="59"/>
      <c r="DR182" s="18"/>
      <c r="DS182" s="59"/>
      <c r="DT182" s="18"/>
      <c r="DU182" s="59"/>
      <c r="DV182" s="18"/>
      <c r="DW182" s="59"/>
      <c r="DX182" s="18"/>
      <c r="DY182" s="59"/>
      <c r="DZ182" s="18"/>
      <c r="EA182" s="59"/>
      <c r="EB182" s="18"/>
      <c r="EC182" s="59"/>
      <c r="ED182" s="18"/>
      <c r="EE182" s="59"/>
      <c r="EF182" s="18"/>
      <c r="EG182" s="59"/>
      <c r="EH182" s="18"/>
      <c r="EI182" s="59"/>
      <c r="EJ182" s="18"/>
      <c r="EK182" s="59"/>
      <c r="EL182" s="18"/>
    </row>
    <row r="183" spans="1:142" s="75" customFormat="1" x14ac:dyDescent="0.2">
      <c r="A183" s="43"/>
      <c r="B183" s="18"/>
      <c r="C183" s="59"/>
      <c r="D183" s="18"/>
      <c r="E183" s="59"/>
      <c r="F183" s="18"/>
      <c r="G183" s="59"/>
      <c r="H183" s="18"/>
      <c r="I183" s="59"/>
      <c r="J183" s="18"/>
      <c r="K183" s="59"/>
      <c r="L183" s="18"/>
      <c r="M183" s="59"/>
      <c r="N183" s="18"/>
      <c r="O183" s="59"/>
      <c r="P183" s="18"/>
      <c r="Q183" s="59"/>
      <c r="R183" s="18"/>
      <c r="S183" s="59"/>
      <c r="T183" s="18"/>
      <c r="U183" s="59"/>
      <c r="V183" s="18"/>
      <c r="W183" s="59"/>
      <c r="X183" s="18"/>
      <c r="Y183" s="59"/>
      <c r="Z183" s="18"/>
      <c r="AA183" s="59"/>
      <c r="AB183" s="18"/>
      <c r="AC183" s="59"/>
      <c r="AD183" s="18"/>
      <c r="AE183" s="59"/>
      <c r="AF183" s="18"/>
      <c r="AG183" s="59"/>
      <c r="AH183" s="18"/>
      <c r="AI183" s="59"/>
      <c r="AJ183" s="18"/>
      <c r="AK183" s="59"/>
      <c r="AL183" s="18"/>
      <c r="AM183" s="59"/>
      <c r="AN183" s="18"/>
      <c r="AO183" s="59"/>
      <c r="AP183" s="18"/>
      <c r="AQ183" s="59"/>
      <c r="AR183" s="18"/>
      <c r="AS183" s="59"/>
      <c r="AT183" s="18"/>
      <c r="AU183" s="59"/>
      <c r="AV183" s="18"/>
      <c r="AW183" s="59"/>
      <c r="AX183" s="18"/>
      <c r="AY183" s="59"/>
      <c r="AZ183" s="18"/>
      <c r="BA183" s="59"/>
      <c r="BB183" s="18"/>
      <c r="BC183" s="59"/>
      <c r="BD183" s="18"/>
      <c r="BE183" s="59"/>
      <c r="BF183" s="18"/>
      <c r="BG183" s="59"/>
      <c r="BH183" s="18"/>
      <c r="BI183" s="59"/>
      <c r="BJ183" s="18"/>
      <c r="BK183" s="59"/>
      <c r="BL183" s="18"/>
      <c r="BM183" s="59"/>
      <c r="BN183" s="18"/>
      <c r="BO183" s="59"/>
      <c r="BP183" s="18"/>
      <c r="BQ183" s="59"/>
      <c r="BR183" s="18"/>
      <c r="BS183" s="59"/>
      <c r="BT183" s="18"/>
      <c r="BU183" s="59"/>
      <c r="BV183" s="18"/>
      <c r="BW183" s="59"/>
      <c r="BX183" s="18"/>
      <c r="BY183" s="59"/>
      <c r="BZ183" s="18"/>
      <c r="CA183" s="59"/>
      <c r="CB183" s="18"/>
      <c r="CC183" s="59"/>
      <c r="CD183" s="18"/>
      <c r="CE183" s="59"/>
      <c r="CF183" s="18"/>
      <c r="CG183" s="59"/>
      <c r="CH183" s="18"/>
      <c r="CI183" s="59"/>
      <c r="CJ183" s="18"/>
      <c r="CK183" s="59"/>
      <c r="CL183" s="18"/>
      <c r="CM183" s="59"/>
      <c r="CN183" s="18"/>
      <c r="CO183" s="59"/>
      <c r="CP183" s="18"/>
      <c r="CQ183" s="59"/>
      <c r="CR183" s="18"/>
      <c r="CS183" s="59"/>
      <c r="CT183" s="18"/>
      <c r="CU183" s="59"/>
      <c r="CV183" s="18"/>
      <c r="CW183" s="59"/>
      <c r="CX183" s="18"/>
      <c r="CY183" s="59"/>
      <c r="CZ183" s="18"/>
      <c r="DA183" s="59"/>
      <c r="DB183" s="18"/>
      <c r="DC183" s="59"/>
      <c r="DD183" s="18"/>
      <c r="DE183" s="59"/>
      <c r="DF183" s="18"/>
      <c r="DG183" s="59"/>
      <c r="DH183" s="18"/>
      <c r="DI183" s="59"/>
      <c r="DJ183" s="18"/>
      <c r="DK183" s="59"/>
      <c r="DL183" s="18"/>
      <c r="DM183" s="59"/>
      <c r="DN183" s="18"/>
      <c r="DO183" s="59"/>
      <c r="DP183" s="18"/>
      <c r="DQ183" s="59"/>
      <c r="DR183" s="18"/>
      <c r="DS183" s="59"/>
      <c r="DT183" s="18"/>
      <c r="DU183" s="59"/>
      <c r="DV183" s="18"/>
      <c r="DW183" s="59"/>
      <c r="DX183" s="18"/>
      <c r="DY183" s="59"/>
      <c r="DZ183" s="18"/>
      <c r="EA183" s="59"/>
      <c r="EB183" s="18"/>
      <c r="EC183" s="59"/>
      <c r="ED183" s="18"/>
      <c r="EE183" s="59"/>
      <c r="EF183" s="18"/>
      <c r="EG183" s="59"/>
      <c r="EH183" s="18"/>
      <c r="EI183" s="59"/>
      <c r="EJ183" s="18"/>
      <c r="EK183" s="59"/>
      <c r="EL183" s="18"/>
    </row>
    <row r="184" spans="1:142" s="75" customFormat="1" x14ac:dyDescent="0.2">
      <c r="A184" s="43"/>
      <c r="B184" s="18"/>
      <c r="C184" s="59"/>
      <c r="D184" s="18"/>
      <c r="E184" s="59"/>
      <c r="F184" s="18"/>
      <c r="G184" s="59"/>
      <c r="H184" s="18"/>
      <c r="I184" s="59"/>
      <c r="J184" s="18"/>
      <c r="K184" s="59"/>
      <c r="L184" s="18"/>
      <c r="M184" s="59"/>
      <c r="N184" s="18"/>
      <c r="O184" s="59"/>
      <c r="P184" s="18"/>
      <c r="Q184" s="59"/>
      <c r="R184" s="18"/>
      <c r="S184" s="59"/>
      <c r="T184" s="18"/>
      <c r="U184" s="59"/>
      <c r="V184" s="18"/>
      <c r="W184" s="59"/>
      <c r="X184" s="18"/>
      <c r="Y184" s="59"/>
      <c r="Z184" s="18"/>
      <c r="AA184" s="59"/>
      <c r="AB184" s="18"/>
      <c r="AC184" s="59"/>
      <c r="AD184" s="18"/>
      <c r="AE184" s="59"/>
      <c r="AF184" s="18"/>
      <c r="AG184" s="59"/>
      <c r="AH184" s="18"/>
      <c r="AI184" s="59"/>
      <c r="AJ184" s="18"/>
      <c r="AK184" s="59"/>
      <c r="AL184" s="18"/>
      <c r="AM184" s="59"/>
      <c r="AN184" s="18"/>
      <c r="AO184" s="59"/>
      <c r="AP184" s="18"/>
      <c r="AQ184" s="59"/>
      <c r="AR184" s="18"/>
      <c r="AS184" s="59"/>
      <c r="AT184" s="18"/>
      <c r="AU184" s="59"/>
      <c r="AV184" s="18"/>
      <c r="AW184" s="59"/>
      <c r="AX184" s="18"/>
      <c r="AY184" s="59"/>
      <c r="AZ184" s="18"/>
      <c r="BA184" s="59"/>
      <c r="BB184" s="18"/>
      <c r="BC184" s="59"/>
      <c r="BD184" s="18"/>
      <c r="BE184" s="59"/>
      <c r="BF184" s="18"/>
      <c r="BG184" s="59"/>
      <c r="BH184" s="18"/>
      <c r="BI184" s="59"/>
      <c r="BJ184" s="18"/>
      <c r="BK184" s="59"/>
      <c r="BL184" s="18"/>
      <c r="BM184" s="59"/>
      <c r="BN184" s="18"/>
      <c r="BO184" s="59"/>
      <c r="BP184" s="18"/>
      <c r="BQ184" s="59"/>
      <c r="BR184" s="18"/>
      <c r="BS184" s="59"/>
      <c r="BT184" s="18"/>
      <c r="BU184" s="59"/>
      <c r="BV184" s="18"/>
      <c r="BW184" s="59"/>
      <c r="BX184" s="18"/>
      <c r="BY184" s="59"/>
      <c r="BZ184" s="18"/>
      <c r="CA184" s="59"/>
      <c r="CB184" s="18"/>
      <c r="CC184" s="59"/>
      <c r="CD184" s="18"/>
      <c r="CE184" s="59"/>
      <c r="CF184" s="18"/>
      <c r="CG184" s="59"/>
      <c r="CH184" s="18"/>
      <c r="CI184" s="59"/>
      <c r="CJ184" s="18"/>
      <c r="CK184" s="59"/>
      <c r="CL184" s="18"/>
      <c r="CM184" s="59"/>
      <c r="CN184" s="18"/>
      <c r="CO184" s="59"/>
      <c r="CP184" s="18"/>
      <c r="CQ184" s="59"/>
      <c r="CR184" s="18"/>
      <c r="CS184" s="59"/>
      <c r="CT184" s="18"/>
      <c r="CU184" s="59"/>
      <c r="CV184" s="18"/>
      <c r="CW184" s="59"/>
      <c r="CX184" s="18"/>
      <c r="CY184" s="59"/>
      <c r="CZ184" s="18"/>
      <c r="DA184" s="59"/>
      <c r="DB184" s="18"/>
      <c r="DC184" s="59"/>
      <c r="DD184" s="18"/>
      <c r="DE184" s="59"/>
      <c r="DF184" s="18"/>
      <c r="DG184" s="59"/>
      <c r="DH184" s="18"/>
      <c r="DI184" s="59"/>
      <c r="DJ184" s="18"/>
      <c r="DK184" s="59"/>
      <c r="DL184" s="18"/>
      <c r="DM184" s="59"/>
      <c r="DN184" s="18"/>
      <c r="DO184" s="59"/>
      <c r="DP184" s="18"/>
      <c r="DQ184" s="59"/>
      <c r="DR184" s="18"/>
      <c r="DS184" s="59"/>
      <c r="DT184" s="18"/>
      <c r="DU184" s="59"/>
      <c r="DV184" s="18"/>
      <c r="DW184" s="59"/>
      <c r="DX184" s="18"/>
      <c r="DY184" s="59"/>
      <c r="DZ184" s="18"/>
      <c r="EA184" s="59"/>
      <c r="EB184" s="18"/>
      <c r="EC184" s="59"/>
      <c r="ED184" s="18"/>
      <c r="EE184" s="59"/>
      <c r="EF184" s="18"/>
      <c r="EG184" s="59"/>
      <c r="EH184" s="18"/>
      <c r="EI184" s="59"/>
      <c r="EJ184" s="18"/>
      <c r="EK184" s="59"/>
      <c r="EL184" s="18"/>
    </row>
    <row r="185" spans="1:142" s="75" customFormat="1" x14ac:dyDescent="0.2">
      <c r="A185" s="43"/>
      <c r="B185" s="18"/>
      <c r="C185" s="59"/>
      <c r="D185" s="18"/>
      <c r="E185" s="59"/>
      <c r="F185" s="18"/>
      <c r="G185" s="59"/>
      <c r="H185" s="18"/>
      <c r="I185" s="59"/>
      <c r="J185" s="18"/>
      <c r="K185" s="59"/>
      <c r="L185" s="18"/>
      <c r="M185" s="59"/>
      <c r="N185" s="18"/>
      <c r="O185" s="59"/>
      <c r="P185" s="18"/>
      <c r="Q185" s="59"/>
      <c r="R185" s="18"/>
      <c r="S185" s="59"/>
      <c r="T185" s="18"/>
      <c r="U185" s="59"/>
      <c r="V185" s="18"/>
      <c r="W185" s="59"/>
      <c r="X185" s="18"/>
      <c r="Y185" s="59"/>
      <c r="Z185" s="18"/>
      <c r="AA185" s="59"/>
      <c r="AB185" s="18"/>
      <c r="AC185" s="59"/>
      <c r="AD185" s="18"/>
      <c r="AE185" s="59"/>
      <c r="AF185" s="18"/>
      <c r="AG185" s="59"/>
      <c r="AH185" s="18"/>
      <c r="AI185" s="59"/>
      <c r="AJ185" s="18"/>
      <c r="AK185" s="59"/>
      <c r="AL185" s="18"/>
      <c r="AM185" s="59"/>
      <c r="AN185" s="18"/>
      <c r="AO185" s="59"/>
      <c r="AP185" s="18"/>
      <c r="AQ185" s="59"/>
      <c r="AR185" s="18"/>
      <c r="AS185" s="59"/>
      <c r="AT185" s="18"/>
      <c r="AU185" s="59"/>
      <c r="AV185" s="18"/>
      <c r="AW185" s="59"/>
      <c r="AX185" s="18"/>
      <c r="AY185" s="59"/>
      <c r="AZ185" s="18"/>
      <c r="BA185" s="59"/>
      <c r="BB185" s="18"/>
      <c r="BC185" s="59"/>
      <c r="BD185" s="18"/>
      <c r="BE185" s="59"/>
      <c r="BF185" s="18"/>
      <c r="BG185" s="59"/>
      <c r="BH185" s="18"/>
      <c r="BI185" s="59"/>
      <c r="BJ185" s="18"/>
      <c r="BK185" s="59"/>
      <c r="BL185" s="18"/>
      <c r="BM185" s="59"/>
      <c r="BN185" s="18"/>
      <c r="BO185" s="59"/>
      <c r="BP185" s="18"/>
      <c r="BQ185" s="59"/>
      <c r="BR185" s="18"/>
      <c r="BS185" s="59"/>
      <c r="BT185" s="18"/>
      <c r="BU185" s="59"/>
      <c r="BV185" s="18"/>
      <c r="BW185" s="59"/>
      <c r="BX185" s="18"/>
      <c r="BY185" s="59"/>
      <c r="BZ185" s="18"/>
      <c r="CA185" s="59"/>
      <c r="CB185" s="18"/>
      <c r="CC185" s="59"/>
      <c r="CD185" s="18"/>
      <c r="CE185" s="59"/>
      <c r="CF185" s="18"/>
      <c r="CG185" s="59"/>
      <c r="CH185" s="18"/>
      <c r="CI185" s="59"/>
      <c r="CJ185" s="18"/>
      <c r="CK185" s="59"/>
      <c r="CL185" s="18"/>
      <c r="CM185" s="59"/>
      <c r="CN185" s="18"/>
      <c r="CO185" s="59"/>
      <c r="CP185" s="18"/>
      <c r="CQ185" s="59"/>
      <c r="CR185" s="18"/>
      <c r="CS185" s="59"/>
      <c r="CT185" s="18"/>
      <c r="CU185" s="59"/>
      <c r="CV185" s="18"/>
      <c r="CW185" s="59"/>
      <c r="CX185" s="18"/>
      <c r="CY185" s="59"/>
      <c r="CZ185" s="18"/>
      <c r="DA185" s="59"/>
      <c r="DB185" s="18"/>
      <c r="DC185" s="59"/>
      <c r="DD185" s="18"/>
      <c r="DE185" s="59"/>
      <c r="DF185" s="18"/>
      <c r="DG185" s="59"/>
      <c r="DH185" s="18"/>
      <c r="DI185" s="59"/>
      <c r="DJ185" s="18"/>
      <c r="DK185" s="59"/>
      <c r="DL185" s="18"/>
      <c r="DM185" s="59"/>
      <c r="DN185" s="18"/>
      <c r="DO185" s="59"/>
      <c r="DP185" s="18"/>
      <c r="DQ185" s="59"/>
      <c r="DR185" s="18"/>
      <c r="DS185" s="59"/>
      <c r="DT185" s="18"/>
      <c r="DU185" s="59"/>
      <c r="DV185" s="18"/>
      <c r="DW185" s="59"/>
      <c r="DX185" s="18"/>
      <c r="DY185" s="59"/>
      <c r="DZ185" s="18"/>
      <c r="EA185" s="59"/>
      <c r="EB185" s="18"/>
      <c r="EC185" s="59"/>
      <c r="ED185" s="18"/>
      <c r="EE185" s="59"/>
      <c r="EF185" s="18"/>
      <c r="EG185" s="59"/>
      <c r="EH185" s="18"/>
      <c r="EI185" s="59"/>
      <c r="EJ185" s="18"/>
      <c r="EK185" s="59"/>
      <c r="EL185" s="18"/>
    </row>
    <row r="186" spans="1:142" s="75" customFormat="1" x14ac:dyDescent="0.2">
      <c r="A186" s="43"/>
      <c r="B186" s="18"/>
      <c r="C186" s="59"/>
      <c r="D186" s="18"/>
      <c r="E186" s="59"/>
      <c r="F186" s="18"/>
      <c r="G186" s="59"/>
      <c r="H186" s="18"/>
      <c r="I186" s="59"/>
      <c r="J186" s="18"/>
      <c r="K186" s="59"/>
      <c r="L186" s="18"/>
      <c r="M186" s="59"/>
      <c r="N186" s="18"/>
      <c r="O186" s="59"/>
      <c r="P186" s="18"/>
      <c r="Q186" s="59"/>
      <c r="R186" s="18"/>
      <c r="S186" s="59"/>
      <c r="T186" s="18"/>
      <c r="U186" s="59"/>
      <c r="V186" s="18"/>
      <c r="W186" s="59"/>
      <c r="X186" s="18"/>
      <c r="Y186" s="59"/>
      <c r="Z186" s="18"/>
      <c r="AA186" s="59"/>
      <c r="AB186" s="18"/>
      <c r="AC186" s="59"/>
      <c r="AD186" s="18"/>
      <c r="AE186" s="59"/>
      <c r="AF186" s="18"/>
      <c r="AG186" s="59"/>
      <c r="AH186" s="18"/>
      <c r="AI186" s="59"/>
      <c r="AJ186" s="18"/>
      <c r="AK186" s="59"/>
      <c r="AL186" s="18"/>
      <c r="AM186" s="59"/>
      <c r="AN186" s="18"/>
      <c r="AO186" s="59"/>
      <c r="AP186" s="18"/>
      <c r="AQ186" s="59"/>
      <c r="AR186" s="18"/>
      <c r="AS186" s="59"/>
      <c r="AT186" s="18"/>
      <c r="AU186" s="59"/>
      <c r="AV186" s="18"/>
      <c r="AW186" s="59"/>
      <c r="AX186" s="18"/>
      <c r="AY186" s="59"/>
      <c r="AZ186" s="18"/>
      <c r="BA186" s="59"/>
      <c r="BB186" s="18"/>
      <c r="BC186" s="59"/>
      <c r="BD186" s="18"/>
      <c r="BE186" s="59"/>
      <c r="BF186" s="18"/>
      <c r="BG186" s="59"/>
      <c r="BH186" s="18"/>
      <c r="BI186" s="59"/>
      <c r="BJ186" s="18"/>
      <c r="BK186" s="59"/>
      <c r="BL186" s="18"/>
      <c r="BM186" s="59"/>
      <c r="BN186" s="18"/>
      <c r="BO186" s="59"/>
      <c r="BP186" s="18"/>
      <c r="BQ186" s="59"/>
      <c r="BR186" s="18"/>
      <c r="BS186" s="59"/>
      <c r="BT186" s="18"/>
      <c r="BU186" s="59"/>
      <c r="BV186" s="18"/>
      <c r="BW186" s="59"/>
      <c r="BX186" s="18"/>
      <c r="BY186" s="59"/>
      <c r="BZ186" s="18"/>
      <c r="CA186" s="59"/>
      <c r="CB186" s="18"/>
      <c r="CC186" s="59"/>
      <c r="CD186" s="18"/>
      <c r="CE186" s="59"/>
      <c r="CF186" s="18"/>
      <c r="CG186" s="59"/>
      <c r="CH186" s="18"/>
      <c r="CI186" s="59"/>
      <c r="CJ186" s="18"/>
      <c r="CK186" s="59"/>
      <c r="CL186" s="18"/>
      <c r="CM186" s="59"/>
      <c r="CN186" s="18"/>
      <c r="CO186" s="59"/>
      <c r="CP186" s="18"/>
      <c r="CQ186" s="59"/>
      <c r="CR186" s="18"/>
      <c r="CS186" s="59"/>
      <c r="CT186" s="18"/>
      <c r="CU186" s="59"/>
      <c r="CV186" s="18"/>
      <c r="CW186" s="59"/>
      <c r="CX186" s="18"/>
      <c r="CY186" s="59"/>
      <c r="CZ186" s="18"/>
      <c r="DA186" s="59"/>
      <c r="DB186" s="18"/>
      <c r="DC186" s="59"/>
      <c r="DD186" s="18"/>
      <c r="DE186" s="59"/>
      <c r="DF186" s="18"/>
      <c r="DG186" s="59"/>
      <c r="DH186" s="18"/>
      <c r="DI186" s="59"/>
      <c r="DJ186" s="18"/>
      <c r="DK186" s="59"/>
      <c r="DL186" s="18"/>
      <c r="DM186" s="59"/>
      <c r="DN186" s="18"/>
      <c r="DO186" s="59"/>
      <c r="DP186" s="18"/>
      <c r="DQ186" s="59"/>
      <c r="DR186" s="18"/>
      <c r="DS186" s="59"/>
      <c r="DT186" s="18"/>
      <c r="DU186" s="59"/>
      <c r="DV186" s="18"/>
      <c r="DW186" s="59"/>
      <c r="DX186" s="18"/>
      <c r="DY186" s="59"/>
      <c r="DZ186" s="18"/>
      <c r="EA186" s="59"/>
      <c r="EB186" s="18"/>
      <c r="EC186" s="59"/>
      <c r="ED186" s="18"/>
      <c r="EE186" s="59"/>
      <c r="EF186" s="18"/>
      <c r="EG186" s="59"/>
      <c r="EH186" s="18"/>
      <c r="EI186" s="59"/>
      <c r="EJ186" s="18"/>
      <c r="EK186" s="59"/>
      <c r="EL186" s="18"/>
    </row>
    <row r="187" spans="1:142" s="75" customFormat="1" x14ac:dyDescent="0.2">
      <c r="A187" s="43"/>
      <c r="B187" s="18"/>
      <c r="C187" s="59"/>
      <c r="D187" s="18"/>
      <c r="E187" s="59"/>
      <c r="F187" s="18"/>
      <c r="G187" s="59"/>
      <c r="H187" s="18"/>
      <c r="I187" s="59"/>
      <c r="J187" s="18"/>
      <c r="K187" s="59"/>
      <c r="L187" s="18"/>
      <c r="M187" s="59"/>
      <c r="N187" s="18"/>
      <c r="O187" s="59"/>
      <c r="P187" s="18"/>
      <c r="Q187" s="59"/>
      <c r="R187" s="18"/>
      <c r="S187" s="59"/>
      <c r="T187" s="18"/>
      <c r="U187" s="59"/>
      <c r="V187" s="18"/>
      <c r="W187" s="59"/>
      <c r="X187" s="18"/>
      <c r="Y187" s="59"/>
      <c r="Z187" s="18"/>
      <c r="AA187" s="59"/>
      <c r="AB187" s="18"/>
      <c r="AC187" s="59"/>
      <c r="AD187" s="18"/>
      <c r="AE187" s="59"/>
      <c r="AF187" s="18"/>
      <c r="AG187" s="59"/>
      <c r="AH187" s="18"/>
      <c r="AI187" s="59"/>
      <c r="AJ187" s="18"/>
      <c r="AK187" s="59"/>
      <c r="AL187" s="18"/>
      <c r="AM187" s="59"/>
      <c r="AN187" s="18"/>
      <c r="AO187" s="59"/>
      <c r="AP187" s="18"/>
      <c r="AQ187" s="59"/>
      <c r="AR187" s="18"/>
      <c r="AS187" s="59"/>
      <c r="AT187" s="18"/>
      <c r="AU187" s="59"/>
      <c r="AV187" s="18"/>
      <c r="AW187" s="59"/>
      <c r="AX187" s="18"/>
      <c r="AY187" s="59"/>
      <c r="AZ187" s="18"/>
      <c r="BA187" s="59"/>
      <c r="BB187" s="18"/>
      <c r="BC187" s="59"/>
      <c r="BD187" s="18"/>
      <c r="BE187" s="59"/>
      <c r="BF187" s="18"/>
      <c r="BG187" s="59"/>
      <c r="BH187" s="18"/>
      <c r="BI187" s="59"/>
      <c r="BJ187" s="18"/>
      <c r="BK187" s="59"/>
      <c r="BL187" s="18"/>
      <c r="BM187" s="59"/>
      <c r="BN187" s="18"/>
      <c r="BO187" s="59"/>
      <c r="BP187" s="18"/>
      <c r="BQ187" s="59"/>
      <c r="BR187" s="18"/>
      <c r="BS187" s="59"/>
      <c r="BT187" s="18"/>
      <c r="BU187" s="59"/>
      <c r="BV187" s="18"/>
      <c r="BW187" s="59"/>
      <c r="BX187" s="18"/>
      <c r="BY187" s="59"/>
      <c r="BZ187" s="18"/>
      <c r="CA187" s="59"/>
      <c r="CB187" s="18"/>
      <c r="CC187" s="59"/>
      <c r="CD187" s="18"/>
      <c r="CE187" s="59"/>
      <c r="CF187" s="18"/>
      <c r="CG187" s="59"/>
      <c r="CH187" s="18"/>
      <c r="CI187" s="59"/>
      <c r="CJ187" s="18"/>
      <c r="CK187" s="59"/>
      <c r="CL187" s="18"/>
      <c r="CM187" s="59"/>
      <c r="CN187" s="18"/>
      <c r="CO187" s="59"/>
      <c r="CP187" s="18"/>
      <c r="CQ187" s="59"/>
      <c r="CR187" s="18"/>
      <c r="CS187" s="59"/>
      <c r="CT187" s="18"/>
      <c r="CU187" s="59"/>
      <c r="CV187" s="18"/>
      <c r="CW187" s="59"/>
      <c r="CX187" s="18"/>
      <c r="CY187" s="59"/>
      <c r="CZ187" s="18"/>
      <c r="DA187" s="59"/>
      <c r="DB187" s="18"/>
      <c r="DC187" s="59"/>
      <c r="DD187" s="18"/>
      <c r="DE187" s="59"/>
      <c r="DF187" s="18"/>
      <c r="DG187" s="59"/>
      <c r="DH187" s="18"/>
      <c r="DI187" s="59"/>
      <c r="DJ187" s="18"/>
      <c r="DK187" s="59"/>
      <c r="DL187" s="18"/>
      <c r="DM187" s="59"/>
      <c r="DN187" s="18"/>
      <c r="DO187" s="59"/>
      <c r="DP187" s="18"/>
      <c r="DQ187" s="59"/>
      <c r="DR187" s="18"/>
      <c r="DS187" s="59"/>
      <c r="DT187" s="18"/>
      <c r="DU187" s="59"/>
      <c r="DV187" s="18"/>
      <c r="DW187" s="59"/>
      <c r="DX187" s="18"/>
      <c r="DY187" s="59"/>
      <c r="DZ187" s="18"/>
      <c r="EA187" s="59"/>
      <c r="EB187" s="18"/>
      <c r="EC187" s="59"/>
      <c r="ED187" s="18"/>
      <c r="EE187" s="59"/>
      <c r="EF187" s="18"/>
      <c r="EG187" s="59"/>
      <c r="EH187" s="18"/>
      <c r="EI187" s="59"/>
      <c r="EJ187" s="18"/>
      <c r="EK187" s="59"/>
      <c r="EL187" s="18"/>
    </row>
    <row r="188" spans="1:142" s="75" customFormat="1" x14ac:dyDescent="0.2">
      <c r="A188" s="43"/>
      <c r="B188" s="18"/>
      <c r="C188" s="59"/>
      <c r="D188" s="18"/>
      <c r="E188" s="59"/>
      <c r="F188" s="18"/>
      <c r="G188" s="59"/>
      <c r="H188" s="18"/>
      <c r="I188" s="59"/>
      <c r="J188" s="18"/>
      <c r="K188" s="59"/>
      <c r="L188" s="18"/>
      <c r="M188" s="59"/>
      <c r="N188" s="18"/>
      <c r="O188" s="59"/>
      <c r="P188" s="18"/>
      <c r="Q188" s="59"/>
      <c r="R188" s="18"/>
      <c r="S188" s="59"/>
      <c r="T188" s="18"/>
      <c r="U188" s="59"/>
      <c r="V188" s="18"/>
      <c r="W188" s="59"/>
      <c r="X188" s="18"/>
      <c r="Y188" s="59"/>
      <c r="Z188" s="18"/>
      <c r="AA188" s="59"/>
      <c r="AB188" s="18"/>
      <c r="AC188" s="59"/>
      <c r="AD188" s="18"/>
      <c r="AE188" s="59"/>
      <c r="AF188" s="18"/>
      <c r="AG188" s="59"/>
      <c r="AH188" s="18"/>
      <c r="AI188" s="59"/>
      <c r="AJ188" s="18"/>
      <c r="AK188" s="59"/>
      <c r="AL188" s="18"/>
      <c r="AM188" s="59"/>
      <c r="AN188" s="18"/>
      <c r="AO188" s="59"/>
      <c r="AP188" s="18"/>
      <c r="AQ188" s="59"/>
      <c r="AR188" s="18"/>
      <c r="AS188" s="59"/>
      <c r="AT188" s="18"/>
      <c r="AU188" s="59"/>
      <c r="AV188" s="18"/>
      <c r="AW188" s="59"/>
      <c r="AX188" s="18"/>
      <c r="AY188" s="59"/>
      <c r="AZ188" s="18"/>
      <c r="BA188" s="59"/>
      <c r="BB188" s="18"/>
      <c r="BC188" s="59"/>
      <c r="BD188" s="18"/>
      <c r="BE188" s="59"/>
      <c r="BF188" s="18"/>
      <c r="BG188" s="59"/>
      <c r="BH188" s="18"/>
      <c r="BI188" s="59"/>
      <c r="BJ188" s="18"/>
      <c r="BK188" s="59"/>
      <c r="BL188" s="18"/>
      <c r="BM188" s="59"/>
      <c r="BN188" s="18"/>
      <c r="BO188" s="59"/>
      <c r="BP188" s="18"/>
      <c r="BQ188" s="59"/>
      <c r="BR188" s="18"/>
      <c r="BS188" s="59"/>
      <c r="BT188" s="18"/>
      <c r="BU188" s="59"/>
      <c r="BV188" s="18"/>
      <c r="BW188" s="59"/>
      <c r="BX188" s="18"/>
      <c r="BY188" s="59"/>
      <c r="BZ188" s="18"/>
      <c r="CA188" s="59"/>
      <c r="CB188" s="18"/>
      <c r="CC188" s="59"/>
      <c r="CD188" s="18"/>
      <c r="CE188" s="59"/>
      <c r="CF188" s="18"/>
      <c r="CG188" s="59"/>
      <c r="CH188" s="18"/>
      <c r="CI188" s="59"/>
      <c r="CJ188" s="18"/>
      <c r="CK188" s="59"/>
      <c r="CL188" s="18"/>
      <c r="CM188" s="59"/>
      <c r="CN188" s="18"/>
      <c r="CO188" s="59"/>
      <c r="CP188" s="18"/>
      <c r="CQ188" s="59"/>
      <c r="CR188" s="18"/>
      <c r="CS188" s="59"/>
      <c r="CT188" s="18"/>
      <c r="CU188" s="59"/>
      <c r="CV188" s="18"/>
      <c r="CW188" s="59"/>
      <c r="CX188" s="18"/>
      <c r="CY188" s="59"/>
      <c r="CZ188" s="18"/>
      <c r="DA188" s="59"/>
      <c r="DB188" s="18"/>
      <c r="DC188" s="59"/>
      <c r="DD188" s="18"/>
      <c r="DE188" s="59"/>
      <c r="DF188" s="18"/>
      <c r="DG188" s="59"/>
      <c r="DH188" s="18"/>
      <c r="DI188" s="59"/>
      <c r="DJ188" s="18"/>
      <c r="DK188" s="59"/>
      <c r="DL188" s="18"/>
      <c r="DM188" s="59"/>
      <c r="DN188" s="18"/>
      <c r="DO188" s="59"/>
      <c r="DP188" s="18"/>
      <c r="DQ188" s="59"/>
      <c r="DR188" s="18"/>
      <c r="DS188" s="59"/>
      <c r="DT188" s="18"/>
      <c r="DU188" s="59"/>
      <c r="DV188" s="18"/>
      <c r="DW188" s="59"/>
      <c r="DX188" s="18"/>
      <c r="DY188" s="59"/>
      <c r="DZ188" s="18"/>
      <c r="EA188" s="59"/>
      <c r="EB188" s="18"/>
      <c r="EC188" s="59"/>
      <c r="ED188" s="18"/>
      <c r="EE188" s="59"/>
      <c r="EF188" s="18"/>
      <c r="EG188" s="59"/>
      <c r="EH188" s="18"/>
      <c r="EI188" s="59"/>
      <c r="EJ188" s="18"/>
      <c r="EK188" s="59"/>
      <c r="EL188" s="18"/>
    </row>
    <row r="189" spans="1:142" s="75" customFormat="1" x14ac:dyDescent="0.2">
      <c r="A189" s="43"/>
      <c r="B189" s="18"/>
      <c r="C189" s="59"/>
      <c r="D189" s="18"/>
      <c r="E189" s="59"/>
      <c r="F189" s="18"/>
      <c r="G189" s="59"/>
      <c r="H189" s="18"/>
      <c r="I189" s="59"/>
      <c r="J189" s="18"/>
      <c r="K189" s="59"/>
      <c r="L189" s="18"/>
      <c r="M189" s="59"/>
      <c r="N189" s="18"/>
      <c r="O189" s="59"/>
      <c r="P189" s="18"/>
      <c r="Q189" s="59"/>
      <c r="R189" s="18"/>
      <c r="S189" s="59"/>
      <c r="T189" s="18"/>
      <c r="U189" s="59"/>
      <c r="V189" s="18"/>
      <c r="W189" s="59"/>
      <c r="X189" s="18"/>
      <c r="Y189" s="59"/>
      <c r="Z189" s="18"/>
      <c r="AA189" s="59"/>
      <c r="AB189" s="18"/>
      <c r="AC189" s="59"/>
      <c r="AD189" s="18"/>
      <c r="AE189" s="59"/>
      <c r="AF189" s="18"/>
      <c r="AG189" s="59"/>
      <c r="AH189" s="18"/>
      <c r="AI189" s="59"/>
      <c r="AJ189" s="18"/>
      <c r="AK189" s="59"/>
      <c r="AL189" s="18"/>
      <c r="AM189" s="59"/>
      <c r="AN189" s="18"/>
      <c r="AO189" s="59"/>
      <c r="AP189" s="18"/>
      <c r="AQ189" s="59"/>
      <c r="AR189" s="18"/>
      <c r="AS189" s="59"/>
      <c r="AT189" s="18"/>
      <c r="AU189" s="59"/>
      <c r="AV189" s="18"/>
      <c r="AW189" s="59"/>
      <c r="AX189" s="18"/>
      <c r="AY189" s="59"/>
      <c r="AZ189" s="18"/>
      <c r="BA189" s="59"/>
      <c r="BB189" s="18"/>
      <c r="BC189" s="59"/>
      <c r="BD189" s="18"/>
      <c r="BE189" s="59"/>
      <c r="BF189" s="18"/>
      <c r="BG189" s="59"/>
      <c r="BH189" s="18"/>
      <c r="BI189" s="59"/>
      <c r="BJ189" s="18"/>
      <c r="BK189" s="59"/>
      <c r="BL189" s="18"/>
      <c r="BM189" s="59"/>
      <c r="BN189" s="18"/>
      <c r="BO189" s="59"/>
      <c r="BP189" s="18"/>
      <c r="BQ189" s="59"/>
      <c r="BR189" s="18"/>
      <c r="BS189" s="59"/>
      <c r="BT189" s="18"/>
      <c r="BU189" s="59"/>
      <c r="BV189" s="18"/>
      <c r="BW189" s="59"/>
      <c r="BX189" s="18"/>
      <c r="BY189" s="59"/>
      <c r="BZ189" s="18"/>
      <c r="CA189" s="59"/>
      <c r="CB189" s="18"/>
      <c r="CC189" s="59"/>
      <c r="CD189" s="18"/>
      <c r="CE189" s="59"/>
      <c r="CF189" s="18"/>
      <c r="CG189" s="59"/>
      <c r="CH189" s="18"/>
      <c r="CI189" s="59"/>
      <c r="CJ189" s="18"/>
      <c r="CK189" s="59"/>
      <c r="CL189" s="18"/>
      <c r="CM189" s="59"/>
      <c r="CN189" s="18"/>
      <c r="CO189" s="59"/>
      <c r="CP189" s="18"/>
      <c r="CQ189" s="59"/>
      <c r="CR189" s="18"/>
      <c r="CS189" s="59"/>
      <c r="CT189" s="18"/>
      <c r="CU189" s="59"/>
      <c r="CV189" s="18"/>
      <c r="CW189" s="59"/>
      <c r="CX189" s="18"/>
      <c r="CY189" s="59"/>
      <c r="CZ189" s="18"/>
      <c r="DA189" s="59"/>
      <c r="DB189" s="18"/>
      <c r="DC189" s="59"/>
      <c r="DD189" s="18"/>
      <c r="DE189" s="59"/>
      <c r="DF189" s="18"/>
      <c r="DG189" s="59"/>
      <c r="DH189" s="18"/>
      <c r="DI189" s="59"/>
      <c r="DJ189" s="18"/>
      <c r="DK189" s="59"/>
      <c r="DL189" s="18"/>
      <c r="DM189" s="59"/>
      <c r="DN189" s="18"/>
      <c r="DO189" s="59"/>
      <c r="DP189" s="18"/>
      <c r="DQ189" s="59"/>
      <c r="DR189" s="18"/>
      <c r="DS189" s="59"/>
      <c r="DT189" s="18"/>
      <c r="DU189" s="59"/>
      <c r="DV189" s="18"/>
      <c r="DW189" s="59"/>
      <c r="DX189" s="18"/>
      <c r="DY189" s="59"/>
      <c r="DZ189" s="18"/>
      <c r="EA189" s="59"/>
      <c r="EB189" s="18"/>
      <c r="EC189" s="59"/>
      <c r="ED189" s="18"/>
      <c r="EE189" s="59"/>
      <c r="EF189" s="18"/>
      <c r="EG189" s="59"/>
      <c r="EH189" s="18"/>
      <c r="EI189" s="59"/>
      <c r="EJ189" s="18"/>
      <c r="EK189" s="59"/>
      <c r="EL189" s="18"/>
    </row>
    <row r="190" spans="1:142" s="75" customFormat="1" x14ac:dyDescent="0.2">
      <c r="A190" s="43"/>
      <c r="B190" s="18"/>
      <c r="C190" s="59"/>
      <c r="D190" s="18"/>
      <c r="E190" s="59"/>
      <c r="F190" s="18"/>
      <c r="G190" s="59"/>
      <c r="H190" s="18"/>
      <c r="I190" s="59"/>
      <c r="J190" s="18"/>
      <c r="K190" s="59"/>
      <c r="L190" s="18"/>
      <c r="M190" s="59"/>
      <c r="N190" s="18"/>
      <c r="O190" s="59"/>
      <c r="P190" s="18"/>
      <c r="Q190" s="59"/>
      <c r="R190" s="18"/>
      <c r="S190" s="59"/>
      <c r="T190" s="18"/>
      <c r="U190" s="59"/>
      <c r="V190" s="18"/>
      <c r="W190" s="59"/>
      <c r="X190" s="18"/>
      <c r="Y190" s="59"/>
      <c r="Z190" s="18"/>
      <c r="AA190" s="59"/>
      <c r="AB190" s="18"/>
      <c r="AC190" s="59"/>
      <c r="AD190" s="18"/>
      <c r="AE190" s="59"/>
      <c r="AF190" s="18"/>
      <c r="AG190" s="59"/>
      <c r="AH190" s="18"/>
      <c r="AI190" s="59"/>
      <c r="AJ190" s="18"/>
      <c r="AK190" s="59"/>
      <c r="AL190" s="18"/>
      <c r="AM190" s="59"/>
      <c r="AN190" s="18"/>
      <c r="AO190" s="59"/>
      <c r="AP190" s="18"/>
      <c r="AQ190" s="59"/>
      <c r="AR190" s="18"/>
      <c r="AS190" s="59"/>
      <c r="AT190" s="18"/>
      <c r="AU190" s="59"/>
      <c r="AV190" s="18"/>
      <c r="AW190" s="59"/>
      <c r="AX190" s="18"/>
      <c r="AY190" s="59"/>
      <c r="AZ190" s="18"/>
      <c r="BA190" s="59"/>
      <c r="BB190" s="18"/>
      <c r="BC190" s="59"/>
      <c r="BD190" s="18"/>
      <c r="BE190" s="59"/>
      <c r="BF190" s="18"/>
      <c r="BG190" s="59"/>
      <c r="BH190" s="18"/>
      <c r="BI190" s="59"/>
      <c r="BJ190" s="18"/>
      <c r="BK190" s="59"/>
      <c r="BL190" s="18"/>
      <c r="BM190" s="59"/>
      <c r="BN190" s="18"/>
      <c r="BO190" s="59"/>
      <c r="BP190" s="18"/>
      <c r="BQ190" s="59"/>
      <c r="BR190" s="18"/>
      <c r="BS190" s="59"/>
      <c r="BT190" s="18"/>
      <c r="BU190" s="59"/>
      <c r="BV190" s="18"/>
      <c r="BW190" s="59"/>
      <c r="BX190" s="18"/>
      <c r="BY190" s="59"/>
      <c r="BZ190" s="18"/>
      <c r="CA190" s="59"/>
      <c r="CB190" s="18"/>
      <c r="CC190" s="59"/>
      <c r="CD190" s="18"/>
      <c r="CE190" s="59"/>
      <c r="CF190" s="18"/>
      <c r="CG190" s="59"/>
      <c r="CH190" s="18"/>
      <c r="CI190" s="59"/>
      <c r="CJ190" s="18"/>
      <c r="CK190" s="59"/>
      <c r="CL190" s="18"/>
      <c r="CM190" s="59"/>
      <c r="CN190" s="18"/>
      <c r="CO190" s="59"/>
      <c r="CP190" s="18"/>
      <c r="CQ190" s="59"/>
      <c r="CR190" s="18"/>
      <c r="CS190" s="59"/>
      <c r="CT190" s="18"/>
      <c r="CU190" s="59"/>
      <c r="CV190" s="18"/>
      <c r="CW190" s="59"/>
      <c r="CX190" s="18"/>
      <c r="CY190" s="59"/>
      <c r="CZ190" s="18"/>
      <c r="DA190" s="59"/>
      <c r="DB190" s="18"/>
      <c r="DC190" s="59"/>
      <c r="DD190" s="18"/>
      <c r="DE190" s="59"/>
      <c r="DF190" s="18"/>
      <c r="DG190" s="59"/>
      <c r="DH190" s="18"/>
      <c r="DI190" s="59"/>
      <c r="DJ190" s="18"/>
      <c r="DK190" s="59"/>
      <c r="DL190" s="18"/>
      <c r="DM190" s="59"/>
      <c r="DN190" s="18"/>
      <c r="DO190" s="59"/>
      <c r="DP190" s="18"/>
      <c r="DQ190" s="59"/>
      <c r="DR190" s="18"/>
      <c r="DS190" s="59"/>
      <c r="DT190" s="18"/>
      <c r="DU190" s="59"/>
      <c r="DV190" s="18"/>
      <c r="DW190" s="59"/>
      <c r="DX190" s="18"/>
      <c r="DY190" s="59"/>
      <c r="DZ190" s="18"/>
      <c r="EA190" s="59"/>
      <c r="EB190" s="18"/>
      <c r="EC190" s="59"/>
      <c r="ED190" s="18"/>
      <c r="EE190" s="59"/>
      <c r="EF190" s="18"/>
      <c r="EG190" s="59"/>
      <c r="EH190" s="18"/>
      <c r="EI190" s="59"/>
      <c r="EJ190" s="18"/>
      <c r="EK190" s="59"/>
      <c r="EL190" s="18"/>
    </row>
    <row r="191" spans="1:142" s="75" customFormat="1" x14ac:dyDescent="0.2">
      <c r="A191" s="43"/>
      <c r="B191" s="18"/>
      <c r="C191" s="59"/>
      <c r="D191" s="18"/>
      <c r="E191" s="59"/>
      <c r="F191" s="18"/>
      <c r="G191" s="59"/>
      <c r="H191" s="18"/>
      <c r="I191" s="59"/>
      <c r="J191" s="18"/>
      <c r="K191" s="59"/>
      <c r="L191" s="18"/>
      <c r="M191" s="59"/>
      <c r="N191" s="18"/>
      <c r="O191" s="59"/>
      <c r="P191" s="18"/>
      <c r="Q191" s="59"/>
      <c r="R191" s="18"/>
      <c r="S191" s="59"/>
      <c r="T191" s="18"/>
      <c r="U191" s="59"/>
      <c r="V191" s="18"/>
      <c r="W191" s="59"/>
      <c r="X191" s="18"/>
      <c r="Y191" s="59"/>
      <c r="Z191" s="18"/>
      <c r="AA191" s="59"/>
      <c r="AB191" s="18"/>
      <c r="AC191" s="59"/>
      <c r="AD191" s="18"/>
      <c r="AE191" s="59"/>
      <c r="AF191" s="18"/>
      <c r="AG191" s="59"/>
      <c r="AH191" s="18"/>
      <c r="AI191" s="59"/>
      <c r="AJ191" s="18"/>
      <c r="AK191" s="59"/>
      <c r="AL191" s="18"/>
      <c r="AM191" s="59"/>
      <c r="AN191" s="18"/>
      <c r="AO191" s="59"/>
      <c r="AP191" s="18"/>
      <c r="AQ191" s="59"/>
      <c r="AR191" s="18"/>
      <c r="AS191" s="59"/>
      <c r="AT191" s="18"/>
      <c r="AU191" s="59"/>
      <c r="AV191" s="18"/>
      <c r="AW191" s="59"/>
      <c r="AX191" s="18"/>
      <c r="AY191" s="59"/>
      <c r="AZ191" s="18"/>
      <c r="BA191" s="59"/>
      <c r="BB191" s="18"/>
      <c r="BC191" s="59"/>
      <c r="BD191" s="18"/>
      <c r="BE191" s="59"/>
      <c r="BF191" s="18"/>
      <c r="BG191" s="59"/>
      <c r="BH191" s="18"/>
      <c r="BI191" s="59"/>
      <c r="BJ191" s="18"/>
      <c r="BK191" s="59"/>
      <c r="BL191" s="18"/>
      <c r="BM191" s="59"/>
      <c r="BN191" s="18"/>
      <c r="BO191" s="59"/>
      <c r="BP191" s="18"/>
      <c r="BQ191" s="59"/>
      <c r="BR191" s="18"/>
      <c r="BS191" s="59"/>
      <c r="BT191" s="18"/>
      <c r="BU191" s="59"/>
      <c r="BV191" s="18"/>
      <c r="BW191" s="59"/>
      <c r="BX191" s="18"/>
      <c r="BY191" s="59"/>
      <c r="BZ191" s="18"/>
      <c r="CA191" s="59"/>
      <c r="CB191" s="18"/>
      <c r="CC191" s="59"/>
      <c r="CD191" s="18"/>
      <c r="CE191" s="59"/>
      <c r="CF191" s="18"/>
      <c r="CG191" s="59"/>
      <c r="CH191" s="18"/>
      <c r="CI191" s="59"/>
      <c r="CJ191" s="18"/>
      <c r="CK191" s="59"/>
      <c r="CL191" s="18"/>
      <c r="CM191" s="59"/>
      <c r="CN191" s="18"/>
      <c r="CO191" s="59"/>
      <c r="CP191" s="18"/>
      <c r="CQ191" s="59"/>
      <c r="CR191" s="18"/>
      <c r="CS191" s="59"/>
      <c r="CT191" s="18"/>
      <c r="CU191" s="59"/>
      <c r="CV191" s="18"/>
      <c r="CW191" s="59"/>
      <c r="CX191" s="18"/>
      <c r="CY191" s="59"/>
      <c r="CZ191" s="18"/>
      <c r="DA191" s="59"/>
      <c r="DB191" s="18"/>
      <c r="DC191" s="59"/>
      <c r="DD191" s="18"/>
      <c r="DE191" s="59"/>
      <c r="DF191" s="18"/>
      <c r="DG191" s="59"/>
      <c r="DH191" s="18"/>
      <c r="DI191" s="59"/>
      <c r="DJ191" s="18"/>
      <c r="DK191" s="59"/>
      <c r="DL191" s="18"/>
      <c r="DM191" s="59"/>
      <c r="DN191" s="18"/>
      <c r="DO191" s="59"/>
      <c r="DP191" s="18"/>
      <c r="DQ191" s="59"/>
      <c r="DR191" s="18"/>
      <c r="DS191" s="59"/>
      <c r="DT191" s="18"/>
      <c r="DU191" s="59"/>
      <c r="DV191" s="18"/>
      <c r="DW191" s="59"/>
      <c r="DX191" s="18"/>
      <c r="DY191" s="59"/>
      <c r="DZ191" s="18"/>
      <c r="EA191" s="59"/>
      <c r="EB191" s="18"/>
      <c r="EC191" s="59"/>
      <c r="ED191" s="18"/>
      <c r="EE191" s="59"/>
      <c r="EF191" s="18"/>
      <c r="EG191" s="59"/>
      <c r="EH191" s="18"/>
      <c r="EI191" s="59"/>
      <c r="EJ191" s="18"/>
      <c r="EK191" s="59"/>
      <c r="EL191" s="18"/>
    </row>
    <row r="192" spans="1:142" s="75" customFormat="1" x14ac:dyDescent="0.2">
      <c r="A192" s="43"/>
      <c r="B192" s="18"/>
      <c r="C192" s="59"/>
      <c r="D192" s="18"/>
      <c r="E192" s="59"/>
      <c r="F192" s="18"/>
      <c r="G192" s="59"/>
      <c r="H192" s="18"/>
      <c r="I192" s="59"/>
      <c r="J192" s="18"/>
      <c r="K192" s="59"/>
      <c r="L192" s="18"/>
      <c r="M192" s="59"/>
      <c r="N192" s="18"/>
      <c r="O192" s="59"/>
      <c r="P192" s="18"/>
      <c r="Q192" s="59"/>
      <c r="R192" s="18"/>
      <c r="S192" s="59"/>
      <c r="T192" s="18"/>
      <c r="U192" s="59"/>
      <c r="V192" s="18"/>
      <c r="W192" s="59"/>
      <c r="X192" s="18"/>
      <c r="Y192" s="59"/>
      <c r="Z192" s="18"/>
      <c r="AA192" s="59"/>
      <c r="AB192" s="18"/>
      <c r="AC192" s="59"/>
      <c r="AD192" s="18"/>
      <c r="AE192" s="59"/>
      <c r="AF192" s="18"/>
      <c r="AG192" s="59"/>
      <c r="AH192" s="18"/>
      <c r="AI192" s="59"/>
      <c r="AJ192" s="18"/>
      <c r="AK192" s="59"/>
      <c r="AL192" s="18"/>
      <c r="AM192" s="59"/>
      <c r="AN192" s="18"/>
      <c r="AO192" s="59"/>
      <c r="AP192" s="18"/>
      <c r="AQ192" s="59"/>
      <c r="AR192" s="18"/>
      <c r="AS192" s="59"/>
      <c r="AT192" s="18"/>
      <c r="AU192" s="59"/>
      <c r="AV192" s="18"/>
      <c r="AW192" s="59"/>
      <c r="AX192" s="18"/>
      <c r="AY192" s="59"/>
      <c r="AZ192" s="18"/>
      <c r="BA192" s="59"/>
      <c r="BB192" s="18"/>
      <c r="BC192" s="59"/>
      <c r="BD192" s="18"/>
      <c r="BE192" s="59"/>
      <c r="BF192" s="18"/>
      <c r="BG192" s="59"/>
      <c r="BH192" s="18"/>
      <c r="BI192" s="59"/>
      <c r="BJ192" s="18"/>
      <c r="BK192" s="59"/>
      <c r="BL192" s="18"/>
      <c r="BM192" s="59"/>
      <c r="BN192" s="18"/>
      <c r="BO192" s="59"/>
      <c r="BP192" s="18"/>
      <c r="BQ192" s="59"/>
      <c r="BR192" s="18"/>
      <c r="BS192" s="59"/>
      <c r="BT192" s="18"/>
      <c r="BU192" s="59"/>
      <c r="BV192" s="18"/>
      <c r="BW192" s="59"/>
      <c r="BX192" s="18"/>
      <c r="BY192" s="59"/>
      <c r="BZ192" s="18"/>
      <c r="CA192" s="59"/>
      <c r="CB192" s="18"/>
      <c r="CC192" s="59"/>
      <c r="CD192" s="18"/>
      <c r="CE192" s="59"/>
      <c r="CF192" s="18"/>
      <c r="CG192" s="59"/>
      <c r="CH192" s="18"/>
      <c r="CI192" s="59"/>
      <c r="CJ192" s="18"/>
      <c r="CK192" s="59"/>
      <c r="CL192" s="18"/>
      <c r="CM192" s="59"/>
      <c r="CN192" s="18"/>
      <c r="CO192" s="59"/>
      <c r="CP192" s="18"/>
      <c r="CQ192" s="59"/>
      <c r="CR192" s="18"/>
      <c r="CS192" s="59"/>
      <c r="CT192" s="18"/>
      <c r="CU192" s="59"/>
      <c r="CV192" s="18"/>
      <c r="CW192" s="59"/>
      <c r="CX192" s="18"/>
      <c r="CY192" s="59"/>
      <c r="CZ192" s="18"/>
      <c r="DA192" s="59"/>
      <c r="DB192" s="18"/>
      <c r="DC192" s="59"/>
      <c r="DD192" s="18"/>
      <c r="DE192" s="59"/>
      <c r="DF192" s="18"/>
      <c r="DG192" s="59"/>
      <c r="DH192" s="18"/>
      <c r="DI192" s="59"/>
      <c r="DJ192" s="18"/>
      <c r="DK192" s="59"/>
      <c r="DL192" s="18"/>
      <c r="DM192" s="59"/>
      <c r="DN192" s="18"/>
      <c r="DO192" s="59"/>
      <c r="DP192" s="18"/>
      <c r="DQ192" s="59"/>
      <c r="DR192" s="18"/>
      <c r="DS192" s="59"/>
      <c r="DT192" s="18"/>
      <c r="DU192" s="59"/>
      <c r="DV192" s="18"/>
      <c r="DW192" s="59"/>
      <c r="DX192" s="18"/>
      <c r="DY192" s="59"/>
      <c r="DZ192" s="18"/>
      <c r="EA192" s="59"/>
      <c r="EB192" s="18"/>
      <c r="EC192" s="59"/>
      <c r="ED192" s="18"/>
      <c r="EE192" s="59"/>
      <c r="EF192" s="18"/>
      <c r="EG192" s="59"/>
      <c r="EH192" s="18"/>
      <c r="EI192" s="59"/>
      <c r="EJ192" s="18"/>
      <c r="EK192" s="59"/>
      <c r="EL192" s="18"/>
    </row>
    <row r="193" spans="1:142" s="75" customFormat="1" x14ac:dyDescent="0.2">
      <c r="A193" s="43"/>
      <c r="B193" s="18"/>
      <c r="C193" s="59"/>
      <c r="D193" s="18"/>
      <c r="E193" s="59"/>
      <c r="F193" s="18"/>
      <c r="G193" s="59"/>
      <c r="H193" s="18"/>
      <c r="I193" s="59"/>
      <c r="J193" s="18"/>
      <c r="K193" s="59"/>
      <c r="L193" s="18"/>
      <c r="M193" s="59"/>
      <c r="N193" s="18"/>
      <c r="O193" s="59"/>
      <c r="P193" s="18"/>
      <c r="Q193" s="59"/>
      <c r="R193" s="18"/>
      <c r="S193" s="59"/>
      <c r="T193" s="18"/>
      <c r="U193" s="59"/>
      <c r="V193" s="18"/>
      <c r="W193" s="59"/>
      <c r="X193" s="18"/>
      <c r="Y193" s="59"/>
      <c r="Z193" s="18"/>
      <c r="AA193" s="59"/>
      <c r="AB193" s="18"/>
      <c r="AC193" s="59"/>
      <c r="AD193" s="18"/>
      <c r="AE193" s="59"/>
      <c r="AF193" s="18"/>
      <c r="AG193" s="59"/>
      <c r="AH193" s="18"/>
      <c r="AI193" s="59"/>
      <c r="AJ193" s="18"/>
      <c r="AK193" s="59"/>
      <c r="AL193" s="18"/>
      <c r="AM193" s="59"/>
      <c r="AN193" s="18"/>
      <c r="AO193" s="59"/>
      <c r="AP193" s="18"/>
      <c r="AQ193" s="59"/>
      <c r="AR193" s="18"/>
      <c r="AS193" s="59"/>
      <c r="AT193" s="18"/>
      <c r="AU193" s="59"/>
      <c r="AV193" s="18"/>
      <c r="AW193" s="59"/>
      <c r="AX193" s="18"/>
      <c r="AY193" s="59"/>
      <c r="AZ193" s="18"/>
      <c r="BA193" s="59"/>
      <c r="BB193" s="18"/>
      <c r="BC193" s="59"/>
      <c r="BD193" s="18"/>
      <c r="BE193" s="59"/>
      <c r="BF193" s="18"/>
      <c r="BG193" s="59"/>
      <c r="BH193" s="18"/>
      <c r="BI193" s="59"/>
      <c r="BJ193" s="18"/>
      <c r="BK193" s="59"/>
      <c r="BL193" s="18"/>
      <c r="BM193" s="59"/>
      <c r="BN193" s="18"/>
      <c r="BO193" s="59"/>
      <c r="BP193" s="18"/>
      <c r="BQ193" s="59"/>
      <c r="BR193" s="18"/>
      <c r="BS193" s="59"/>
      <c r="BT193" s="18"/>
      <c r="BU193" s="59"/>
      <c r="BV193" s="18"/>
      <c r="BW193" s="59"/>
      <c r="BX193" s="18"/>
      <c r="BY193" s="59"/>
      <c r="BZ193" s="18"/>
      <c r="CA193" s="59"/>
      <c r="CB193" s="18"/>
      <c r="CC193" s="59"/>
      <c r="CD193" s="18"/>
      <c r="CE193" s="59"/>
      <c r="CF193" s="18"/>
      <c r="CG193" s="59"/>
      <c r="CH193" s="18"/>
      <c r="CI193" s="59"/>
      <c r="CJ193" s="18"/>
      <c r="CK193" s="59"/>
      <c r="CL193" s="18"/>
      <c r="CM193" s="59"/>
      <c r="CN193" s="18"/>
      <c r="CO193" s="59"/>
      <c r="CP193" s="18"/>
      <c r="CQ193" s="59"/>
      <c r="CR193" s="18"/>
      <c r="CS193" s="59"/>
      <c r="CT193" s="18"/>
      <c r="CU193" s="59"/>
      <c r="CV193" s="18"/>
      <c r="CW193" s="59"/>
      <c r="CX193" s="18"/>
      <c r="CY193" s="59"/>
      <c r="CZ193" s="18"/>
      <c r="DA193" s="59"/>
      <c r="DB193" s="18"/>
      <c r="DC193" s="59"/>
      <c r="DD193" s="18"/>
      <c r="DE193" s="59"/>
      <c r="DF193" s="18"/>
      <c r="DG193" s="59"/>
      <c r="DH193" s="18"/>
      <c r="DI193" s="59"/>
      <c r="DJ193" s="18"/>
      <c r="DK193" s="59"/>
      <c r="DL193" s="18"/>
      <c r="DM193" s="59"/>
      <c r="DN193" s="18"/>
      <c r="DO193" s="59"/>
      <c r="DP193" s="18"/>
      <c r="DQ193" s="59"/>
      <c r="DR193" s="18"/>
      <c r="DS193" s="59"/>
      <c r="DT193" s="18"/>
      <c r="DU193" s="59"/>
      <c r="DV193" s="18"/>
      <c r="DW193" s="59"/>
      <c r="DX193" s="18"/>
      <c r="DY193" s="59"/>
      <c r="DZ193" s="18"/>
      <c r="EA193" s="59"/>
      <c r="EB193" s="18"/>
      <c r="EC193" s="59"/>
      <c r="ED193" s="18"/>
      <c r="EE193" s="59"/>
      <c r="EF193" s="18"/>
      <c r="EG193" s="59"/>
      <c r="EH193" s="18"/>
      <c r="EI193" s="59"/>
      <c r="EJ193" s="18"/>
      <c r="EK193" s="59"/>
      <c r="EL193" s="18"/>
    </row>
    <row r="194" spans="1:142" s="75" customFormat="1" x14ac:dyDescent="0.2">
      <c r="A194" s="43"/>
      <c r="B194" s="18"/>
      <c r="C194" s="59"/>
      <c r="D194" s="18"/>
      <c r="E194" s="59"/>
      <c r="F194" s="18"/>
      <c r="G194" s="59"/>
      <c r="H194" s="18"/>
      <c r="I194" s="59"/>
      <c r="J194" s="18"/>
      <c r="K194" s="59"/>
      <c r="L194" s="18"/>
      <c r="M194" s="59"/>
      <c r="N194" s="18"/>
      <c r="O194" s="59"/>
      <c r="P194" s="18"/>
      <c r="Q194" s="59"/>
      <c r="R194" s="18"/>
      <c r="S194" s="59"/>
      <c r="T194" s="18"/>
      <c r="U194" s="59"/>
      <c r="V194" s="18"/>
      <c r="W194" s="59"/>
      <c r="X194" s="18"/>
      <c r="Y194" s="59"/>
      <c r="Z194" s="18"/>
      <c r="AA194" s="59"/>
      <c r="AB194" s="18"/>
      <c r="AC194" s="59"/>
      <c r="AD194" s="18"/>
      <c r="AE194" s="59"/>
      <c r="AF194" s="18"/>
      <c r="AG194" s="59"/>
      <c r="AH194" s="18"/>
      <c r="AI194" s="59"/>
      <c r="AJ194" s="18"/>
      <c r="AK194" s="59"/>
      <c r="AL194" s="18"/>
      <c r="AM194" s="59"/>
      <c r="AN194" s="18"/>
      <c r="AO194" s="59"/>
      <c r="AP194" s="18"/>
      <c r="AQ194" s="59"/>
      <c r="AR194" s="18"/>
      <c r="AS194" s="59"/>
      <c r="AT194" s="18"/>
      <c r="AU194" s="59"/>
      <c r="AV194" s="18"/>
      <c r="AW194" s="59"/>
      <c r="AX194" s="18"/>
      <c r="AY194" s="59"/>
      <c r="AZ194" s="18"/>
      <c r="BA194" s="59"/>
      <c r="BB194" s="18"/>
      <c r="BC194" s="59"/>
      <c r="BD194" s="18"/>
      <c r="BE194" s="59"/>
      <c r="BF194" s="18"/>
      <c r="BG194" s="59"/>
      <c r="BH194" s="18"/>
      <c r="BI194" s="59"/>
      <c r="BJ194" s="18"/>
      <c r="BK194" s="59"/>
      <c r="BL194" s="18"/>
      <c r="BM194" s="59"/>
      <c r="BN194" s="18"/>
      <c r="BO194" s="59"/>
      <c r="BP194" s="18"/>
      <c r="BQ194" s="59"/>
      <c r="BR194" s="18"/>
      <c r="BS194" s="59"/>
      <c r="BT194" s="18"/>
      <c r="BU194" s="59"/>
      <c r="BV194" s="18"/>
      <c r="BW194" s="59"/>
      <c r="BX194" s="18"/>
      <c r="BY194" s="59"/>
      <c r="BZ194" s="18"/>
      <c r="CA194" s="59"/>
      <c r="CB194" s="18"/>
      <c r="CC194" s="59"/>
      <c r="CD194" s="18"/>
      <c r="CE194" s="59"/>
      <c r="CF194" s="18"/>
      <c r="CG194" s="59"/>
      <c r="CH194" s="18"/>
      <c r="CI194" s="59"/>
      <c r="CJ194" s="18"/>
      <c r="CK194" s="59"/>
      <c r="CL194" s="18"/>
      <c r="CM194" s="59"/>
      <c r="CN194" s="18"/>
      <c r="CO194" s="59"/>
      <c r="CP194" s="18"/>
      <c r="CQ194" s="59"/>
      <c r="CR194" s="18"/>
      <c r="CS194" s="59"/>
      <c r="CT194" s="18"/>
      <c r="CU194" s="59"/>
      <c r="CV194" s="18"/>
      <c r="CW194" s="59"/>
      <c r="CX194" s="18"/>
      <c r="CY194" s="59"/>
      <c r="CZ194" s="18"/>
      <c r="DA194" s="59"/>
      <c r="DB194" s="18"/>
      <c r="DC194" s="59"/>
      <c r="DD194" s="18"/>
      <c r="DE194" s="59"/>
      <c r="DF194" s="18"/>
      <c r="DG194" s="59"/>
      <c r="DH194" s="18"/>
      <c r="DI194" s="59"/>
      <c r="DJ194" s="18"/>
      <c r="DK194" s="59"/>
      <c r="DL194" s="18"/>
      <c r="DM194" s="59"/>
      <c r="DN194" s="18"/>
      <c r="DO194" s="59"/>
      <c r="DP194" s="18"/>
      <c r="DQ194" s="59"/>
      <c r="DR194" s="18"/>
      <c r="DS194" s="59"/>
      <c r="DT194" s="18"/>
      <c r="DU194" s="59"/>
      <c r="DV194" s="18"/>
      <c r="DW194" s="59"/>
      <c r="DX194" s="18"/>
      <c r="DY194" s="59"/>
      <c r="DZ194" s="18"/>
      <c r="EA194" s="59"/>
      <c r="EB194" s="18"/>
      <c r="EC194" s="59"/>
      <c r="ED194" s="18"/>
      <c r="EE194" s="59"/>
      <c r="EF194" s="18"/>
      <c r="EG194" s="59"/>
      <c r="EH194" s="18"/>
      <c r="EI194" s="59"/>
      <c r="EJ194" s="18"/>
      <c r="EK194" s="59"/>
      <c r="EL194" s="18"/>
    </row>
    <row r="195" spans="1:142" s="75" customFormat="1" x14ac:dyDescent="0.2">
      <c r="A195" s="43"/>
      <c r="B195" s="18"/>
      <c r="C195" s="59"/>
      <c r="D195" s="18"/>
      <c r="E195" s="59"/>
      <c r="F195" s="18"/>
      <c r="G195" s="59"/>
      <c r="H195" s="18"/>
      <c r="I195" s="59"/>
      <c r="J195" s="18"/>
      <c r="K195" s="59"/>
      <c r="L195" s="18"/>
      <c r="M195" s="59"/>
      <c r="N195" s="18"/>
      <c r="O195" s="59"/>
      <c r="P195" s="18"/>
      <c r="Q195" s="59"/>
      <c r="R195" s="18"/>
      <c r="S195" s="59"/>
      <c r="T195" s="18"/>
      <c r="U195" s="59"/>
      <c r="V195" s="18"/>
      <c r="W195" s="59"/>
      <c r="X195" s="18"/>
      <c r="Y195" s="59"/>
      <c r="Z195" s="18"/>
      <c r="AA195" s="59"/>
      <c r="AB195" s="18"/>
      <c r="AC195" s="59"/>
      <c r="AD195" s="18"/>
      <c r="AE195" s="59"/>
      <c r="AF195" s="18"/>
      <c r="AG195" s="59"/>
      <c r="AH195" s="18"/>
      <c r="AI195" s="59"/>
      <c r="AJ195" s="18"/>
      <c r="AK195" s="59"/>
      <c r="AL195" s="18"/>
      <c r="AM195" s="59"/>
      <c r="AN195" s="18"/>
      <c r="AO195" s="59"/>
      <c r="AP195" s="18"/>
      <c r="AQ195" s="59"/>
      <c r="AR195" s="18"/>
      <c r="AS195" s="59"/>
      <c r="AT195" s="18"/>
      <c r="AU195" s="59"/>
      <c r="AV195" s="18"/>
      <c r="AW195" s="59"/>
      <c r="AX195" s="18"/>
      <c r="AY195" s="59"/>
      <c r="AZ195" s="18"/>
      <c r="BA195" s="59"/>
      <c r="BB195" s="18"/>
      <c r="BC195" s="59"/>
      <c r="BD195" s="18"/>
      <c r="BE195" s="59"/>
      <c r="BF195" s="18"/>
      <c r="BG195" s="59"/>
      <c r="BH195" s="18"/>
      <c r="BI195" s="59"/>
      <c r="BJ195" s="18"/>
      <c r="BK195" s="59"/>
      <c r="BL195" s="18"/>
      <c r="BM195" s="59"/>
      <c r="BN195" s="18"/>
      <c r="BO195" s="59"/>
      <c r="BP195" s="18"/>
      <c r="BQ195" s="59"/>
      <c r="BR195" s="18"/>
      <c r="BS195" s="59"/>
      <c r="BT195" s="18"/>
      <c r="BU195" s="59"/>
      <c r="BV195" s="18"/>
      <c r="BW195" s="59"/>
      <c r="BX195" s="18"/>
      <c r="BY195" s="59"/>
      <c r="BZ195" s="18"/>
      <c r="CA195" s="59"/>
      <c r="CB195" s="18"/>
      <c r="CC195" s="59"/>
      <c r="CD195" s="18"/>
      <c r="CE195" s="59"/>
      <c r="CF195" s="18"/>
      <c r="CG195" s="59"/>
      <c r="CH195" s="18"/>
      <c r="CI195" s="59"/>
      <c r="CJ195" s="18"/>
      <c r="CK195" s="59"/>
      <c r="CL195" s="18"/>
      <c r="CM195" s="59"/>
      <c r="CN195" s="18"/>
      <c r="CO195" s="59"/>
      <c r="CP195" s="18"/>
      <c r="CQ195" s="59"/>
      <c r="CR195" s="18"/>
      <c r="CS195" s="59"/>
      <c r="CT195" s="18"/>
      <c r="CU195" s="59"/>
      <c r="CV195" s="18"/>
      <c r="CW195" s="59"/>
      <c r="CX195" s="18"/>
      <c r="CY195" s="59"/>
      <c r="CZ195" s="18"/>
      <c r="DA195" s="59"/>
      <c r="DB195" s="18"/>
      <c r="DC195" s="59"/>
      <c r="DD195" s="18"/>
      <c r="DE195" s="59"/>
      <c r="DF195" s="18"/>
      <c r="DG195" s="59"/>
      <c r="DH195" s="18"/>
      <c r="DI195" s="59"/>
      <c r="DJ195" s="18"/>
      <c r="DK195" s="59"/>
      <c r="DL195" s="18"/>
      <c r="DM195" s="59"/>
      <c r="DN195" s="18"/>
      <c r="DO195" s="59"/>
      <c r="DP195" s="18"/>
      <c r="DQ195" s="59"/>
      <c r="DR195" s="18"/>
      <c r="DS195" s="59"/>
      <c r="DT195" s="18"/>
      <c r="DU195" s="59"/>
      <c r="DV195" s="18"/>
      <c r="DW195" s="59"/>
      <c r="DX195" s="18"/>
      <c r="DY195" s="59"/>
      <c r="DZ195" s="18"/>
      <c r="EA195" s="59"/>
      <c r="EB195" s="18"/>
      <c r="EC195" s="59"/>
      <c r="ED195" s="18"/>
      <c r="EE195" s="59"/>
      <c r="EF195" s="18"/>
      <c r="EG195" s="59"/>
      <c r="EH195" s="18"/>
      <c r="EI195" s="59"/>
      <c r="EJ195" s="18"/>
      <c r="EK195" s="59"/>
      <c r="EL195" s="18"/>
    </row>
    <row r="196" spans="1:142" s="75" customFormat="1" x14ac:dyDescent="0.2">
      <c r="A196" s="43"/>
      <c r="B196" s="18"/>
      <c r="C196" s="59"/>
      <c r="D196" s="18"/>
      <c r="E196" s="59"/>
      <c r="F196" s="18"/>
      <c r="G196" s="59"/>
      <c r="H196" s="18"/>
      <c r="I196" s="59"/>
      <c r="J196" s="18"/>
      <c r="K196" s="59"/>
      <c r="L196" s="18"/>
      <c r="M196" s="59"/>
      <c r="N196" s="18"/>
      <c r="O196" s="59"/>
      <c r="P196" s="18"/>
      <c r="Q196" s="59"/>
      <c r="R196" s="18"/>
      <c r="S196" s="59"/>
      <c r="T196" s="18"/>
      <c r="U196" s="59"/>
      <c r="V196" s="18"/>
      <c r="W196" s="59"/>
      <c r="X196" s="18"/>
      <c r="Y196" s="59"/>
      <c r="Z196" s="18"/>
      <c r="AA196" s="59"/>
      <c r="AB196" s="18"/>
      <c r="AC196" s="59"/>
      <c r="AD196" s="18"/>
      <c r="AE196" s="59"/>
      <c r="AF196" s="18"/>
      <c r="AG196" s="59"/>
      <c r="AH196" s="18"/>
      <c r="AI196" s="59"/>
      <c r="AJ196" s="18"/>
      <c r="AK196" s="59"/>
      <c r="AL196" s="18"/>
      <c r="AM196" s="59"/>
      <c r="AN196" s="18"/>
      <c r="AO196" s="59"/>
      <c r="AP196" s="18"/>
      <c r="AQ196" s="59"/>
      <c r="AR196" s="18"/>
      <c r="AS196" s="59"/>
      <c r="AT196" s="18"/>
      <c r="AU196" s="59"/>
      <c r="AV196" s="18"/>
      <c r="AW196" s="59"/>
      <c r="AX196" s="18"/>
      <c r="AY196" s="59"/>
      <c r="AZ196" s="18"/>
      <c r="BA196" s="59"/>
      <c r="BB196" s="18"/>
      <c r="BC196" s="59"/>
      <c r="BD196" s="18"/>
      <c r="BE196" s="59"/>
      <c r="BF196" s="18"/>
      <c r="BG196" s="59"/>
      <c r="BH196" s="18"/>
      <c r="BI196" s="59"/>
      <c r="BJ196" s="18"/>
      <c r="BK196" s="59"/>
      <c r="BL196" s="18"/>
      <c r="BM196" s="59"/>
      <c r="BN196" s="18"/>
      <c r="BO196" s="59"/>
      <c r="BP196" s="18"/>
      <c r="BQ196" s="59"/>
      <c r="BR196" s="18"/>
      <c r="BS196" s="59"/>
      <c r="BT196" s="18"/>
      <c r="BU196" s="59"/>
      <c r="BV196" s="18"/>
      <c r="BW196" s="59"/>
      <c r="BX196" s="18"/>
      <c r="BY196" s="59"/>
      <c r="BZ196" s="18"/>
      <c r="CA196" s="59"/>
      <c r="CB196" s="18"/>
      <c r="CC196" s="59"/>
      <c r="CD196" s="18"/>
      <c r="CE196" s="59"/>
      <c r="CF196" s="18"/>
      <c r="CG196" s="59"/>
      <c r="CH196" s="18"/>
      <c r="CI196" s="59"/>
      <c r="CJ196" s="18"/>
      <c r="CK196" s="59"/>
      <c r="CL196" s="18"/>
      <c r="CM196" s="59"/>
      <c r="CN196" s="18"/>
      <c r="CO196" s="59"/>
      <c r="CP196" s="18"/>
      <c r="CQ196" s="59"/>
      <c r="CR196" s="18"/>
      <c r="CS196" s="59"/>
      <c r="CT196" s="18"/>
      <c r="CU196" s="59"/>
      <c r="CV196" s="18"/>
      <c r="CW196" s="59"/>
      <c r="CX196" s="18"/>
      <c r="CY196" s="59"/>
      <c r="CZ196" s="18"/>
      <c r="DA196" s="59"/>
      <c r="DB196" s="18"/>
      <c r="DC196" s="59"/>
      <c r="DD196" s="18"/>
      <c r="DE196" s="59"/>
      <c r="DF196" s="18"/>
      <c r="DG196" s="59"/>
      <c r="DH196" s="18"/>
      <c r="DI196" s="59"/>
      <c r="DJ196" s="18"/>
      <c r="DK196" s="59"/>
      <c r="DL196" s="18"/>
      <c r="DM196" s="59"/>
      <c r="DN196" s="18"/>
      <c r="DO196" s="59"/>
      <c r="DP196" s="18"/>
      <c r="DQ196" s="59"/>
      <c r="DR196" s="18"/>
      <c r="DS196" s="59"/>
      <c r="DT196" s="18"/>
      <c r="DU196" s="59"/>
      <c r="DV196" s="18"/>
      <c r="DW196" s="59"/>
      <c r="DX196" s="18"/>
      <c r="DY196" s="59"/>
      <c r="DZ196" s="18"/>
      <c r="EA196" s="59"/>
      <c r="EB196" s="18"/>
      <c r="EC196" s="59"/>
      <c r="ED196" s="18"/>
      <c r="EE196" s="59"/>
      <c r="EF196" s="18"/>
      <c r="EG196" s="59"/>
      <c r="EH196" s="18"/>
      <c r="EI196" s="59"/>
      <c r="EJ196" s="18"/>
      <c r="EK196" s="59"/>
      <c r="EL196" s="18"/>
    </row>
    <row r="197" spans="1:142" s="75" customFormat="1" x14ac:dyDescent="0.2">
      <c r="A197" s="43"/>
      <c r="B197" s="18"/>
      <c r="C197" s="59"/>
      <c r="D197" s="18"/>
      <c r="E197" s="59"/>
      <c r="F197" s="18"/>
      <c r="G197" s="59"/>
      <c r="H197" s="18"/>
      <c r="I197" s="59"/>
      <c r="J197" s="18"/>
      <c r="K197" s="59"/>
      <c r="L197" s="18"/>
      <c r="M197" s="59"/>
      <c r="N197" s="18"/>
      <c r="O197" s="59"/>
      <c r="P197" s="18"/>
      <c r="Q197" s="59"/>
      <c r="R197" s="18"/>
      <c r="S197" s="59"/>
      <c r="T197" s="18"/>
      <c r="U197" s="59"/>
      <c r="V197" s="18"/>
      <c r="W197" s="59"/>
      <c r="X197" s="18"/>
      <c r="Y197" s="59"/>
      <c r="Z197" s="18"/>
      <c r="AA197" s="59"/>
      <c r="AB197" s="18"/>
      <c r="AC197" s="59"/>
      <c r="AD197" s="18"/>
      <c r="AE197" s="59"/>
      <c r="AF197" s="18"/>
      <c r="AG197" s="59"/>
      <c r="AH197" s="18"/>
      <c r="AI197" s="59"/>
      <c r="AJ197" s="18"/>
      <c r="AK197" s="59"/>
      <c r="AL197" s="18"/>
      <c r="AM197" s="59"/>
      <c r="AN197" s="18"/>
      <c r="AO197" s="59"/>
      <c r="AP197" s="18"/>
      <c r="AQ197" s="59"/>
      <c r="AR197" s="18"/>
      <c r="AS197" s="59"/>
      <c r="AT197" s="18"/>
      <c r="AU197" s="59"/>
      <c r="AV197" s="18"/>
      <c r="AW197" s="59"/>
      <c r="AX197" s="18"/>
      <c r="AY197" s="59"/>
      <c r="AZ197" s="18"/>
      <c r="BA197" s="59"/>
      <c r="BB197" s="18"/>
      <c r="BC197" s="59"/>
      <c r="BD197" s="18"/>
      <c r="BE197" s="59"/>
      <c r="BF197" s="18"/>
      <c r="BG197" s="59"/>
      <c r="BH197" s="18"/>
      <c r="BI197" s="59"/>
      <c r="BJ197" s="18"/>
      <c r="BK197" s="59"/>
      <c r="BL197" s="18"/>
      <c r="BM197" s="59"/>
      <c r="BN197" s="18"/>
      <c r="BO197" s="59"/>
      <c r="BP197" s="18"/>
      <c r="BQ197" s="59"/>
      <c r="BR197" s="18"/>
      <c r="BS197" s="59"/>
      <c r="BT197" s="18"/>
      <c r="BU197" s="59"/>
      <c r="BV197" s="18"/>
      <c r="BW197" s="59"/>
      <c r="BX197" s="18"/>
      <c r="BY197" s="59"/>
      <c r="BZ197" s="18"/>
      <c r="CA197" s="59"/>
      <c r="CB197" s="18"/>
      <c r="CC197" s="59"/>
      <c r="CD197" s="18"/>
      <c r="CE197" s="59"/>
      <c r="CF197" s="18"/>
      <c r="CG197" s="59"/>
      <c r="CH197" s="18"/>
      <c r="CI197" s="59"/>
      <c r="CJ197" s="18"/>
      <c r="CK197" s="59"/>
      <c r="CL197" s="18"/>
      <c r="CM197" s="59"/>
      <c r="CN197" s="18"/>
      <c r="CO197" s="59"/>
      <c r="CP197" s="18"/>
      <c r="CQ197" s="59"/>
      <c r="CR197" s="18"/>
      <c r="CS197" s="59"/>
      <c r="CT197" s="18"/>
      <c r="CU197" s="59"/>
      <c r="CV197" s="18"/>
      <c r="CW197" s="59"/>
      <c r="CX197" s="18"/>
      <c r="CY197" s="59"/>
      <c r="CZ197" s="18"/>
      <c r="DA197" s="59"/>
      <c r="DB197" s="18"/>
      <c r="DC197" s="59"/>
      <c r="DD197" s="18"/>
      <c r="DE197" s="59"/>
      <c r="DF197" s="18"/>
      <c r="DG197" s="59"/>
      <c r="DH197" s="18"/>
      <c r="DI197" s="59"/>
      <c r="DJ197" s="18"/>
      <c r="DK197" s="59"/>
      <c r="DL197" s="18"/>
      <c r="DM197" s="59"/>
      <c r="DN197" s="18"/>
      <c r="DO197" s="59"/>
      <c r="DP197" s="18"/>
      <c r="DQ197" s="59"/>
      <c r="DR197" s="18"/>
      <c r="DS197" s="59"/>
      <c r="DT197" s="18"/>
      <c r="DU197" s="59"/>
      <c r="DV197" s="18"/>
      <c r="DW197" s="59"/>
      <c r="DX197" s="18"/>
      <c r="DY197" s="59"/>
      <c r="DZ197" s="18"/>
      <c r="EA197" s="59"/>
      <c r="EB197" s="18"/>
      <c r="EC197" s="59"/>
      <c r="ED197" s="18"/>
      <c r="EE197" s="59"/>
      <c r="EF197" s="18"/>
      <c r="EG197" s="59"/>
      <c r="EH197" s="18"/>
      <c r="EI197" s="59"/>
      <c r="EJ197" s="18"/>
      <c r="EK197" s="59"/>
      <c r="EL197" s="18"/>
    </row>
    <row r="198" spans="1:142" s="75" customFormat="1" x14ac:dyDescent="0.2">
      <c r="A198" s="43"/>
      <c r="B198" s="18"/>
      <c r="C198" s="59"/>
      <c r="D198" s="18"/>
      <c r="E198" s="59"/>
      <c r="F198" s="18"/>
      <c r="G198" s="59"/>
      <c r="H198" s="18"/>
      <c r="I198" s="59"/>
      <c r="J198" s="18"/>
      <c r="K198" s="59"/>
      <c r="L198" s="18"/>
      <c r="M198" s="59"/>
      <c r="N198" s="18"/>
      <c r="O198" s="59"/>
      <c r="P198" s="18"/>
      <c r="Q198" s="59"/>
      <c r="R198" s="18"/>
      <c r="S198" s="59"/>
      <c r="T198" s="18"/>
      <c r="U198" s="59"/>
      <c r="V198" s="18"/>
      <c r="W198" s="59"/>
      <c r="X198" s="18"/>
      <c r="Y198" s="59"/>
      <c r="Z198" s="18"/>
      <c r="AA198" s="59"/>
      <c r="AB198" s="18"/>
      <c r="AC198" s="59"/>
      <c r="AD198" s="18"/>
      <c r="AE198" s="59"/>
      <c r="AF198" s="18"/>
      <c r="AG198" s="59"/>
      <c r="AH198" s="18"/>
      <c r="AI198" s="59"/>
      <c r="AJ198" s="18"/>
      <c r="AK198" s="59"/>
      <c r="AL198" s="18"/>
      <c r="AM198" s="59"/>
      <c r="AN198" s="18"/>
      <c r="AO198" s="59"/>
      <c r="AP198" s="18"/>
      <c r="AQ198" s="59"/>
      <c r="AR198" s="18"/>
      <c r="AS198" s="59"/>
      <c r="AT198" s="18"/>
      <c r="AU198" s="59"/>
      <c r="AV198" s="18"/>
      <c r="AW198" s="59"/>
      <c r="AX198" s="18"/>
      <c r="AY198" s="59"/>
      <c r="AZ198" s="18"/>
      <c r="BA198" s="59"/>
      <c r="BB198" s="18"/>
      <c r="BC198" s="59"/>
      <c r="BD198" s="18"/>
      <c r="BE198" s="59"/>
      <c r="BF198" s="18"/>
      <c r="BG198" s="59"/>
      <c r="BH198" s="18"/>
      <c r="BI198" s="59"/>
      <c r="BJ198" s="18"/>
      <c r="BK198" s="59"/>
      <c r="BL198" s="18"/>
      <c r="BM198" s="59"/>
      <c r="BN198" s="18"/>
      <c r="BO198" s="59"/>
      <c r="BP198" s="18"/>
      <c r="BQ198" s="59"/>
      <c r="BR198" s="18"/>
      <c r="BS198" s="59"/>
      <c r="BT198" s="18"/>
      <c r="BU198" s="59"/>
      <c r="BV198" s="18"/>
      <c r="BW198" s="59"/>
      <c r="BX198" s="18"/>
      <c r="BY198" s="59"/>
      <c r="BZ198" s="18"/>
      <c r="CA198" s="59"/>
      <c r="CB198" s="18"/>
      <c r="CC198" s="59"/>
      <c r="CD198" s="18"/>
      <c r="CE198" s="59"/>
      <c r="CF198" s="18"/>
      <c r="CG198" s="59"/>
      <c r="CH198" s="18"/>
      <c r="CI198" s="59"/>
      <c r="CJ198" s="18"/>
      <c r="CK198" s="59"/>
      <c r="CL198" s="18"/>
      <c r="CM198" s="59"/>
      <c r="CN198" s="18"/>
      <c r="CO198" s="59"/>
      <c r="CP198" s="18"/>
      <c r="CQ198" s="59"/>
      <c r="CR198" s="18"/>
      <c r="CS198" s="59"/>
      <c r="CT198" s="18"/>
      <c r="CU198" s="59"/>
      <c r="CV198" s="18"/>
      <c r="CW198" s="59"/>
      <c r="CX198" s="18"/>
      <c r="CY198" s="59"/>
      <c r="CZ198" s="18"/>
      <c r="DA198" s="59"/>
      <c r="DB198" s="18"/>
      <c r="DC198" s="59"/>
      <c r="DD198" s="18"/>
      <c r="DE198" s="59"/>
      <c r="DF198" s="18"/>
      <c r="DG198" s="59"/>
      <c r="DH198" s="18"/>
      <c r="DI198" s="59"/>
      <c r="DJ198" s="18"/>
      <c r="DK198" s="59"/>
      <c r="DL198" s="18"/>
      <c r="DM198" s="59"/>
      <c r="DN198" s="18"/>
      <c r="DO198" s="59"/>
      <c r="DP198" s="18"/>
      <c r="DQ198" s="59"/>
      <c r="DR198" s="18"/>
      <c r="DS198" s="59"/>
      <c r="DT198" s="18"/>
      <c r="DU198" s="59"/>
      <c r="DV198" s="18"/>
      <c r="DW198" s="59"/>
      <c r="DX198" s="18"/>
      <c r="DY198" s="59"/>
      <c r="DZ198" s="18"/>
      <c r="EA198" s="59"/>
      <c r="EB198" s="18"/>
      <c r="EC198" s="59"/>
      <c r="ED198" s="18"/>
      <c r="EE198" s="59"/>
      <c r="EF198" s="18"/>
      <c r="EG198" s="59"/>
      <c r="EH198" s="18"/>
      <c r="EI198" s="59"/>
      <c r="EJ198" s="18"/>
      <c r="EK198" s="59"/>
      <c r="EL198" s="18"/>
    </row>
    <row r="199" spans="1:142" s="75" customFormat="1" x14ac:dyDescent="0.2">
      <c r="A199" s="43"/>
      <c r="B199" s="18"/>
      <c r="C199" s="59"/>
      <c r="D199" s="18"/>
      <c r="E199" s="59"/>
      <c r="F199" s="18"/>
      <c r="G199" s="59"/>
      <c r="H199" s="18"/>
      <c r="I199" s="59"/>
      <c r="J199" s="18"/>
      <c r="K199" s="59"/>
      <c r="L199" s="18"/>
      <c r="M199" s="59"/>
      <c r="N199" s="18"/>
      <c r="O199" s="59"/>
      <c r="P199" s="18"/>
      <c r="Q199" s="59"/>
      <c r="R199" s="18"/>
      <c r="S199" s="59"/>
      <c r="T199" s="18"/>
      <c r="U199" s="59"/>
      <c r="V199" s="18"/>
      <c r="W199" s="59"/>
      <c r="X199" s="18"/>
      <c r="Y199" s="59"/>
      <c r="Z199" s="18"/>
      <c r="AA199" s="59"/>
      <c r="AB199" s="18"/>
      <c r="AC199" s="59"/>
      <c r="AD199" s="18"/>
      <c r="AE199" s="59"/>
      <c r="AF199" s="18"/>
      <c r="AG199" s="59"/>
      <c r="AH199" s="18"/>
      <c r="AI199" s="59"/>
      <c r="AJ199" s="18"/>
      <c r="AK199" s="59"/>
      <c r="AL199" s="18"/>
      <c r="AM199" s="59"/>
      <c r="AN199" s="18"/>
      <c r="AO199" s="59"/>
      <c r="AP199" s="18"/>
      <c r="AQ199" s="59"/>
      <c r="AR199" s="18"/>
      <c r="AS199" s="59"/>
      <c r="AT199" s="18"/>
      <c r="AU199" s="59"/>
      <c r="AV199" s="18"/>
      <c r="AW199" s="59"/>
      <c r="AX199" s="18"/>
      <c r="AY199" s="59"/>
      <c r="AZ199" s="18"/>
      <c r="BA199" s="59"/>
      <c r="BB199" s="18"/>
      <c r="BC199" s="59"/>
      <c r="BD199" s="18"/>
      <c r="BE199" s="59"/>
      <c r="BF199" s="18"/>
      <c r="BG199" s="59"/>
      <c r="BH199" s="18"/>
      <c r="BI199" s="59"/>
      <c r="BJ199" s="18"/>
      <c r="BK199" s="59"/>
      <c r="BL199" s="18"/>
      <c r="BM199" s="59"/>
      <c r="BN199" s="18"/>
      <c r="BO199" s="59"/>
      <c r="BP199" s="18"/>
      <c r="BQ199" s="59"/>
      <c r="BR199" s="18"/>
      <c r="BS199" s="59"/>
      <c r="BT199" s="18"/>
      <c r="BU199" s="59"/>
      <c r="BV199" s="18"/>
      <c r="BW199" s="59"/>
      <c r="BX199" s="18"/>
      <c r="BY199" s="59"/>
      <c r="BZ199" s="18"/>
      <c r="CA199" s="59"/>
      <c r="CB199" s="18"/>
      <c r="CC199" s="59"/>
      <c r="CD199" s="18"/>
      <c r="CE199" s="59"/>
      <c r="CF199" s="18"/>
      <c r="CG199" s="59"/>
      <c r="CH199" s="18"/>
      <c r="CI199" s="59"/>
      <c r="CJ199" s="18"/>
      <c r="CK199" s="59"/>
      <c r="CL199" s="18"/>
      <c r="CM199" s="59"/>
      <c r="CN199" s="18"/>
      <c r="CO199" s="59"/>
      <c r="CP199" s="18"/>
      <c r="CQ199" s="59"/>
      <c r="CR199" s="18"/>
      <c r="CS199" s="59"/>
      <c r="CT199" s="18"/>
      <c r="CU199" s="59"/>
      <c r="CV199" s="18"/>
      <c r="CW199" s="59"/>
      <c r="CX199" s="18"/>
      <c r="CY199" s="59"/>
      <c r="CZ199" s="18"/>
      <c r="DA199" s="59"/>
      <c r="DB199" s="18"/>
      <c r="DC199" s="59"/>
      <c r="DD199" s="18"/>
      <c r="DE199" s="59"/>
      <c r="DF199" s="18"/>
      <c r="DG199" s="59"/>
      <c r="DH199" s="18"/>
      <c r="DI199" s="59"/>
      <c r="DJ199" s="18"/>
      <c r="DK199" s="59"/>
      <c r="DL199" s="18"/>
      <c r="DM199" s="59"/>
      <c r="DN199" s="18"/>
      <c r="DO199" s="59"/>
      <c r="DP199" s="18"/>
      <c r="DQ199" s="59"/>
      <c r="DR199" s="18"/>
      <c r="DS199" s="59"/>
      <c r="DT199" s="18"/>
      <c r="DU199" s="59"/>
      <c r="DV199" s="18"/>
      <c r="DW199" s="59"/>
      <c r="DX199" s="18"/>
      <c r="DY199" s="59"/>
      <c r="DZ199" s="18"/>
      <c r="EA199" s="59"/>
      <c r="EB199" s="18"/>
      <c r="EC199" s="59"/>
      <c r="ED199" s="18"/>
      <c r="EE199" s="59"/>
      <c r="EF199" s="18"/>
      <c r="EG199" s="59"/>
      <c r="EH199" s="18"/>
      <c r="EI199" s="59"/>
      <c r="EJ199" s="18"/>
      <c r="EK199" s="59"/>
      <c r="EL199" s="18"/>
    </row>
    <row r="200" spans="1:142" s="75" customFormat="1" x14ac:dyDescent="0.2">
      <c r="A200" s="43"/>
      <c r="B200" s="18"/>
      <c r="C200" s="59"/>
      <c r="D200" s="18"/>
      <c r="E200" s="59"/>
      <c r="F200" s="18"/>
      <c r="G200" s="59"/>
      <c r="H200" s="18"/>
      <c r="I200" s="59"/>
      <c r="J200" s="18"/>
      <c r="K200" s="59"/>
      <c r="L200" s="18"/>
      <c r="M200" s="59"/>
      <c r="N200" s="18"/>
      <c r="O200" s="59"/>
      <c r="P200" s="18"/>
      <c r="Q200" s="59"/>
      <c r="R200" s="18"/>
      <c r="S200" s="59"/>
      <c r="T200" s="18"/>
      <c r="U200" s="59"/>
      <c r="V200" s="18"/>
      <c r="W200" s="59"/>
      <c r="X200" s="18"/>
      <c r="Y200" s="59"/>
      <c r="Z200" s="18"/>
      <c r="AA200" s="59"/>
      <c r="AB200" s="18"/>
      <c r="AC200" s="59"/>
      <c r="AD200" s="18"/>
      <c r="AE200" s="59"/>
      <c r="AF200" s="18"/>
      <c r="AG200" s="59"/>
      <c r="AH200" s="18"/>
      <c r="AI200" s="59"/>
      <c r="AJ200" s="18"/>
      <c r="AK200" s="59"/>
      <c r="AL200" s="18"/>
      <c r="AM200" s="59"/>
      <c r="AN200" s="18"/>
      <c r="AO200" s="59"/>
      <c r="AP200" s="18"/>
      <c r="AQ200" s="59"/>
      <c r="AR200" s="18"/>
      <c r="AS200" s="59"/>
      <c r="AT200" s="18"/>
      <c r="AU200" s="59"/>
      <c r="AV200" s="18"/>
      <c r="AW200" s="59"/>
      <c r="AX200" s="18"/>
      <c r="AY200" s="59"/>
      <c r="AZ200" s="18"/>
      <c r="BA200" s="59"/>
      <c r="BB200" s="18"/>
      <c r="BC200" s="59"/>
      <c r="BD200" s="18"/>
      <c r="BE200" s="59"/>
      <c r="BF200" s="18"/>
      <c r="BG200" s="59"/>
      <c r="BH200" s="18"/>
      <c r="BI200" s="59"/>
      <c r="BJ200" s="18"/>
      <c r="BK200" s="59"/>
      <c r="BL200" s="18"/>
      <c r="BM200" s="59"/>
      <c r="BN200" s="18"/>
      <c r="BO200" s="59"/>
      <c r="BP200" s="18"/>
      <c r="BQ200" s="59"/>
      <c r="BR200" s="18"/>
      <c r="BS200" s="59"/>
      <c r="BT200" s="18"/>
      <c r="BU200" s="59"/>
      <c r="BV200" s="18"/>
      <c r="BW200" s="59"/>
      <c r="BX200" s="18"/>
      <c r="BY200" s="59"/>
      <c r="BZ200" s="18"/>
      <c r="CA200" s="59"/>
      <c r="CB200" s="18"/>
      <c r="CC200" s="59"/>
      <c r="CD200" s="18"/>
      <c r="CE200" s="59"/>
      <c r="CF200" s="18"/>
      <c r="CG200" s="59"/>
      <c r="CH200" s="18"/>
      <c r="CI200" s="59"/>
      <c r="CJ200" s="18"/>
      <c r="CK200" s="59"/>
      <c r="CL200" s="18"/>
      <c r="CM200" s="59"/>
      <c r="CN200" s="18"/>
      <c r="CO200" s="59"/>
      <c r="CP200" s="18"/>
      <c r="CQ200" s="59"/>
      <c r="CR200" s="18"/>
      <c r="CS200" s="59"/>
      <c r="CT200" s="18"/>
      <c r="CU200" s="59"/>
      <c r="CV200" s="18"/>
      <c r="CW200" s="59"/>
      <c r="CX200" s="18"/>
      <c r="CY200" s="59"/>
      <c r="CZ200" s="18"/>
      <c r="DA200" s="59"/>
      <c r="DB200" s="18"/>
      <c r="DC200" s="59"/>
      <c r="DD200" s="18"/>
      <c r="DE200" s="59"/>
      <c r="DF200" s="18"/>
      <c r="DG200" s="59"/>
      <c r="DH200" s="18"/>
      <c r="DI200" s="59"/>
      <c r="DJ200" s="18"/>
      <c r="DK200" s="59"/>
      <c r="DL200" s="18"/>
      <c r="DM200" s="59"/>
      <c r="DN200" s="18"/>
      <c r="DO200" s="59"/>
      <c r="DP200" s="18"/>
      <c r="DQ200" s="59"/>
      <c r="DR200" s="18"/>
      <c r="DS200" s="59"/>
      <c r="DT200" s="18"/>
      <c r="DU200" s="59"/>
      <c r="DV200" s="18"/>
      <c r="DW200" s="59"/>
      <c r="DX200" s="18"/>
      <c r="DY200" s="59"/>
      <c r="DZ200" s="18"/>
      <c r="EA200" s="59"/>
      <c r="EB200" s="18"/>
      <c r="EC200" s="59"/>
      <c r="ED200" s="18"/>
      <c r="EE200" s="59"/>
      <c r="EF200" s="18"/>
      <c r="EG200" s="59"/>
      <c r="EH200" s="18"/>
      <c r="EI200" s="59"/>
      <c r="EJ200" s="18"/>
      <c r="EK200" s="59"/>
      <c r="EL200" s="18"/>
    </row>
    <row r="201" spans="1:142" s="75" customFormat="1" x14ac:dyDescent="0.2">
      <c r="A201" s="43"/>
      <c r="B201" s="18"/>
      <c r="C201" s="59"/>
      <c r="D201" s="18"/>
      <c r="E201" s="59"/>
      <c r="F201" s="18"/>
      <c r="G201" s="59"/>
      <c r="H201" s="18"/>
      <c r="I201" s="59"/>
      <c r="J201" s="18"/>
      <c r="K201" s="59"/>
      <c r="L201" s="18"/>
      <c r="M201" s="59"/>
      <c r="N201" s="18"/>
      <c r="O201" s="59"/>
      <c r="P201" s="18"/>
      <c r="Q201" s="59"/>
      <c r="R201" s="18"/>
      <c r="S201" s="59"/>
      <c r="T201" s="18"/>
      <c r="U201" s="59"/>
      <c r="V201" s="18"/>
      <c r="W201" s="59"/>
      <c r="X201" s="18"/>
      <c r="Y201" s="59"/>
      <c r="Z201" s="18"/>
      <c r="AA201" s="59"/>
      <c r="AB201" s="18"/>
      <c r="AC201" s="59"/>
      <c r="AD201" s="18"/>
      <c r="AE201" s="59"/>
      <c r="AF201" s="18"/>
      <c r="AG201" s="59"/>
      <c r="AH201" s="18"/>
      <c r="AI201" s="59"/>
      <c r="AJ201" s="18"/>
      <c r="AK201" s="59"/>
      <c r="AL201" s="18"/>
      <c r="AM201" s="59"/>
      <c r="AN201" s="18"/>
      <c r="AO201" s="59"/>
      <c r="AP201" s="18"/>
      <c r="AQ201" s="59"/>
      <c r="AR201" s="18"/>
      <c r="AS201" s="59"/>
      <c r="AT201" s="18"/>
      <c r="AU201" s="59"/>
      <c r="AV201" s="18"/>
      <c r="AW201" s="59"/>
      <c r="AX201" s="18"/>
      <c r="AY201" s="59"/>
      <c r="AZ201" s="18"/>
      <c r="BA201" s="59"/>
      <c r="BB201" s="18"/>
      <c r="BC201" s="59"/>
      <c r="BD201" s="18"/>
      <c r="BE201" s="59"/>
      <c r="BF201" s="18"/>
      <c r="BG201" s="59"/>
      <c r="BH201" s="18"/>
      <c r="BI201" s="59"/>
      <c r="BJ201" s="18"/>
      <c r="BK201" s="59"/>
      <c r="BL201" s="18"/>
      <c r="BM201" s="59"/>
      <c r="BN201" s="18"/>
      <c r="BO201" s="59"/>
      <c r="BP201" s="18"/>
      <c r="BQ201" s="59"/>
      <c r="BR201" s="18"/>
      <c r="BS201" s="59"/>
      <c r="BT201" s="18"/>
      <c r="BU201" s="59"/>
      <c r="BV201" s="18"/>
      <c r="BW201" s="59"/>
      <c r="BX201" s="18"/>
      <c r="BY201" s="59"/>
      <c r="BZ201" s="18"/>
      <c r="CA201" s="59"/>
      <c r="CB201" s="18"/>
      <c r="CC201" s="59"/>
      <c r="CD201" s="18"/>
      <c r="CE201" s="59"/>
      <c r="CF201" s="18"/>
      <c r="CG201" s="59"/>
      <c r="CH201" s="18"/>
      <c r="CI201" s="59"/>
      <c r="CJ201" s="18"/>
      <c r="CK201" s="59"/>
      <c r="CL201" s="18"/>
      <c r="CM201" s="59"/>
      <c r="CN201" s="18"/>
      <c r="CO201" s="59"/>
      <c r="CP201" s="18"/>
      <c r="CQ201" s="59"/>
      <c r="CR201" s="18"/>
      <c r="CS201" s="59"/>
      <c r="CT201" s="18"/>
      <c r="CU201" s="59"/>
      <c r="CV201" s="18"/>
      <c r="CW201" s="59"/>
      <c r="CX201" s="18"/>
      <c r="CY201" s="59"/>
      <c r="CZ201" s="18"/>
      <c r="DA201" s="59"/>
      <c r="DB201" s="18"/>
      <c r="DC201" s="59"/>
      <c r="DD201" s="18"/>
      <c r="DE201" s="59"/>
      <c r="DF201" s="18"/>
      <c r="DG201" s="59"/>
      <c r="DH201" s="18"/>
      <c r="DI201" s="59"/>
      <c r="DJ201" s="18"/>
      <c r="DK201" s="59"/>
      <c r="DL201" s="18"/>
      <c r="DM201" s="59"/>
      <c r="DN201" s="18"/>
      <c r="DO201" s="59"/>
      <c r="DP201" s="18"/>
      <c r="DQ201" s="59"/>
      <c r="DR201" s="18"/>
      <c r="DS201" s="59"/>
      <c r="DT201" s="18"/>
      <c r="DU201" s="59"/>
      <c r="DV201" s="18"/>
      <c r="DW201" s="59"/>
      <c r="DX201" s="18"/>
      <c r="DY201" s="59"/>
      <c r="DZ201" s="18"/>
      <c r="EA201" s="59"/>
      <c r="EB201" s="18"/>
      <c r="EC201" s="59"/>
      <c r="ED201" s="18"/>
      <c r="EE201" s="59"/>
      <c r="EF201" s="18"/>
      <c r="EG201" s="59"/>
      <c r="EH201" s="18"/>
      <c r="EI201" s="59"/>
      <c r="EJ201" s="18"/>
      <c r="EK201" s="59"/>
      <c r="EL201" s="18"/>
    </row>
    <row r="202" spans="1:142" s="75" customFormat="1" x14ac:dyDescent="0.2">
      <c r="A202" s="43"/>
      <c r="B202" s="18"/>
      <c r="C202" s="59"/>
      <c r="D202" s="18"/>
      <c r="E202" s="59"/>
      <c r="F202" s="18"/>
      <c r="G202" s="59"/>
      <c r="H202" s="18"/>
      <c r="I202" s="59"/>
      <c r="J202" s="18"/>
      <c r="K202" s="59"/>
      <c r="L202" s="18"/>
      <c r="M202" s="59"/>
      <c r="N202" s="18"/>
      <c r="O202" s="59"/>
      <c r="P202" s="18"/>
      <c r="Q202" s="59"/>
      <c r="R202" s="18"/>
      <c r="S202" s="59"/>
      <c r="T202" s="18"/>
      <c r="U202" s="59"/>
      <c r="V202" s="18"/>
      <c r="W202" s="59"/>
      <c r="X202" s="18"/>
      <c r="Y202" s="59"/>
      <c r="Z202" s="18"/>
      <c r="AA202" s="59"/>
      <c r="AB202" s="18"/>
      <c r="AC202" s="59"/>
      <c r="AD202" s="18"/>
      <c r="AE202" s="59"/>
      <c r="AF202" s="18"/>
      <c r="AG202" s="59"/>
      <c r="AH202" s="18"/>
      <c r="AI202" s="59"/>
      <c r="AJ202" s="18"/>
      <c r="AK202" s="59"/>
      <c r="AL202" s="18"/>
      <c r="AM202" s="59"/>
      <c r="AN202" s="18"/>
      <c r="AO202" s="59"/>
      <c r="AP202" s="18"/>
      <c r="AQ202" s="59"/>
      <c r="AR202" s="18"/>
      <c r="AS202" s="59"/>
      <c r="AT202" s="18"/>
      <c r="AU202" s="59"/>
      <c r="AV202" s="18"/>
      <c r="AW202" s="59"/>
      <c r="AX202" s="18"/>
      <c r="AY202" s="59"/>
      <c r="AZ202" s="18"/>
      <c r="BA202" s="59"/>
      <c r="BB202" s="18"/>
      <c r="BC202" s="59"/>
      <c r="BD202" s="18"/>
      <c r="BE202" s="59"/>
      <c r="BF202" s="18"/>
      <c r="BG202" s="59"/>
      <c r="BH202" s="18"/>
      <c r="BI202" s="59"/>
      <c r="BJ202" s="18"/>
      <c r="BK202" s="59"/>
      <c r="BL202" s="18"/>
      <c r="BM202" s="59"/>
      <c r="BN202" s="18"/>
      <c r="BO202" s="59"/>
      <c r="BP202" s="18"/>
      <c r="BQ202" s="59"/>
      <c r="BR202" s="18"/>
      <c r="BS202" s="59"/>
      <c r="BT202" s="18"/>
      <c r="BU202" s="59"/>
      <c r="BV202" s="18"/>
      <c r="BW202" s="59"/>
      <c r="BX202" s="18"/>
      <c r="BY202" s="59"/>
      <c r="BZ202" s="18"/>
      <c r="CA202" s="59"/>
      <c r="CB202" s="18"/>
      <c r="CC202" s="59"/>
      <c r="CD202" s="18"/>
      <c r="CE202" s="59"/>
      <c r="CF202" s="18"/>
      <c r="CG202" s="59"/>
      <c r="CH202" s="18"/>
      <c r="CI202" s="59"/>
      <c r="CJ202" s="18"/>
      <c r="CK202" s="59"/>
      <c r="CL202" s="18"/>
      <c r="CM202" s="59"/>
      <c r="CN202" s="18"/>
      <c r="CO202" s="59"/>
      <c r="CP202" s="18"/>
      <c r="CQ202" s="59"/>
      <c r="CR202" s="18"/>
      <c r="CS202" s="59"/>
      <c r="CT202" s="18"/>
      <c r="CU202" s="59"/>
      <c r="CV202" s="18"/>
      <c r="CW202" s="59"/>
      <c r="CX202" s="18"/>
      <c r="CY202" s="59"/>
      <c r="CZ202" s="18"/>
      <c r="DA202" s="59"/>
      <c r="DB202" s="18"/>
      <c r="DC202" s="59"/>
      <c r="DD202" s="18"/>
      <c r="DE202" s="59"/>
      <c r="DF202" s="18"/>
      <c r="DG202" s="59"/>
      <c r="DH202" s="18"/>
      <c r="DI202" s="59"/>
      <c r="DJ202" s="18"/>
      <c r="DK202" s="59"/>
      <c r="DL202" s="18"/>
      <c r="DM202" s="59"/>
      <c r="DN202" s="18"/>
      <c r="DO202" s="59"/>
      <c r="DP202" s="18"/>
      <c r="DQ202" s="59"/>
      <c r="DR202" s="18"/>
      <c r="DS202" s="59"/>
      <c r="DT202" s="18"/>
      <c r="DU202" s="59"/>
      <c r="DV202" s="18"/>
      <c r="DW202" s="59"/>
      <c r="DX202" s="18"/>
      <c r="DY202" s="59"/>
      <c r="DZ202" s="18"/>
      <c r="EA202" s="59"/>
      <c r="EB202" s="18"/>
      <c r="EC202" s="59"/>
      <c r="ED202" s="18"/>
      <c r="EE202" s="59"/>
      <c r="EF202" s="18"/>
      <c r="EG202" s="59"/>
      <c r="EH202" s="18"/>
      <c r="EI202" s="59"/>
      <c r="EJ202" s="18"/>
      <c r="EK202" s="59"/>
      <c r="EL202" s="18"/>
    </row>
    <row r="203" spans="1:142" s="75" customFormat="1" x14ac:dyDescent="0.2">
      <c r="A203" s="43"/>
      <c r="B203" s="18"/>
      <c r="C203" s="59"/>
      <c r="D203" s="18"/>
      <c r="E203" s="59"/>
      <c r="F203" s="18"/>
      <c r="G203" s="59"/>
      <c r="H203" s="18"/>
      <c r="I203" s="59"/>
      <c r="J203" s="18"/>
      <c r="K203" s="59"/>
      <c r="L203" s="18"/>
      <c r="M203" s="59"/>
      <c r="N203" s="18"/>
      <c r="O203" s="59"/>
      <c r="P203" s="18"/>
      <c r="Q203" s="59"/>
      <c r="R203" s="18"/>
      <c r="S203" s="59"/>
      <c r="T203" s="18"/>
      <c r="U203" s="59"/>
      <c r="V203" s="18"/>
      <c r="W203" s="59"/>
      <c r="X203" s="18"/>
      <c r="Y203" s="59"/>
      <c r="Z203" s="18"/>
      <c r="AA203" s="59"/>
      <c r="AB203" s="18"/>
      <c r="AC203" s="59"/>
      <c r="AD203" s="18"/>
      <c r="AE203" s="59"/>
      <c r="AF203" s="18"/>
      <c r="AG203" s="59"/>
      <c r="AH203" s="18"/>
      <c r="AI203" s="59"/>
      <c r="AJ203" s="18"/>
      <c r="AK203" s="59"/>
      <c r="AL203" s="18"/>
      <c r="AM203" s="59"/>
      <c r="AN203" s="18"/>
      <c r="AO203" s="59"/>
      <c r="AP203" s="18"/>
      <c r="AQ203" s="59"/>
      <c r="AR203" s="18"/>
      <c r="AS203" s="59"/>
      <c r="AT203" s="18"/>
      <c r="AU203" s="59"/>
      <c r="AV203" s="18"/>
      <c r="AW203" s="59"/>
      <c r="AX203" s="18"/>
      <c r="AY203" s="59"/>
      <c r="AZ203" s="18"/>
      <c r="BA203" s="59"/>
      <c r="BB203" s="18"/>
      <c r="BC203" s="59"/>
      <c r="BD203" s="18"/>
      <c r="BE203" s="59"/>
      <c r="BF203" s="18"/>
      <c r="BG203" s="59"/>
      <c r="BH203" s="18"/>
      <c r="BI203" s="59"/>
      <c r="BJ203" s="18"/>
      <c r="BK203" s="59"/>
      <c r="BL203" s="18"/>
      <c r="BM203" s="59"/>
      <c r="BN203" s="18"/>
      <c r="BO203" s="59"/>
      <c r="BP203" s="18"/>
      <c r="BQ203" s="59"/>
      <c r="BR203" s="18"/>
      <c r="BS203" s="59"/>
      <c r="BT203" s="18"/>
      <c r="BU203" s="59"/>
      <c r="BV203" s="18"/>
      <c r="BW203" s="59"/>
      <c r="BX203" s="18"/>
      <c r="BY203" s="59"/>
      <c r="BZ203" s="18"/>
      <c r="CA203" s="59"/>
      <c r="CB203" s="18"/>
      <c r="CC203" s="59"/>
      <c r="CD203" s="18"/>
      <c r="CE203" s="59"/>
      <c r="CF203" s="18"/>
      <c r="CG203" s="59"/>
      <c r="CH203" s="18"/>
      <c r="CI203" s="59"/>
      <c r="CJ203" s="18"/>
      <c r="CK203" s="59"/>
      <c r="CL203" s="18"/>
      <c r="CM203" s="59"/>
      <c r="CN203" s="18"/>
      <c r="CO203" s="59"/>
      <c r="CP203" s="18"/>
      <c r="CQ203" s="59"/>
      <c r="CR203" s="18"/>
      <c r="CS203" s="59"/>
      <c r="CT203" s="18"/>
      <c r="CU203" s="59"/>
      <c r="CV203" s="18"/>
      <c r="CW203" s="59"/>
      <c r="CX203" s="18"/>
      <c r="CY203" s="59"/>
      <c r="CZ203" s="18"/>
      <c r="DA203" s="59"/>
      <c r="DB203" s="18"/>
      <c r="DC203" s="59"/>
      <c r="DD203" s="18"/>
      <c r="DE203" s="59"/>
      <c r="DF203" s="18"/>
      <c r="DG203" s="59"/>
      <c r="DH203" s="18"/>
      <c r="DI203" s="59"/>
      <c r="DJ203" s="18"/>
      <c r="DK203" s="59"/>
      <c r="DL203" s="18"/>
      <c r="DM203" s="59"/>
      <c r="DN203" s="18"/>
      <c r="DO203" s="59"/>
      <c r="DP203" s="18"/>
      <c r="DQ203" s="59"/>
      <c r="DR203" s="18"/>
      <c r="DS203" s="59"/>
      <c r="DT203" s="18"/>
      <c r="DU203" s="59"/>
      <c r="DV203" s="18"/>
      <c r="DW203" s="59"/>
      <c r="DX203" s="18"/>
      <c r="DY203" s="59"/>
      <c r="DZ203" s="18"/>
      <c r="EA203" s="59"/>
      <c r="EB203" s="18"/>
      <c r="EC203" s="59"/>
      <c r="ED203" s="18"/>
      <c r="EE203" s="59"/>
      <c r="EF203" s="18"/>
      <c r="EG203" s="59"/>
      <c r="EH203" s="18"/>
      <c r="EI203" s="59"/>
      <c r="EJ203" s="18"/>
      <c r="EK203" s="59"/>
      <c r="EL203" s="18"/>
    </row>
    <row r="204" spans="1:142" s="75" customFormat="1" x14ac:dyDescent="0.2">
      <c r="A204" s="43"/>
      <c r="B204" s="18"/>
      <c r="C204" s="59"/>
      <c r="D204" s="18"/>
      <c r="E204" s="59"/>
      <c r="F204" s="18"/>
      <c r="G204" s="59"/>
      <c r="H204" s="18"/>
      <c r="I204" s="59"/>
      <c r="J204" s="18"/>
      <c r="K204" s="59"/>
      <c r="L204" s="18"/>
      <c r="M204" s="59"/>
      <c r="N204" s="18"/>
      <c r="O204" s="59"/>
      <c r="P204" s="18"/>
      <c r="Q204" s="59"/>
      <c r="R204" s="18"/>
      <c r="S204" s="59"/>
      <c r="T204" s="18"/>
      <c r="U204" s="59"/>
      <c r="V204" s="18"/>
      <c r="W204" s="59"/>
      <c r="X204" s="18"/>
      <c r="Y204" s="59"/>
      <c r="Z204" s="18"/>
      <c r="AA204" s="59"/>
      <c r="AB204" s="18"/>
      <c r="AC204" s="59"/>
      <c r="AD204" s="18"/>
      <c r="AE204" s="59"/>
      <c r="AF204" s="18"/>
      <c r="AG204" s="59"/>
      <c r="AH204" s="18"/>
      <c r="AI204" s="59"/>
      <c r="AJ204" s="18"/>
      <c r="AK204" s="59"/>
      <c r="AL204" s="18"/>
      <c r="AM204" s="59"/>
      <c r="AN204" s="18"/>
      <c r="AO204" s="59"/>
      <c r="AP204" s="18"/>
      <c r="AQ204" s="59"/>
      <c r="AR204" s="18"/>
      <c r="AS204" s="59"/>
      <c r="AT204" s="18"/>
      <c r="AU204" s="59"/>
      <c r="AV204" s="18"/>
      <c r="AW204" s="59"/>
      <c r="AX204" s="18"/>
      <c r="AY204" s="59"/>
      <c r="AZ204" s="18"/>
      <c r="BA204" s="59"/>
      <c r="BB204" s="18"/>
      <c r="BC204" s="59"/>
      <c r="BD204" s="18"/>
      <c r="BE204" s="59"/>
      <c r="BF204" s="18"/>
      <c r="BG204" s="59"/>
      <c r="BH204" s="18"/>
      <c r="BI204" s="59"/>
      <c r="BJ204" s="18"/>
      <c r="BK204" s="59"/>
      <c r="BL204" s="18"/>
      <c r="BM204" s="59"/>
      <c r="BN204" s="18"/>
      <c r="BO204" s="59"/>
      <c r="BP204" s="18"/>
      <c r="BQ204" s="59"/>
      <c r="BR204" s="18"/>
      <c r="BS204" s="59"/>
      <c r="BT204" s="18"/>
      <c r="BU204" s="59"/>
      <c r="BV204" s="18"/>
      <c r="BW204" s="59"/>
      <c r="BX204" s="18"/>
      <c r="BY204" s="59"/>
      <c r="BZ204" s="18"/>
      <c r="CA204" s="59"/>
      <c r="CB204" s="18"/>
      <c r="CC204" s="59"/>
      <c r="CD204" s="18"/>
      <c r="CE204" s="59"/>
      <c r="CF204" s="18"/>
      <c r="CG204" s="59"/>
      <c r="CH204" s="18"/>
      <c r="CI204" s="59"/>
      <c r="CJ204" s="18"/>
      <c r="CK204" s="59"/>
      <c r="CL204" s="18"/>
      <c r="CM204" s="59"/>
      <c r="CN204" s="18"/>
      <c r="CO204" s="59"/>
      <c r="CP204" s="18"/>
      <c r="CQ204" s="59"/>
      <c r="CR204" s="18"/>
      <c r="CS204" s="59"/>
      <c r="CT204" s="18"/>
      <c r="CU204" s="59"/>
      <c r="CV204" s="18"/>
      <c r="CW204" s="59"/>
      <c r="CX204" s="18"/>
      <c r="CY204" s="59"/>
      <c r="CZ204" s="18"/>
      <c r="DA204" s="59"/>
      <c r="DB204" s="18"/>
      <c r="DC204" s="59"/>
      <c r="DD204" s="18"/>
      <c r="DE204" s="59"/>
      <c r="DF204" s="18"/>
      <c r="DG204" s="59"/>
      <c r="DH204" s="18"/>
      <c r="DI204" s="59"/>
      <c r="DJ204" s="18"/>
      <c r="DK204" s="59"/>
      <c r="DL204" s="18"/>
      <c r="DM204" s="59"/>
      <c r="DN204" s="18"/>
      <c r="DO204" s="59"/>
      <c r="DP204" s="18"/>
      <c r="DQ204" s="59"/>
      <c r="DR204" s="18"/>
      <c r="DS204" s="59"/>
      <c r="DT204" s="18"/>
      <c r="DU204" s="59"/>
      <c r="DV204" s="18"/>
      <c r="DW204" s="59"/>
      <c r="DX204" s="18"/>
      <c r="DY204" s="59"/>
      <c r="DZ204" s="18"/>
      <c r="EA204" s="59"/>
      <c r="EB204" s="18"/>
      <c r="EC204" s="59"/>
      <c r="ED204" s="18"/>
      <c r="EE204" s="59"/>
      <c r="EF204" s="18"/>
      <c r="EG204" s="59"/>
      <c r="EH204" s="18"/>
      <c r="EI204" s="59"/>
      <c r="EJ204" s="18"/>
      <c r="EK204" s="59"/>
      <c r="EL204" s="18"/>
    </row>
    <row r="205" spans="1:142" s="75" customFormat="1" x14ac:dyDescent="0.2">
      <c r="A205" s="43"/>
      <c r="B205" s="18"/>
      <c r="C205" s="59"/>
      <c r="D205" s="18"/>
      <c r="E205" s="59"/>
      <c r="F205" s="18"/>
      <c r="G205" s="59"/>
      <c r="H205" s="18"/>
      <c r="I205" s="59"/>
      <c r="J205" s="18"/>
      <c r="K205" s="59"/>
      <c r="L205" s="18"/>
      <c r="M205" s="59"/>
      <c r="N205" s="18"/>
      <c r="O205" s="59"/>
      <c r="P205" s="18"/>
      <c r="Q205" s="59"/>
      <c r="R205" s="18"/>
      <c r="S205" s="59"/>
      <c r="T205" s="18"/>
      <c r="U205" s="59"/>
      <c r="V205" s="18"/>
      <c r="W205" s="59"/>
      <c r="X205" s="18"/>
      <c r="Y205" s="59"/>
      <c r="Z205" s="18"/>
      <c r="AA205" s="59"/>
      <c r="AB205" s="18"/>
      <c r="AC205" s="59"/>
      <c r="AD205" s="18"/>
      <c r="AE205" s="59"/>
      <c r="AF205" s="18"/>
      <c r="AG205" s="59"/>
      <c r="AH205" s="18"/>
      <c r="AI205" s="59"/>
      <c r="AJ205" s="18"/>
      <c r="AK205" s="59"/>
      <c r="AL205" s="18"/>
      <c r="AM205" s="59"/>
      <c r="AN205" s="18"/>
      <c r="AO205" s="59"/>
      <c r="AP205" s="18"/>
      <c r="AQ205" s="59"/>
      <c r="AR205" s="18"/>
      <c r="AS205" s="59"/>
      <c r="AT205" s="18"/>
      <c r="AU205" s="59"/>
      <c r="AV205" s="18"/>
      <c r="AW205" s="59"/>
      <c r="AX205" s="18"/>
      <c r="AY205" s="59"/>
      <c r="AZ205" s="18"/>
      <c r="BA205" s="59"/>
      <c r="BB205" s="18"/>
      <c r="BC205" s="59"/>
      <c r="BD205" s="18"/>
      <c r="BE205" s="59"/>
      <c r="BF205" s="18"/>
      <c r="BG205" s="59"/>
      <c r="BH205" s="18"/>
      <c r="BI205" s="59"/>
      <c r="BJ205" s="18"/>
      <c r="BK205" s="59"/>
      <c r="BL205" s="18"/>
      <c r="BM205" s="59"/>
      <c r="BN205" s="18"/>
      <c r="BO205" s="59"/>
      <c r="BP205" s="18"/>
      <c r="BQ205" s="59"/>
      <c r="BR205" s="18"/>
      <c r="BS205" s="59"/>
      <c r="BT205" s="18"/>
      <c r="BU205" s="59"/>
      <c r="BV205" s="18"/>
      <c r="BW205" s="59"/>
      <c r="BX205" s="18"/>
      <c r="BY205" s="59"/>
      <c r="BZ205" s="18"/>
      <c r="CA205" s="59"/>
      <c r="CB205" s="18"/>
      <c r="CC205" s="59"/>
      <c r="CD205" s="18"/>
      <c r="CE205" s="59"/>
      <c r="CF205" s="18"/>
      <c r="CG205" s="59"/>
      <c r="CH205" s="18"/>
      <c r="CI205" s="59"/>
      <c r="CJ205" s="18"/>
      <c r="CK205" s="59"/>
      <c r="CL205" s="18"/>
      <c r="CM205" s="59"/>
      <c r="CN205" s="18"/>
      <c r="CO205" s="59"/>
      <c r="CP205" s="18"/>
      <c r="CQ205" s="59"/>
      <c r="CR205" s="18"/>
      <c r="CS205" s="59"/>
      <c r="CT205" s="18"/>
      <c r="CU205" s="59"/>
      <c r="CV205" s="18"/>
      <c r="CW205" s="59"/>
      <c r="CX205" s="18"/>
      <c r="CY205" s="59"/>
      <c r="CZ205" s="18"/>
      <c r="DA205" s="59"/>
      <c r="DB205" s="18"/>
      <c r="DC205" s="59"/>
      <c r="DD205" s="18"/>
      <c r="DE205" s="59"/>
      <c r="DF205" s="18"/>
      <c r="DG205" s="59"/>
      <c r="DH205" s="18"/>
      <c r="DI205" s="59"/>
      <c r="DJ205" s="18"/>
      <c r="DK205" s="59"/>
      <c r="DL205" s="18"/>
      <c r="DM205" s="59"/>
      <c r="DN205" s="18"/>
      <c r="DO205" s="59"/>
      <c r="DP205" s="18"/>
      <c r="DQ205" s="59"/>
      <c r="DR205" s="18"/>
      <c r="DS205" s="59"/>
      <c r="DT205" s="18"/>
      <c r="DU205" s="59"/>
      <c r="DV205" s="18"/>
      <c r="DW205" s="59"/>
      <c r="DX205" s="18"/>
      <c r="DY205" s="59"/>
      <c r="DZ205" s="18"/>
      <c r="EA205" s="59"/>
      <c r="EB205" s="18"/>
      <c r="EC205" s="59"/>
      <c r="ED205" s="18"/>
      <c r="EE205" s="59"/>
      <c r="EF205" s="18"/>
      <c r="EG205" s="59"/>
      <c r="EH205" s="18"/>
      <c r="EI205" s="59"/>
      <c r="EJ205" s="18"/>
      <c r="EK205" s="59"/>
      <c r="EL205" s="18"/>
    </row>
    <row r="206" spans="1:142" s="75" customFormat="1" x14ac:dyDescent="0.2">
      <c r="A206" s="43"/>
      <c r="B206" s="18"/>
      <c r="C206" s="59"/>
      <c r="D206" s="18"/>
      <c r="E206" s="59"/>
      <c r="F206" s="18"/>
      <c r="G206" s="59"/>
      <c r="H206" s="18"/>
      <c r="I206" s="59"/>
      <c r="J206" s="18"/>
      <c r="K206" s="59"/>
      <c r="L206" s="18"/>
      <c r="M206" s="59"/>
      <c r="N206" s="18"/>
      <c r="O206" s="59"/>
      <c r="P206" s="18"/>
      <c r="Q206" s="59"/>
      <c r="R206" s="18"/>
      <c r="S206" s="59"/>
      <c r="T206" s="18"/>
      <c r="U206" s="59"/>
      <c r="V206" s="18"/>
      <c r="W206" s="59"/>
      <c r="X206" s="18"/>
      <c r="Y206" s="59"/>
      <c r="Z206" s="18"/>
      <c r="AA206" s="59"/>
      <c r="AB206" s="18"/>
      <c r="AC206" s="59"/>
      <c r="AD206" s="18"/>
      <c r="AE206" s="59"/>
      <c r="AF206" s="18"/>
      <c r="AG206" s="59"/>
      <c r="AH206" s="18"/>
      <c r="AI206" s="59"/>
      <c r="AJ206" s="18"/>
      <c r="AK206" s="59"/>
      <c r="AL206" s="18"/>
      <c r="AM206" s="59"/>
      <c r="AN206" s="18"/>
      <c r="AO206" s="59"/>
      <c r="AP206" s="18"/>
      <c r="AQ206" s="59"/>
      <c r="AR206" s="18"/>
      <c r="AS206" s="59"/>
      <c r="AT206" s="18"/>
      <c r="AU206" s="59"/>
      <c r="AV206" s="18"/>
      <c r="AW206" s="59"/>
      <c r="AX206" s="18"/>
      <c r="AY206" s="59"/>
      <c r="AZ206" s="18"/>
      <c r="BA206" s="59"/>
      <c r="BB206" s="18"/>
      <c r="BC206" s="59"/>
      <c r="BD206" s="18"/>
      <c r="BE206" s="59"/>
      <c r="BF206" s="18"/>
      <c r="BG206" s="59"/>
      <c r="BH206" s="18"/>
      <c r="BI206" s="59"/>
      <c r="BJ206" s="18"/>
      <c r="BK206" s="59"/>
      <c r="BL206" s="18"/>
      <c r="BM206" s="59"/>
      <c r="BN206" s="18"/>
      <c r="BO206" s="59"/>
      <c r="BP206" s="18"/>
      <c r="BQ206" s="59"/>
      <c r="BR206" s="18"/>
      <c r="BS206" s="59"/>
      <c r="BT206" s="18"/>
      <c r="BU206" s="59"/>
      <c r="BV206" s="18"/>
      <c r="BW206" s="59"/>
      <c r="BX206" s="18"/>
      <c r="BY206" s="59"/>
      <c r="BZ206" s="18"/>
      <c r="CA206" s="59"/>
      <c r="CB206" s="18"/>
      <c r="CC206" s="59"/>
      <c r="CD206" s="18"/>
      <c r="CE206" s="59"/>
      <c r="CF206" s="18"/>
      <c r="CG206" s="59"/>
      <c r="CH206" s="18"/>
      <c r="CI206" s="59"/>
      <c r="CJ206" s="18"/>
      <c r="CK206" s="59"/>
      <c r="CL206" s="18"/>
      <c r="CM206" s="59"/>
      <c r="CN206" s="18"/>
      <c r="CO206" s="59"/>
      <c r="CP206" s="18"/>
      <c r="CQ206" s="59"/>
      <c r="CR206" s="18"/>
      <c r="CS206" s="59"/>
      <c r="CT206" s="18"/>
      <c r="CU206" s="59"/>
      <c r="CV206" s="18"/>
      <c r="CW206" s="59"/>
      <c r="CX206" s="18"/>
      <c r="CY206" s="59"/>
      <c r="CZ206" s="18"/>
      <c r="DA206" s="59"/>
      <c r="DB206" s="18"/>
      <c r="DC206" s="59"/>
      <c r="DD206" s="18"/>
      <c r="DE206" s="59"/>
      <c r="DF206" s="18"/>
      <c r="DG206" s="59"/>
      <c r="DH206" s="18"/>
      <c r="DI206" s="59"/>
      <c r="DJ206" s="18"/>
      <c r="DK206" s="59"/>
      <c r="DL206" s="18"/>
      <c r="DM206" s="59"/>
      <c r="DN206" s="18"/>
      <c r="DO206" s="59"/>
      <c r="DP206" s="18"/>
      <c r="DQ206" s="59"/>
      <c r="DR206" s="18"/>
      <c r="DS206" s="59"/>
      <c r="DT206" s="18"/>
      <c r="DU206" s="59"/>
      <c r="DV206" s="18"/>
      <c r="DW206" s="59"/>
      <c r="DX206" s="18"/>
      <c r="DY206" s="59"/>
      <c r="DZ206" s="18"/>
      <c r="EA206" s="59"/>
      <c r="EB206" s="18"/>
      <c r="EC206" s="59"/>
      <c r="ED206" s="18"/>
      <c r="EE206" s="59"/>
      <c r="EF206" s="18"/>
      <c r="EG206" s="59"/>
      <c r="EH206" s="18"/>
      <c r="EI206" s="59"/>
      <c r="EJ206" s="18"/>
      <c r="EK206" s="59"/>
      <c r="EL206" s="18"/>
    </row>
    <row r="207" spans="1:142" s="75" customFormat="1" x14ac:dyDescent="0.2">
      <c r="A207" s="43"/>
      <c r="B207" s="18"/>
      <c r="C207" s="59"/>
      <c r="D207" s="18"/>
      <c r="E207" s="59"/>
      <c r="F207" s="18"/>
      <c r="G207" s="59"/>
      <c r="H207" s="18"/>
      <c r="I207" s="59"/>
      <c r="J207" s="18"/>
      <c r="K207" s="59"/>
      <c r="L207" s="18"/>
      <c r="M207" s="59"/>
      <c r="N207" s="18"/>
      <c r="O207" s="59"/>
      <c r="P207" s="18"/>
      <c r="Q207" s="59"/>
      <c r="R207" s="18"/>
      <c r="S207" s="59"/>
      <c r="T207" s="18"/>
      <c r="U207" s="59"/>
      <c r="V207" s="18"/>
      <c r="W207" s="59"/>
      <c r="X207" s="18"/>
      <c r="Y207" s="59"/>
      <c r="Z207" s="18"/>
      <c r="AA207" s="59"/>
      <c r="AB207" s="18"/>
      <c r="AC207" s="59"/>
      <c r="AD207" s="18"/>
      <c r="AE207" s="59"/>
      <c r="AF207" s="18"/>
      <c r="AG207" s="59"/>
      <c r="AH207" s="18"/>
      <c r="AI207" s="59"/>
      <c r="AJ207" s="18"/>
      <c r="AK207" s="59"/>
      <c r="AL207" s="18"/>
      <c r="AM207" s="59"/>
      <c r="AN207" s="18"/>
      <c r="AO207" s="59"/>
      <c r="AP207" s="18"/>
      <c r="AQ207" s="59"/>
      <c r="AR207" s="18"/>
      <c r="AS207" s="59"/>
      <c r="AT207" s="18"/>
      <c r="AU207" s="59"/>
      <c r="AV207" s="18"/>
      <c r="AW207" s="59"/>
      <c r="AX207" s="18"/>
      <c r="AY207" s="59"/>
      <c r="AZ207" s="18"/>
      <c r="BA207" s="59"/>
      <c r="BB207" s="18"/>
      <c r="BC207" s="59"/>
      <c r="BD207" s="18"/>
      <c r="BE207" s="59"/>
      <c r="BF207" s="18"/>
      <c r="BG207" s="59"/>
      <c r="BH207" s="18"/>
      <c r="BI207" s="59"/>
      <c r="BJ207" s="18"/>
      <c r="BK207" s="59"/>
      <c r="BL207" s="18"/>
      <c r="BM207" s="59"/>
      <c r="BN207" s="18"/>
      <c r="BO207" s="59"/>
      <c r="BP207" s="18"/>
      <c r="BQ207" s="59"/>
      <c r="BR207" s="18"/>
      <c r="BS207" s="59"/>
      <c r="BT207" s="18"/>
      <c r="BU207" s="59"/>
      <c r="BV207" s="18"/>
      <c r="BW207" s="59"/>
      <c r="BX207" s="18"/>
      <c r="BY207" s="59"/>
      <c r="BZ207" s="18"/>
      <c r="CA207" s="59"/>
      <c r="CB207" s="18"/>
      <c r="CC207" s="59"/>
      <c r="CD207" s="18"/>
      <c r="CE207" s="59"/>
      <c r="CF207" s="18"/>
      <c r="CG207" s="59"/>
      <c r="CH207" s="18"/>
      <c r="CI207" s="59"/>
      <c r="CJ207" s="18"/>
      <c r="CK207" s="59"/>
      <c r="CL207" s="18"/>
      <c r="CM207" s="59"/>
      <c r="CN207" s="18"/>
      <c r="CO207" s="59"/>
      <c r="CP207" s="18"/>
      <c r="CQ207" s="59"/>
      <c r="CR207" s="18"/>
      <c r="CS207" s="59"/>
      <c r="CT207" s="18"/>
      <c r="CU207" s="59"/>
      <c r="CV207" s="18"/>
      <c r="CW207" s="59"/>
      <c r="CX207" s="18"/>
      <c r="CY207" s="59"/>
      <c r="CZ207" s="18"/>
      <c r="DA207" s="59"/>
      <c r="DB207" s="18"/>
      <c r="DC207" s="59"/>
      <c r="DD207" s="18"/>
      <c r="DE207" s="59"/>
      <c r="DF207" s="18"/>
      <c r="DG207" s="59"/>
      <c r="DH207" s="18"/>
      <c r="DI207" s="59"/>
      <c r="DJ207" s="18"/>
      <c r="DK207" s="59"/>
      <c r="DL207" s="18"/>
      <c r="DM207" s="59"/>
      <c r="DN207" s="18"/>
      <c r="DO207" s="59"/>
      <c r="DP207" s="18"/>
      <c r="DQ207" s="59"/>
      <c r="DR207" s="18"/>
      <c r="DS207" s="59"/>
      <c r="DT207" s="18"/>
      <c r="DU207" s="59"/>
      <c r="DV207" s="18"/>
      <c r="DW207" s="59"/>
      <c r="DX207" s="18"/>
      <c r="DY207" s="59"/>
      <c r="DZ207" s="18"/>
      <c r="EA207" s="59"/>
      <c r="EB207" s="18"/>
      <c r="EC207" s="59"/>
      <c r="ED207" s="18"/>
      <c r="EE207" s="59"/>
      <c r="EF207" s="18"/>
      <c r="EG207" s="59"/>
      <c r="EH207" s="18"/>
      <c r="EI207" s="59"/>
      <c r="EJ207" s="18"/>
      <c r="EK207" s="59"/>
      <c r="EL207" s="18"/>
    </row>
    <row r="208" spans="1:142" s="75" customFormat="1" x14ac:dyDescent="0.2">
      <c r="A208" s="43"/>
      <c r="B208" s="18"/>
      <c r="C208" s="59"/>
      <c r="D208" s="18"/>
      <c r="E208" s="59"/>
      <c r="F208" s="18"/>
      <c r="G208" s="59"/>
      <c r="H208" s="18"/>
      <c r="I208" s="59"/>
      <c r="J208" s="18"/>
      <c r="K208" s="59"/>
      <c r="L208" s="18"/>
      <c r="M208" s="59"/>
      <c r="N208" s="18"/>
      <c r="O208" s="59"/>
      <c r="P208" s="18"/>
      <c r="Q208" s="59"/>
      <c r="R208" s="18"/>
      <c r="S208" s="59"/>
      <c r="T208" s="18"/>
      <c r="U208" s="59"/>
      <c r="V208" s="18"/>
      <c r="W208" s="59"/>
      <c r="X208" s="18"/>
      <c r="Y208" s="59"/>
      <c r="Z208" s="18"/>
      <c r="AA208" s="59"/>
      <c r="AB208" s="18"/>
      <c r="AC208" s="59"/>
      <c r="AD208" s="18"/>
      <c r="AE208" s="59"/>
      <c r="AF208" s="18"/>
      <c r="AG208" s="59"/>
      <c r="AH208" s="18"/>
      <c r="AI208" s="59"/>
      <c r="AJ208" s="18"/>
      <c r="AK208" s="59"/>
      <c r="AL208" s="18"/>
      <c r="AM208" s="59"/>
      <c r="AN208" s="18"/>
      <c r="AO208" s="59"/>
      <c r="AP208" s="18"/>
      <c r="AQ208" s="59"/>
      <c r="AR208" s="18"/>
      <c r="AS208" s="59"/>
      <c r="AT208" s="18"/>
      <c r="AU208" s="59"/>
      <c r="AV208" s="18"/>
      <c r="AW208" s="59"/>
      <c r="AX208" s="18"/>
      <c r="AY208" s="59"/>
      <c r="AZ208" s="18"/>
      <c r="BA208" s="59"/>
      <c r="BB208" s="18"/>
      <c r="BC208" s="59"/>
      <c r="BD208" s="18"/>
      <c r="BE208" s="59"/>
      <c r="BF208" s="18"/>
      <c r="BG208" s="59"/>
      <c r="BH208" s="18"/>
      <c r="BI208" s="59"/>
      <c r="BJ208" s="18"/>
      <c r="BK208" s="59"/>
      <c r="BL208" s="18"/>
      <c r="BM208" s="59"/>
      <c r="BN208" s="18"/>
      <c r="BO208" s="59"/>
      <c r="BP208" s="18"/>
      <c r="BQ208" s="59"/>
      <c r="BR208" s="18"/>
      <c r="BS208" s="59"/>
      <c r="BT208" s="18"/>
      <c r="BU208" s="59"/>
      <c r="BV208" s="18"/>
      <c r="BW208" s="59"/>
      <c r="BX208" s="18"/>
      <c r="BY208" s="59"/>
      <c r="BZ208" s="18"/>
      <c r="CA208" s="59"/>
      <c r="CB208" s="18"/>
      <c r="CC208" s="59"/>
      <c r="CD208" s="18"/>
      <c r="CE208" s="59"/>
      <c r="CF208" s="18"/>
      <c r="CG208" s="59"/>
      <c r="CH208" s="18"/>
      <c r="CI208" s="59"/>
      <c r="CJ208" s="18"/>
      <c r="CK208" s="59"/>
      <c r="CL208" s="18"/>
      <c r="CM208" s="59"/>
      <c r="CN208" s="18"/>
      <c r="CO208" s="59"/>
      <c r="CP208" s="18"/>
      <c r="CQ208" s="59"/>
      <c r="CR208" s="18"/>
      <c r="CS208" s="59"/>
      <c r="CT208" s="18"/>
      <c r="CU208" s="59"/>
      <c r="CV208" s="18"/>
      <c r="CW208" s="59"/>
      <c r="CX208" s="18"/>
      <c r="CY208" s="59"/>
      <c r="CZ208" s="18"/>
      <c r="DA208" s="59"/>
      <c r="DB208" s="18"/>
      <c r="DC208" s="59"/>
      <c r="DD208" s="18"/>
      <c r="DE208" s="59"/>
      <c r="DF208" s="18"/>
      <c r="DG208" s="59"/>
      <c r="DH208" s="18"/>
      <c r="DI208" s="59"/>
      <c r="DJ208" s="18"/>
      <c r="DK208" s="59"/>
      <c r="DL208" s="18"/>
      <c r="DM208" s="59"/>
      <c r="DN208" s="18"/>
      <c r="DO208" s="59"/>
      <c r="DP208" s="18"/>
      <c r="DQ208" s="59"/>
      <c r="DR208" s="18"/>
      <c r="DS208" s="59"/>
      <c r="DT208" s="18"/>
      <c r="DU208" s="59"/>
      <c r="DV208" s="18"/>
      <c r="DW208" s="59"/>
      <c r="DX208" s="18"/>
      <c r="DY208" s="59"/>
      <c r="DZ208" s="18"/>
      <c r="EA208" s="59"/>
      <c r="EB208" s="18"/>
      <c r="EC208" s="59"/>
      <c r="ED208" s="18"/>
      <c r="EE208" s="59"/>
      <c r="EF208" s="18"/>
      <c r="EG208" s="59"/>
      <c r="EH208" s="18"/>
      <c r="EI208" s="59"/>
      <c r="EJ208" s="18"/>
      <c r="EK208" s="59"/>
      <c r="EL208" s="18"/>
    </row>
    <row r="209" spans="1:142" s="75" customFormat="1" x14ac:dyDescent="0.2">
      <c r="A209" s="43"/>
      <c r="B209" s="18"/>
      <c r="C209" s="59"/>
      <c r="D209" s="18"/>
      <c r="E209" s="59"/>
      <c r="F209" s="18"/>
      <c r="G209" s="59"/>
      <c r="H209" s="18"/>
      <c r="I209" s="59"/>
      <c r="J209" s="18"/>
      <c r="K209" s="59"/>
      <c r="L209" s="18"/>
      <c r="M209" s="59"/>
      <c r="N209" s="18"/>
      <c r="O209" s="59"/>
      <c r="P209" s="18"/>
      <c r="Q209" s="59"/>
      <c r="R209" s="18"/>
      <c r="S209" s="59"/>
      <c r="T209" s="18"/>
      <c r="U209" s="59"/>
      <c r="V209" s="18"/>
      <c r="W209" s="59"/>
      <c r="X209" s="18"/>
      <c r="Y209" s="59"/>
      <c r="Z209" s="18"/>
      <c r="AA209" s="59"/>
      <c r="AB209" s="18"/>
      <c r="AC209" s="59"/>
      <c r="AD209" s="18"/>
      <c r="AE209" s="59"/>
      <c r="AF209" s="18"/>
      <c r="AG209" s="59"/>
      <c r="AH209" s="18"/>
      <c r="AI209" s="59"/>
      <c r="AJ209" s="18"/>
      <c r="AK209" s="59"/>
      <c r="AL209" s="18"/>
      <c r="AM209" s="59"/>
      <c r="AN209" s="18"/>
      <c r="AO209" s="59"/>
      <c r="AP209" s="18"/>
      <c r="AQ209" s="59"/>
      <c r="AR209" s="18"/>
      <c r="AS209" s="59"/>
      <c r="AT209" s="18"/>
      <c r="AU209" s="59"/>
      <c r="AV209" s="18"/>
      <c r="AW209" s="59"/>
      <c r="AX209" s="18"/>
      <c r="AY209" s="59"/>
      <c r="AZ209" s="18"/>
      <c r="BA209" s="59"/>
      <c r="BB209" s="18"/>
      <c r="BC209" s="59"/>
      <c r="BD209" s="18"/>
      <c r="BE209" s="59"/>
      <c r="BF209" s="18"/>
      <c r="BG209" s="59"/>
      <c r="BH209" s="18"/>
      <c r="BI209" s="59"/>
      <c r="BJ209" s="18"/>
      <c r="BK209" s="59"/>
      <c r="BL209" s="18"/>
      <c r="BM209" s="59"/>
      <c r="BN209" s="18"/>
      <c r="BO209" s="59"/>
      <c r="BP209" s="18"/>
      <c r="BQ209" s="59"/>
      <c r="BR209" s="18"/>
      <c r="BS209" s="59"/>
      <c r="BT209" s="18"/>
      <c r="BU209" s="59"/>
      <c r="BV209" s="18"/>
      <c r="BW209" s="59"/>
      <c r="BX209" s="18"/>
      <c r="BY209" s="59"/>
      <c r="BZ209" s="18"/>
      <c r="CA209" s="59"/>
      <c r="CB209" s="18"/>
      <c r="CC209" s="59"/>
      <c r="CD209" s="18"/>
      <c r="CE209" s="59"/>
      <c r="CF209" s="18"/>
      <c r="CG209" s="59"/>
      <c r="CH209" s="18"/>
      <c r="CI209" s="59"/>
      <c r="CJ209" s="18"/>
      <c r="CK209" s="59"/>
      <c r="CL209" s="18"/>
      <c r="CM209" s="59"/>
      <c r="CN209" s="18"/>
      <c r="CO209" s="59"/>
      <c r="CP209" s="18"/>
      <c r="CQ209" s="59"/>
      <c r="CR209" s="18"/>
      <c r="CS209" s="59"/>
      <c r="CT209" s="18"/>
      <c r="CU209" s="59"/>
      <c r="CV209" s="18"/>
      <c r="CW209" s="59"/>
      <c r="CX209" s="18"/>
      <c r="CY209" s="59"/>
      <c r="CZ209" s="18"/>
      <c r="DA209" s="59"/>
      <c r="DB209" s="18"/>
      <c r="DC209" s="59"/>
      <c r="DD209" s="18"/>
      <c r="DE209" s="59"/>
      <c r="DF209" s="18"/>
      <c r="DG209" s="59"/>
      <c r="DH209" s="18"/>
      <c r="DI209" s="59"/>
      <c r="DJ209" s="18"/>
      <c r="DK209" s="59"/>
      <c r="DL209" s="18"/>
      <c r="DM209" s="59"/>
      <c r="DN209" s="18"/>
      <c r="DO209" s="59"/>
      <c r="DP209" s="18"/>
      <c r="DQ209" s="59"/>
      <c r="DR209" s="18"/>
      <c r="DS209" s="59"/>
      <c r="DT209" s="18"/>
      <c r="DU209" s="59"/>
      <c r="DV209" s="18"/>
      <c r="DW209" s="59"/>
      <c r="DX209" s="18"/>
      <c r="DY209" s="59"/>
      <c r="DZ209" s="18"/>
      <c r="EA209" s="59"/>
      <c r="EB209" s="18"/>
      <c r="EC209" s="59"/>
      <c r="ED209" s="18"/>
      <c r="EE209" s="59"/>
      <c r="EF209" s="18"/>
      <c r="EG209" s="59"/>
      <c r="EH209" s="18"/>
      <c r="EI209" s="59"/>
      <c r="EJ209" s="18"/>
      <c r="EK209" s="59"/>
      <c r="EL209" s="18"/>
    </row>
    <row r="210" spans="1:142" s="75" customFormat="1" x14ac:dyDescent="0.2">
      <c r="A210" s="43"/>
      <c r="B210" s="18"/>
      <c r="C210" s="59"/>
      <c r="D210" s="18"/>
      <c r="E210" s="59"/>
      <c r="F210" s="18"/>
      <c r="G210" s="59"/>
      <c r="H210" s="18"/>
      <c r="I210" s="59"/>
      <c r="J210" s="18"/>
      <c r="K210" s="59"/>
      <c r="L210" s="18"/>
      <c r="M210" s="59"/>
      <c r="N210" s="18"/>
      <c r="O210" s="59"/>
      <c r="P210" s="18"/>
      <c r="Q210" s="59"/>
      <c r="R210" s="18"/>
      <c r="S210" s="59"/>
      <c r="T210" s="18"/>
      <c r="U210" s="59"/>
      <c r="V210" s="18"/>
      <c r="W210" s="59"/>
      <c r="X210" s="18"/>
      <c r="Y210" s="59"/>
      <c r="Z210" s="18"/>
      <c r="AA210" s="59"/>
      <c r="AB210" s="18"/>
      <c r="AC210" s="59"/>
      <c r="AD210" s="18"/>
      <c r="AE210" s="59"/>
      <c r="AF210" s="18"/>
      <c r="AG210" s="59"/>
      <c r="AH210" s="18"/>
      <c r="AI210" s="59"/>
      <c r="AJ210" s="18"/>
      <c r="AK210" s="59"/>
      <c r="AL210" s="18"/>
      <c r="AM210" s="59"/>
      <c r="AN210" s="18"/>
      <c r="AO210" s="59"/>
      <c r="AP210" s="18"/>
      <c r="AQ210" s="59"/>
      <c r="AR210" s="18"/>
      <c r="AS210" s="59"/>
      <c r="AT210" s="18"/>
      <c r="AU210" s="59"/>
      <c r="AV210" s="18"/>
      <c r="AW210" s="59"/>
      <c r="AX210" s="18"/>
      <c r="AY210" s="59"/>
      <c r="AZ210" s="18"/>
      <c r="BA210" s="59"/>
      <c r="BB210" s="18"/>
      <c r="BC210" s="59"/>
      <c r="BD210" s="18"/>
      <c r="BE210" s="59"/>
      <c r="BF210" s="18"/>
      <c r="BG210" s="59"/>
      <c r="BH210" s="18"/>
      <c r="BI210" s="59"/>
      <c r="BJ210" s="18"/>
      <c r="BK210" s="59"/>
      <c r="BL210" s="18"/>
      <c r="BM210" s="59"/>
      <c r="BN210" s="18"/>
      <c r="BO210" s="59"/>
      <c r="BP210" s="18"/>
      <c r="BQ210" s="59"/>
      <c r="BR210" s="18"/>
      <c r="BS210" s="59"/>
      <c r="BT210" s="18"/>
      <c r="BU210" s="59"/>
      <c r="BV210" s="18"/>
      <c r="BW210" s="59"/>
      <c r="BX210" s="18"/>
      <c r="BY210" s="59"/>
      <c r="BZ210" s="18"/>
      <c r="CA210" s="59"/>
      <c r="CB210" s="18"/>
      <c r="CC210" s="59"/>
      <c r="CD210" s="18"/>
      <c r="CE210" s="59"/>
      <c r="CF210" s="18"/>
      <c r="CG210" s="59"/>
      <c r="CH210" s="18"/>
      <c r="CI210" s="59"/>
      <c r="CJ210" s="18"/>
      <c r="CK210" s="59"/>
      <c r="CL210" s="18"/>
      <c r="CM210" s="59"/>
      <c r="CN210" s="18"/>
      <c r="CO210" s="59"/>
      <c r="CP210" s="18"/>
      <c r="CQ210" s="59"/>
      <c r="CR210" s="18"/>
      <c r="CS210" s="59"/>
      <c r="CT210" s="18"/>
      <c r="CU210" s="59"/>
      <c r="CV210" s="18"/>
      <c r="CW210" s="59"/>
      <c r="CX210" s="18"/>
      <c r="CY210" s="59"/>
      <c r="CZ210" s="18"/>
      <c r="DA210" s="59"/>
      <c r="DB210" s="18"/>
      <c r="DC210" s="59"/>
      <c r="DD210" s="18"/>
      <c r="DE210" s="59"/>
      <c r="DF210" s="18"/>
      <c r="DG210" s="59"/>
      <c r="DH210" s="18"/>
      <c r="DI210" s="59"/>
      <c r="DJ210" s="18"/>
      <c r="DK210" s="59"/>
      <c r="DL210" s="18"/>
      <c r="DM210" s="59"/>
      <c r="DN210" s="18"/>
      <c r="DO210" s="59"/>
      <c r="DP210" s="18"/>
      <c r="DQ210" s="59"/>
      <c r="DR210" s="18"/>
      <c r="DS210" s="59"/>
      <c r="DT210" s="18"/>
      <c r="DU210" s="59"/>
      <c r="DV210" s="18"/>
      <c r="DW210" s="59"/>
      <c r="DX210" s="18"/>
      <c r="DY210" s="59"/>
      <c r="DZ210" s="18"/>
      <c r="EA210" s="59"/>
      <c r="EB210" s="18"/>
      <c r="EC210" s="59"/>
      <c r="ED210" s="18"/>
      <c r="EE210" s="59"/>
      <c r="EF210" s="18"/>
      <c r="EG210" s="59"/>
      <c r="EH210" s="18"/>
      <c r="EI210" s="59"/>
      <c r="EJ210" s="18"/>
      <c r="EK210" s="59"/>
      <c r="EL210" s="18"/>
    </row>
    <row r="211" spans="1:142" s="75" customFormat="1" x14ac:dyDescent="0.2">
      <c r="A211" s="43"/>
      <c r="B211" s="18"/>
      <c r="C211" s="59"/>
      <c r="D211" s="18"/>
      <c r="E211" s="59"/>
      <c r="F211" s="18"/>
      <c r="G211" s="59"/>
      <c r="H211" s="18"/>
      <c r="I211" s="59"/>
      <c r="J211" s="18"/>
      <c r="K211" s="59"/>
      <c r="L211" s="18"/>
      <c r="M211" s="59"/>
      <c r="N211" s="18"/>
      <c r="O211" s="59"/>
      <c r="P211" s="18"/>
      <c r="Q211" s="59"/>
      <c r="R211" s="18"/>
      <c r="S211" s="59"/>
      <c r="T211" s="18"/>
      <c r="U211" s="59"/>
      <c r="V211" s="18"/>
      <c r="W211" s="59"/>
      <c r="X211" s="18"/>
      <c r="Y211" s="59"/>
      <c r="Z211" s="18"/>
      <c r="AA211" s="59"/>
      <c r="AB211" s="18"/>
      <c r="AC211" s="59"/>
      <c r="AD211" s="18"/>
      <c r="AE211" s="59"/>
      <c r="AF211" s="18"/>
      <c r="AG211" s="59"/>
      <c r="AH211" s="18"/>
      <c r="AI211" s="59"/>
      <c r="AJ211" s="18"/>
      <c r="AK211" s="59"/>
      <c r="AL211" s="18"/>
      <c r="AM211" s="59"/>
      <c r="AN211" s="18"/>
      <c r="AO211" s="59"/>
      <c r="AP211" s="18"/>
      <c r="AQ211" s="59"/>
      <c r="AR211" s="18"/>
      <c r="AS211" s="59"/>
      <c r="AT211" s="18"/>
      <c r="AU211" s="59"/>
      <c r="AV211" s="18"/>
      <c r="AW211" s="59"/>
      <c r="AX211" s="18"/>
      <c r="AY211" s="59"/>
      <c r="AZ211" s="18"/>
      <c r="BA211" s="59"/>
      <c r="BB211" s="18"/>
      <c r="BC211" s="59"/>
      <c r="BD211" s="18"/>
      <c r="BE211" s="59"/>
      <c r="BF211" s="18"/>
      <c r="BG211" s="59"/>
      <c r="BH211" s="18"/>
      <c r="BI211" s="59"/>
      <c r="BJ211" s="18"/>
      <c r="BK211" s="59"/>
      <c r="BL211" s="18"/>
      <c r="BM211" s="59"/>
      <c r="BN211" s="18"/>
      <c r="BO211" s="59"/>
      <c r="BP211" s="18"/>
      <c r="BQ211" s="59"/>
      <c r="BR211" s="18"/>
      <c r="BS211" s="59"/>
      <c r="BT211" s="18"/>
      <c r="BU211" s="59"/>
      <c r="BV211" s="18"/>
      <c r="BW211" s="59"/>
      <c r="BX211" s="18"/>
      <c r="BY211" s="59"/>
      <c r="BZ211" s="18"/>
      <c r="CA211" s="59"/>
      <c r="CB211" s="18"/>
      <c r="CC211" s="59"/>
      <c r="CD211" s="18"/>
      <c r="CE211" s="59"/>
      <c r="CF211" s="18"/>
      <c r="CG211" s="59"/>
      <c r="CH211" s="18"/>
      <c r="CI211" s="59"/>
      <c r="CJ211" s="18"/>
      <c r="CK211" s="59"/>
      <c r="CL211" s="18"/>
      <c r="CM211" s="59"/>
      <c r="CN211" s="18"/>
      <c r="CO211" s="59"/>
      <c r="CP211" s="18"/>
      <c r="CQ211" s="59"/>
      <c r="CR211" s="18"/>
      <c r="CS211" s="59"/>
      <c r="CT211" s="18"/>
      <c r="CU211" s="59"/>
      <c r="CV211" s="18"/>
      <c r="CW211" s="59"/>
      <c r="CX211" s="18"/>
      <c r="CY211" s="59"/>
      <c r="CZ211" s="18"/>
      <c r="DA211" s="59"/>
      <c r="DB211" s="18"/>
      <c r="DC211" s="59"/>
      <c r="DD211" s="18"/>
      <c r="DE211" s="59"/>
      <c r="DF211" s="18"/>
      <c r="DG211" s="59"/>
      <c r="DH211" s="18"/>
      <c r="DI211" s="59"/>
      <c r="DJ211" s="18"/>
      <c r="DK211" s="59"/>
      <c r="DL211" s="18"/>
      <c r="DM211" s="59"/>
      <c r="DN211" s="18"/>
      <c r="DO211" s="59"/>
      <c r="DP211" s="18"/>
      <c r="DQ211" s="59"/>
      <c r="DR211" s="18"/>
      <c r="DS211" s="59"/>
      <c r="DT211" s="18"/>
      <c r="DU211" s="59"/>
      <c r="DV211" s="18"/>
      <c r="DW211" s="59"/>
      <c r="DX211" s="18"/>
      <c r="DY211" s="59"/>
      <c r="DZ211" s="18"/>
      <c r="EA211" s="59"/>
      <c r="EB211" s="18"/>
      <c r="EC211" s="59"/>
      <c r="ED211" s="18"/>
      <c r="EE211" s="59"/>
      <c r="EF211" s="18"/>
      <c r="EG211" s="59"/>
      <c r="EH211" s="18"/>
      <c r="EI211" s="59"/>
      <c r="EJ211" s="18"/>
      <c r="EK211" s="59"/>
      <c r="EL211" s="18"/>
    </row>
    <row r="212" spans="1:142" s="75" customFormat="1" x14ac:dyDescent="0.2">
      <c r="A212" s="43"/>
      <c r="B212" s="18"/>
      <c r="C212" s="59"/>
      <c r="D212" s="18"/>
      <c r="E212" s="59"/>
      <c r="F212" s="18"/>
      <c r="G212" s="59"/>
      <c r="H212" s="18"/>
      <c r="I212" s="59"/>
      <c r="J212" s="18"/>
      <c r="K212" s="59"/>
      <c r="L212" s="18"/>
      <c r="M212" s="59"/>
      <c r="N212" s="18"/>
      <c r="O212" s="59"/>
      <c r="P212" s="18"/>
      <c r="Q212" s="59"/>
      <c r="R212" s="18"/>
      <c r="S212" s="59"/>
      <c r="T212" s="18"/>
      <c r="U212" s="59"/>
      <c r="V212" s="18"/>
      <c r="W212" s="59"/>
      <c r="X212" s="18"/>
      <c r="Y212" s="59"/>
      <c r="Z212" s="18"/>
      <c r="AA212" s="59"/>
      <c r="AB212" s="18"/>
      <c r="AC212" s="59"/>
      <c r="AD212" s="18"/>
      <c r="AE212" s="59"/>
      <c r="AF212" s="18"/>
      <c r="AG212" s="59"/>
      <c r="AH212" s="18"/>
      <c r="AI212" s="59"/>
      <c r="AJ212" s="18"/>
      <c r="AK212" s="59"/>
      <c r="AL212" s="18"/>
      <c r="AM212" s="59"/>
      <c r="AN212" s="18"/>
      <c r="AO212" s="59"/>
      <c r="AP212" s="18"/>
      <c r="AQ212" s="59"/>
      <c r="AR212" s="18"/>
      <c r="AS212" s="59"/>
      <c r="AT212" s="18"/>
      <c r="AU212" s="59"/>
      <c r="AV212" s="18"/>
      <c r="AW212" s="59"/>
      <c r="AX212" s="18"/>
      <c r="AY212" s="59"/>
      <c r="AZ212" s="18"/>
      <c r="BA212" s="59"/>
      <c r="BB212" s="18"/>
      <c r="BC212" s="59"/>
      <c r="BD212" s="18"/>
      <c r="BE212" s="59"/>
      <c r="BF212" s="18"/>
      <c r="BG212" s="59"/>
      <c r="BH212" s="18"/>
      <c r="BI212" s="59"/>
      <c r="BJ212" s="18"/>
      <c r="BK212" s="59"/>
      <c r="BL212" s="18"/>
      <c r="BM212" s="59"/>
      <c r="BN212" s="18"/>
      <c r="BO212" s="59"/>
      <c r="BP212" s="18"/>
      <c r="BQ212" s="59"/>
      <c r="BR212" s="18"/>
      <c r="BS212" s="59"/>
      <c r="BT212" s="18"/>
      <c r="BU212" s="59"/>
      <c r="BV212" s="18"/>
      <c r="BW212" s="59"/>
      <c r="BX212" s="18"/>
      <c r="BY212" s="59"/>
      <c r="BZ212" s="18"/>
      <c r="CA212" s="59"/>
      <c r="CB212" s="18"/>
      <c r="CC212" s="59"/>
      <c r="CD212" s="18"/>
      <c r="CE212" s="59"/>
      <c r="CF212" s="18"/>
      <c r="CG212" s="59"/>
      <c r="CH212" s="18"/>
      <c r="CI212" s="59"/>
      <c r="CJ212" s="18"/>
      <c r="CK212" s="59"/>
      <c r="CL212" s="18"/>
      <c r="CM212" s="59"/>
      <c r="CN212" s="18"/>
      <c r="CO212" s="59"/>
      <c r="CP212" s="18"/>
      <c r="CQ212" s="59"/>
      <c r="CR212" s="18"/>
      <c r="CS212" s="59"/>
      <c r="CT212" s="18"/>
      <c r="CU212" s="59"/>
      <c r="CV212" s="18"/>
      <c r="CW212" s="59"/>
      <c r="CX212" s="18"/>
      <c r="CY212" s="59"/>
      <c r="CZ212" s="18"/>
      <c r="DA212" s="59"/>
      <c r="DB212" s="18"/>
      <c r="DC212" s="59"/>
      <c r="DD212" s="18"/>
      <c r="DE212" s="59"/>
      <c r="DF212" s="18"/>
      <c r="DG212" s="59"/>
      <c r="DH212" s="18"/>
      <c r="DI212" s="59"/>
      <c r="DJ212" s="18"/>
      <c r="DK212" s="59"/>
      <c r="DL212" s="18"/>
      <c r="DM212" s="59"/>
      <c r="DN212" s="18"/>
      <c r="DO212" s="59"/>
      <c r="DP212" s="18"/>
      <c r="DQ212" s="59"/>
      <c r="DR212" s="18"/>
      <c r="DS212" s="59"/>
      <c r="DT212" s="18"/>
      <c r="DU212" s="59"/>
      <c r="DV212" s="18"/>
      <c r="DW212" s="59"/>
      <c r="DX212" s="18"/>
      <c r="DY212" s="59"/>
      <c r="DZ212" s="18"/>
      <c r="EA212" s="59"/>
      <c r="EB212" s="18"/>
      <c r="EC212" s="59"/>
      <c r="ED212" s="18"/>
      <c r="EE212" s="59"/>
      <c r="EF212" s="18"/>
      <c r="EG212" s="59"/>
      <c r="EH212" s="18"/>
      <c r="EI212" s="59"/>
      <c r="EJ212" s="18"/>
      <c r="EK212" s="59"/>
      <c r="EL212" s="18"/>
    </row>
    <row r="213" spans="1:142" s="75" customFormat="1" x14ac:dyDescent="0.2">
      <c r="A213" s="43"/>
      <c r="B213" s="18"/>
      <c r="C213" s="59"/>
      <c r="D213" s="18"/>
      <c r="E213" s="59"/>
      <c r="F213" s="18"/>
      <c r="G213" s="59"/>
      <c r="H213" s="18"/>
      <c r="I213" s="59"/>
      <c r="J213" s="18"/>
      <c r="K213" s="59"/>
      <c r="L213" s="18"/>
      <c r="M213" s="59"/>
      <c r="N213" s="18"/>
      <c r="O213" s="59"/>
      <c r="P213" s="18"/>
      <c r="Q213" s="59"/>
      <c r="R213" s="18"/>
      <c r="S213" s="59"/>
      <c r="T213" s="18"/>
      <c r="U213" s="59"/>
      <c r="V213" s="18"/>
      <c r="W213" s="59"/>
      <c r="X213" s="18"/>
      <c r="Y213" s="59"/>
      <c r="Z213" s="18"/>
      <c r="AA213" s="59"/>
      <c r="AB213" s="18"/>
      <c r="AC213" s="59"/>
      <c r="AD213" s="18"/>
      <c r="AE213" s="59"/>
      <c r="AF213" s="18"/>
      <c r="AG213" s="59"/>
      <c r="AH213" s="18"/>
      <c r="AI213" s="59"/>
      <c r="AJ213" s="18"/>
      <c r="AK213" s="59"/>
      <c r="AL213" s="18"/>
      <c r="AM213" s="59"/>
      <c r="AN213" s="18"/>
      <c r="AO213" s="59"/>
      <c r="AP213" s="18"/>
      <c r="AQ213" s="59"/>
      <c r="AR213" s="18"/>
      <c r="AS213" s="59"/>
      <c r="AT213" s="18"/>
      <c r="AU213" s="59"/>
      <c r="AV213" s="18"/>
      <c r="AW213" s="59"/>
      <c r="AX213" s="18"/>
      <c r="AY213" s="59"/>
      <c r="AZ213" s="18"/>
      <c r="BA213" s="59"/>
      <c r="BB213" s="18"/>
      <c r="BC213" s="59"/>
      <c r="BD213" s="18"/>
      <c r="BE213" s="59"/>
      <c r="BF213" s="18"/>
      <c r="BG213" s="59"/>
      <c r="BH213" s="18"/>
      <c r="BI213" s="59"/>
      <c r="BJ213" s="18"/>
      <c r="BK213" s="59"/>
      <c r="BL213" s="18"/>
      <c r="BM213" s="59"/>
      <c r="BN213" s="18"/>
      <c r="BO213" s="59"/>
      <c r="BP213" s="18"/>
      <c r="BQ213" s="59"/>
      <c r="BR213" s="18"/>
      <c r="BS213" s="59"/>
      <c r="BT213" s="18"/>
      <c r="BU213" s="59"/>
      <c r="BV213" s="18"/>
      <c r="BW213" s="59"/>
      <c r="BX213" s="18"/>
      <c r="BY213" s="59"/>
      <c r="BZ213" s="18"/>
      <c r="CA213" s="59"/>
      <c r="CB213" s="18"/>
      <c r="CC213" s="59"/>
      <c r="CD213" s="18"/>
      <c r="CE213" s="59"/>
      <c r="CF213" s="18"/>
      <c r="CG213" s="59"/>
      <c r="CH213" s="18"/>
      <c r="CI213" s="59"/>
      <c r="CJ213" s="18"/>
      <c r="CK213" s="59"/>
      <c r="CL213" s="18"/>
      <c r="CM213" s="59"/>
      <c r="CN213" s="18"/>
      <c r="CO213" s="59"/>
      <c r="CP213" s="18"/>
      <c r="CQ213" s="59"/>
      <c r="CR213" s="18"/>
      <c r="CS213" s="59"/>
      <c r="CT213" s="18"/>
      <c r="CU213" s="59"/>
      <c r="CV213" s="18"/>
      <c r="CW213" s="59"/>
      <c r="CX213" s="18"/>
      <c r="CY213" s="59"/>
      <c r="CZ213" s="18"/>
      <c r="DA213" s="59"/>
      <c r="DB213" s="18"/>
      <c r="DC213" s="59"/>
      <c r="DD213" s="18"/>
      <c r="DE213" s="59"/>
      <c r="DF213" s="18"/>
      <c r="DG213" s="59"/>
      <c r="DH213" s="18"/>
      <c r="DI213" s="59"/>
      <c r="DJ213" s="18"/>
      <c r="DK213" s="59"/>
      <c r="DL213" s="18"/>
      <c r="DM213" s="59"/>
      <c r="DN213" s="18"/>
      <c r="DO213" s="59"/>
      <c r="DP213" s="18"/>
      <c r="DQ213" s="59"/>
      <c r="DR213" s="18"/>
      <c r="DS213" s="59"/>
      <c r="DT213" s="18"/>
      <c r="DU213" s="59"/>
      <c r="DV213" s="18"/>
      <c r="DW213" s="59"/>
      <c r="DX213" s="18"/>
      <c r="DY213" s="59"/>
      <c r="DZ213" s="18"/>
      <c r="EA213" s="59"/>
      <c r="EB213" s="18"/>
      <c r="EC213" s="59"/>
      <c r="ED213" s="18"/>
      <c r="EE213" s="59"/>
      <c r="EF213" s="18"/>
      <c r="EG213" s="59"/>
      <c r="EH213" s="18"/>
      <c r="EI213" s="59"/>
      <c r="EJ213" s="18"/>
      <c r="EK213" s="59"/>
      <c r="EL213" s="18"/>
    </row>
    <row r="214" spans="1:142" s="75" customFormat="1" x14ac:dyDescent="0.2">
      <c r="A214" s="43"/>
      <c r="B214" s="18"/>
      <c r="C214" s="59"/>
      <c r="D214" s="18"/>
      <c r="E214" s="59"/>
      <c r="F214" s="18"/>
      <c r="G214" s="59"/>
      <c r="H214" s="18"/>
      <c r="I214" s="59"/>
      <c r="J214" s="18"/>
      <c r="K214" s="59"/>
      <c r="L214" s="18"/>
      <c r="M214" s="59"/>
      <c r="N214" s="18"/>
      <c r="O214" s="59"/>
      <c r="P214" s="18"/>
      <c r="Q214" s="59"/>
      <c r="R214" s="18"/>
      <c r="S214" s="59"/>
      <c r="T214" s="18"/>
      <c r="U214" s="59"/>
      <c r="V214" s="18"/>
      <c r="W214" s="59"/>
      <c r="X214" s="18"/>
      <c r="Y214" s="59"/>
      <c r="Z214" s="18"/>
      <c r="AA214" s="59"/>
      <c r="AB214" s="18"/>
      <c r="AC214" s="59"/>
      <c r="AD214" s="18"/>
      <c r="AE214" s="59"/>
      <c r="AF214" s="18"/>
      <c r="AG214" s="59"/>
      <c r="AH214" s="18"/>
      <c r="AI214" s="59"/>
      <c r="AJ214" s="18"/>
      <c r="AK214" s="59"/>
      <c r="AL214" s="18"/>
      <c r="AM214" s="59"/>
      <c r="AN214" s="18"/>
      <c r="AO214" s="59"/>
      <c r="AP214" s="18"/>
      <c r="AQ214" s="59"/>
      <c r="AR214" s="18"/>
      <c r="AS214" s="59"/>
      <c r="AT214" s="18"/>
      <c r="AU214" s="59"/>
      <c r="AV214" s="18"/>
      <c r="AW214" s="59"/>
      <c r="AX214" s="18"/>
      <c r="AY214" s="59"/>
      <c r="AZ214" s="18"/>
      <c r="BA214" s="59"/>
      <c r="BB214" s="18"/>
      <c r="BC214" s="59"/>
      <c r="BD214" s="18"/>
      <c r="BE214" s="59"/>
      <c r="BF214" s="18"/>
      <c r="BG214" s="59"/>
      <c r="BH214" s="18"/>
      <c r="BI214" s="59"/>
      <c r="BJ214" s="18"/>
      <c r="BK214" s="59"/>
      <c r="BL214" s="18"/>
      <c r="BM214" s="59"/>
      <c r="BN214" s="18"/>
      <c r="BO214" s="59"/>
      <c r="BP214" s="18"/>
      <c r="BQ214" s="59"/>
      <c r="BR214" s="18"/>
      <c r="BS214" s="59"/>
      <c r="BT214" s="18"/>
      <c r="BU214" s="59"/>
      <c r="BV214" s="18"/>
      <c r="BW214" s="59"/>
      <c r="BX214" s="18"/>
      <c r="BY214" s="59"/>
      <c r="BZ214" s="18"/>
      <c r="CA214" s="59"/>
      <c r="CB214" s="18"/>
      <c r="CC214" s="59"/>
      <c r="CD214" s="18"/>
      <c r="CE214" s="59"/>
      <c r="CF214" s="18"/>
      <c r="CG214" s="59"/>
      <c r="CH214" s="18"/>
      <c r="CI214" s="59"/>
      <c r="CJ214" s="18"/>
      <c r="CK214" s="59"/>
      <c r="CL214" s="18"/>
      <c r="CM214" s="59"/>
      <c r="CN214" s="18"/>
      <c r="CO214" s="59"/>
      <c r="CP214" s="18"/>
      <c r="CQ214" s="59"/>
      <c r="CR214" s="18"/>
      <c r="CS214" s="59"/>
      <c r="CT214" s="18"/>
      <c r="CU214" s="59"/>
      <c r="CV214" s="18"/>
      <c r="CW214" s="59"/>
      <c r="CX214" s="18"/>
      <c r="CY214" s="59"/>
      <c r="CZ214" s="18"/>
      <c r="DA214" s="59"/>
      <c r="DB214" s="18"/>
      <c r="DC214" s="59"/>
      <c r="DD214" s="18"/>
      <c r="DE214" s="59"/>
      <c r="DF214" s="18"/>
      <c r="DG214" s="59"/>
      <c r="DH214" s="18"/>
      <c r="DI214" s="59"/>
      <c r="DJ214" s="18"/>
      <c r="DK214" s="59"/>
      <c r="DL214" s="18"/>
      <c r="DM214" s="59"/>
      <c r="DN214" s="18"/>
      <c r="DO214" s="59"/>
      <c r="DP214" s="18"/>
      <c r="DQ214" s="59"/>
      <c r="DR214" s="18"/>
      <c r="DS214" s="59"/>
      <c r="DT214" s="18"/>
      <c r="DU214" s="59"/>
      <c r="DV214" s="18"/>
      <c r="DW214" s="59"/>
      <c r="DX214" s="18"/>
      <c r="DY214" s="59"/>
      <c r="DZ214" s="18"/>
      <c r="EA214" s="59"/>
      <c r="EB214" s="18"/>
      <c r="EC214" s="59"/>
      <c r="ED214" s="18"/>
      <c r="EE214" s="59"/>
      <c r="EF214" s="18"/>
      <c r="EG214" s="59"/>
      <c r="EH214" s="18"/>
      <c r="EI214" s="59"/>
      <c r="EJ214" s="18"/>
      <c r="EK214" s="59"/>
      <c r="EL214" s="18"/>
    </row>
    <row r="215" spans="1:142" s="75" customFormat="1" x14ac:dyDescent="0.2">
      <c r="A215" s="43"/>
      <c r="B215" s="18"/>
      <c r="C215" s="59"/>
      <c r="D215" s="18"/>
      <c r="E215" s="59"/>
      <c r="F215" s="18"/>
      <c r="G215" s="59"/>
      <c r="H215" s="18"/>
      <c r="I215" s="59"/>
      <c r="J215" s="18"/>
      <c r="K215" s="59"/>
      <c r="L215" s="18"/>
      <c r="M215" s="59"/>
      <c r="N215" s="18"/>
      <c r="O215" s="59"/>
      <c r="P215" s="18"/>
      <c r="Q215" s="59"/>
      <c r="R215" s="18"/>
      <c r="S215" s="59"/>
      <c r="T215" s="18"/>
      <c r="U215" s="59"/>
      <c r="V215" s="18"/>
      <c r="W215" s="59"/>
      <c r="X215" s="18"/>
      <c r="Y215" s="59"/>
      <c r="Z215" s="18"/>
      <c r="AA215" s="59"/>
      <c r="AB215" s="18"/>
      <c r="AC215" s="59"/>
      <c r="AD215" s="18"/>
      <c r="AE215" s="59"/>
      <c r="AF215" s="18"/>
      <c r="AG215" s="59"/>
      <c r="AH215" s="18"/>
      <c r="AI215" s="59"/>
      <c r="AJ215" s="18"/>
      <c r="AK215" s="59"/>
      <c r="AL215" s="18"/>
      <c r="AM215" s="59"/>
      <c r="AN215" s="18"/>
      <c r="AO215" s="59"/>
      <c r="AP215" s="18"/>
      <c r="AQ215" s="59"/>
      <c r="AR215" s="18"/>
      <c r="AS215" s="59"/>
      <c r="AT215" s="18"/>
      <c r="AU215" s="59"/>
      <c r="AV215" s="18"/>
      <c r="AW215" s="59"/>
      <c r="AX215" s="18"/>
      <c r="AY215" s="59"/>
      <c r="AZ215" s="18"/>
      <c r="BA215" s="59"/>
      <c r="BB215" s="18"/>
      <c r="BC215" s="59"/>
      <c r="BD215" s="18"/>
      <c r="BE215" s="59"/>
      <c r="BF215" s="18"/>
      <c r="BG215" s="59"/>
      <c r="BH215" s="18"/>
      <c r="BI215" s="59"/>
      <c r="BJ215" s="18"/>
      <c r="BK215" s="59"/>
      <c r="BL215" s="18"/>
      <c r="BM215" s="59"/>
      <c r="BN215" s="18"/>
      <c r="BO215" s="59"/>
      <c r="BP215" s="18"/>
      <c r="BQ215" s="59"/>
      <c r="BR215" s="18"/>
      <c r="BS215" s="59"/>
      <c r="BT215" s="18"/>
      <c r="BU215" s="59"/>
      <c r="BV215" s="18"/>
      <c r="BW215" s="59"/>
      <c r="BX215" s="18"/>
      <c r="BY215" s="59"/>
      <c r="BZ215" s="18"/>
      <c r="CA215" s="59"/>
      <c r="CB215" s="18"/>
      <c r="CC215" s="59"/>
      <c r="CD215" s="18"/>
      <c r="CE215" s="59"/>
      <c r="CF215" s="18"/>
      <c r="CG215" s="59"/>
      <c r="CH215" s="18"/>
      <c r="CI215" s="59"/>
      <c r="CJ215" s="18"/>
      <c r="CK215" s="59"/>
      <c r="CL215" s="18"/>
      <c r="CM215" s="59"/>
      <c r="CN215" s="18"/>
      <c r="CO215" s="59"/>
      <c r="CP215" s="18"/>
      <c r="CQ215" s="59"/>
      <c r="CR215" s="18"/>
      <c r="CS215" s="59"/>
      <c r="CT215" s="18"/>
      <c r="CU215" s="59"/>
      <c r="CV215" s="18"/>
      <c r="CW215" s="59"/>
      <c r="CX215" s="18"/>
      <c r="CY215" s="59"/>
      <c r="CZ215" s="18"/>
      <c r="DA215" s="59"/>
      <c r="DB215" s="18"/>
      <c r="DC215" s="59"/>
      <c r="DD215" s="18"/>
      <c r="DE215" s="59"/>
      <c r="DF215" s="18"/>
      <c r="DG215" s="59"/>
      <c r="DH215" s="18"/>
      <c r="DI215" s="59"/>
      <c r="DJ215" s="18"/>
      <c r="DK215" s="59"/>
      <c r="DL215" s="18"/>
      <c r="DM215" s="59"/>
      <c r="DN215" s="18"/>
      <c r="DO215" s="59"/>
      <c r="DP215" s="18"/>
      <c r="DQ215" s="59"/>
      <c r="DR215" s="18"/>
      <c r="DS215" s="59"/>
      <c r="DT215" s="18"/>
      <c r="DU215" s="59"/>
      <c r="DV215" s="18"/>
      <c r="DW215" s="59"/>
      <c r="DX215" s="18"/>
      <c r="DY215" s="59"/>
      <c r="DZ215" s="18"/>
      <c r="EA215" s="59"/>
      <c r="EB215" s="18"/>
      <c r="EC215" s="59"/>
      <c r="ED215" s="18"/>
      <c r="EE215" s="59"/>
      <c r="EF215" s="18"/>
      <c r="EG215" s="59"/>
      <c r="EH215" s="18"/>
      <c r="EI215" s="59"/>
      <c r="EJ215" s="18"/>
      <c r="EK215" s="59"/>
      <c r="EL215" s="18"/>
    </row>
    <row r="216" spans="1:142" s="75" customFormat="1" x14ac:dyDescent="0.2">
      <c r="A216" s="43"/>
      <c r="B216" s="18"/>
      <c r="C216" s="59"/>
      <c r="D216" s="18"/>
      <c r="E216" s="59"/>
      <c r="F216" s="18"/>
      <c r="G216" s="59"/>
      <c r="H216" s="18"/>
      <c r="I216" s="59"/>
      <c r="J216" s="18"/>
      <c r="K216" s="59"/>
      <c r="L216" s="18"/>
      <c r="M216" s="59"/>
      <c r="N216" s="18"/>
      <c r="O216" s="59"/>
      <c r="P216" s="18"/>
      <c r="Q216" s="59"/>
      <c r="R216" s="18"/>
      <c r="S216" s="59"/>
      <c r="T216" s="18"/>
      <c r="U216" s="59"/>
      <c r="V216" s="18"/>
      <c r="W216" s="59"/>
      <c r="X216" s="18"/>
      <c r="Y216" s="59"/>
      <c r="Z216" s="18"/>
      <c r="AA216" s="59"/>
      <c r="AB216" s="18"/>
      <c r="AC216" s="59"/>
      <c r="AD216" s="18"/>
      <c r="AE216" s="59"/>
      <c r="AF216" s="18"/>
      <c r="AG216" s="59"/>
      <c r="AH216" s="18"/>
      <c r="AI216" s="59"/>
      <c r="AJ216" s="18"/>
      <c r="AK216" s="59"/>
      <c r="AL216" s="18"/>
      <c r="AM216" s="59"/>
      <c r="AN216" s="18"/>
      <c r="AO216" s="59"/>
      <c r="AP216" s="18"/>
      <c r="AQ216" s="59"/>
      <c r="AR216" s="18"/>
      <c r="AS216" s="59"/>
      <c r="AT216" s="18"/>
      <c r="AU216" s="59"/>
      <c r="AV216" s="18"/>
      <c r="AW216" s="59"/>
      <c r="AX216" s="18"/>
      <c r="AY216" s="59"/>
      <c r="AZ216" s="18"/>
      <c r="BA216" s="59"/>
      <c r="BB216" s="18"/>
      <c r="BC216" s="59"/>
      <c r="BD216" s="18"/>
      <c r="BE216" s="59"/>
      <c r="BF216" s="18"/>
      <c r="BG216" s="59"/>
      <c r="BH216" s="18"/>
      <c r="BI216" s="59"/>
      <c r="BJ216" s="18"/>
      <c r="BK216" s="59"/>
      <c r="BL216" s="18"/>
      <c r="BM216" s="59"/>
      <c r="BN216" s="18"/>
      <c r="BO216" s="59"/>
      <c r="BP216" s="18"/>
      <c r="BQ216" s="59"/>
      <c r="BR216" s="18"/>
      <c r="BS216" s="59"/>
      <c r="BT216" s="18"/>
      <c r="BU216" s="59"/>
      <c r="BV216" s="18"/>
      <c r="BW216" s="59"/>
      <c r="BX216" s="18"/>
      <c r="BY216" s="59"/>
      <c r="BZ216" s="18"/>
      <c r="CA216" s="59"/>
      <c r="CB216" s="18"/>
      <c r="CC216" s="59"/>
      <c r="CD216" s="18"/>
      <c r="CE216" s="59"/>
      <c r="CF216" s="18"/>
      <c r="CG216" s="59"/>
      <c r="CH216" s="18"/>
      <c r="CI216" s="59"/>
      <c r="CJ216" s="18"/>
      <c r="CK216" s="59"/>
      <c r="CL216" s="18"/>
      <c r="CM216" s="59"/>
      <c r="CN216" s="18"/>
      <c r="CO216" s="59"/>
      <c r="CP216" s="18"/>
      <c r="CQ216" s="59"/>
      <c r="CR216" s="18"/>
      <c r="CS216" s="59"/>
      <c r="CT216" s="18"/>
      <c r="CU216" s="59"/>
      <c r="CV216" s="18"/>
      <c r="CW216" s="59"/>
      <c r="CX216" s="18"/>
      <c r="CY216" s="59"/>
      <c r="CZ216" s="18"/>
      <c r="DA216" s="59"/>
      <c r="DB216" s="18"/>
      <c r="DC216" s="59"/>
      <c r="DD216" s="18"/>
      <c r="DE216" s="59"/>
      <c r="DF216" s="18"/>
      <c r="DG216" s="59"/>
      <c r="DH216" s="18"/>
      <c r="DI216" s="59"/>
      <c r="DJ216" s="18"/>
      <c r="DK216" s="59"/>
      <c r="DL216" s="18"/>
      <c r="DM216" s="59"/>
      <c r="DN216" s="18"/>
      <c r="DO216" s="59"/>
      <c r="DP216" s="18"/>
      <c r="DQ216" s="59"/>
      <c r="DR216" s="18"/>
      <c r="DS216" s="59"/>
      <c r="DT216" s="18"/>
      <c r="DU216" s="59"/>
      <c r="DV216" s="18"/>
      <c r="DW216" s="59"/>
      <c r="DX216" s="18"/>
      <c r="DY216" s="59"/>
      <c r="DZ216" s="18"/>
      <c r="EA216" s="59"/>
      <c r="EB216" s="18"/>
      <c r="EC216" s="59"/>
      <c r="ED216" s="18"/>
      <c r="EE216" s="59"/>
      <c r="EF216" s="18"/>
      <c r="EG216" s="59"/>
      <c r="EH216" s="18"/>
      <c r="EI216" s="59"/>
      <c r="EJ216" s="18"/>
      <c r="EK216" s="59"/>
      <c r="EL216" s="18"/>
    </row>
    <row r="217" spans="1:142" s="75" customFormat="1" x14ac:dyDescent="0.2">
      <c r="A217" s="43"/>
      <c r="B217" s="18"/>
      <c r="C217" s="59"/>
      <c r="D217" s="18"/>
      <c r="E217" s="59"/>
      <c r="F217" s="18"/>
      <c r="G217" s="59"/>
      <c r="H217" s="18"/>
      <c r="I217" s="59"/>
      <c r="J217" s="18"/>
      <c r="K217" s="59"/>
      <c r="L217" s="18"/>
      <c r="M217" s="59"/>
      <c r="N217" s="18"/>
      <c r="O217" s="59"/>
      <c r="P217" s="18"/>
      <c r="Q217" s="59"/>
      <c r="R217" s="18"/>
      <c r="S217" s="59"/>
      <c r="T217" s="18"/>
      <c r="U217" s="59"/>
      <c r="V217" s="18"/>
      <c r="W217" s="59"/>
      <c r="X217" s="18"/>
      <c r="Y217" s="59"/>
      <c r="Z217" s="18"/>
      <c r="AA217" s="59"/>
      <c r="AB217" s="18"/>
      <c r="AC217" s="59"/>
      <c r="AD217" s="18"/>
      <c r="AE217" s="59"/>
      <c r="AF217" s="18"/>
      <c r="AG217" s="59"/>
      <c r="AH217" s="18"/>
      <c r="AI217" s="59"/>
      <c r="AJ217" s="18"/>
      <c r="AK217" s="59"/>
      <c r="AL217" s="18"/>
      <c r="AM217" s="59"/>
      <c r="AN217" s="18"/>
      <c r="AO217" s="59"/>
      <c r="AP217" s="18"/>
      <c r="AQ217" s="59"/>
      <c r="AR217" s="18"/>
      <c r="AS217" s="59"/>
      <c r="AT217" s="18"/>
      <c r="AU217" s="59"/>
      <c r="AV217" s="18"/>
      <c r="AW217" s="59"/>
      <c r="AX217" s="18"/>
      <c r="AY217" s="59"/>
      <c r="AZ217" s="18"/>
      <c r="BA217" s="59"/>
      <c r="BB217" s="18"/>
      <c r="BC217" s="59"/>
      <c r="BD217" s="18"/>
      <c r="BE217" s="59"/>
      <c r="BF217" s="18"/>
      <c r="BG217" s="59"/>
      <c r="BH217" s="18"/>
      <c r="BI217" s="59"/>
      <c r="BJ217" s="18"/>
      <c r="BK217" s="59"/>
      <c r="BL217" s="18"/>
      <c r="BM217" s="59"/>
      <c r="BN217" s="18"/>
      <c r="BO217" s="59"/>
      <c r="BP217" s="18"/>
      <c r="BQ217" s="59"/>
      <c r="BR217" s="18"/>
      <c r="BS217" s="59"/>
      <c r="BT217" s="18"/>
      <c r="BU217" s="59"/>
      <c r="BV217" s="18"/>
      <c r="BW217" s="59"/>
      <c r="BX217" s="18"/>
      <c r="BY217" s="59"/>
      <c r="BZ217" s="18"/>
      <c r="CA217" s="59"/>
      <c r="CB217" s="18"/>
      <c r="CC217" s="59"/>
      <c r="CD217" s="18"/>
      <c r="CE217" s="59"/>
      <c r="CF217" s="18"/>
      <c r="CG217" s="59"/>
      <c r="CH217" s="18"/>
      <c r="CI217" s="59"/>
      <c r="CJ217" s="18"/>
      <c r="CK217" s="59"/>
      <c r="CL217" s="18"/>
      <c r="CM217" s="59"/>
      <c r="CN217" s="18"/>
      <c r="CO217" s="59"/>
      <c r="CP217" s="18"/>
      <c r="CQ217" s="59"/>
      <c r="CR217" s="18"/>
      <c r="CS217" s="59"/>
      <c r="CT217" s="18"/>
      <c r="CU217" s="59"/>
      <c r="CV217" s="18"/>
      <c r="CW217" s="59"/>
      <c r="CX217" s="18"/>
      <c r="CY217" s="59"/>
      <c r="CZ217" s="18"/>
      <c r="DA217" s="59"/>
      <c r="DB217" s="18"/>
      <c r="DC217" s="59"/>
      <c r="DD217" s="18"/>
      <c r="DE217" s="59"/>
      <c r="DF217" s="18"/>
      <c r="DG217" s="59"/>
      <c r="DH217" s="18"/>
      <c r="DI217" s="59"/>
      <c r="DJ217" s="18"/>
      <c r="DK217" s="59"/>
      <c r="DL217" s="18"/>
      <c r="DM217" s="59"/>
      <c r="DN217" s="18"/>
      <c r="DO217" s="59"/>
      <c r="DP217" s="18"/>
      <c r="DQ217" s="59"/>
      <c r="DR217" s="18"/>
      <c r="DS217" s="59"/>
      <c r="DT217" s="18"/>
      <c r="DU217" s="59"/>
      <c r="DV217" s="18"/>
      <c r="DW217" s="59"/>
      <c r="DX217" s="18"/>
      <c r="DY217" s="59"/>
      <c r="DZ217" s="18"/>
      <c r="EA217" s="59"/>
      <c r="EB217" s="18"/>
      <c r="EC217" s="59"/>
      <c r="ED217" s="18"/>
      <c r="EE217" s="59"/>
      <c r="EF217" s="18"/>
      <c r="EG217" s="59"/>
      <c r="EH217" s="18"/>
      <c r="EI217" s="59"/>
      <c r="EJ217" s="18"/>
      <c r="EK217" s="59"/>
      <c r="EL217" s="18"/>
    </row>
    <row r="218" spans="1:142" s="75" customFormat="1" x14ac:dyDescent="0.2">
      <c r="A218" s="43"/>
      <c r="B218" s="18"/>
      <c r="C218" s="59"/>
      <c r="D218" s="18"/>
      <c r="E218" s="59"/>
      <c r="F218" s="18"/>
      <c r="G218" s="59"/>
      <c r="H218" s="18"/>
      <c r="I218" s="59"/>
      <c r="J218" s="18"/>
      <c r="K218" s="59"/>
      <c r="L218" s="18"/>
      <c r="M218" s="59"/>
      <c r="N218" s="18"/>
      <c r="O218" s="59"/>
      <c r="P218" s="18"/>
      <c r="Q218" s="59"/>
      <c r="R218" s="18"/>
      <c r="S218" s="59"/>
      <c r="T218" s="18"/>
      <c r="U218" s="59"/>
      <c r="V218" s="18"/>
      <c r="W218" s="59"/>
      <c r="X218" s="18"/>
      <c r="Y218" s="59"/>
      <c r="Z218" s="18"/>
      <c r="AA218" s="59"/>
      <c r="AB218" s="18"/>
      <c r="AC218" s="59"/>
      <c r="AD218" s="18"/>
      <c r="AE218" s="59"/>
      <c r="AF218" s="18"/>
      <c r="AG218" s="59"/>
      <c r="AH218" s="18"/>
      <c r="AI218" s="59"/>
      <c r="AJ218" s="18"/>
      <c r="AK218" s="59"/>
      <c r="AL218" s="18"/>
      <c r="AM218" s="59"/>
      <c r="AN218" s="18"/>
      <c r="AO218" s="59"/>
      <c r="AP218" s="18"/>
      <c r="AQ218" s="59"/>
      <c r="AR218" s="18"/>
      <c r="AS218" s="59"/>
      <c r="AT218" s="18"/>
      <c r="AU218" s="59"/>
      <c r="AV218" s="18"/>
      <c r="AW218" s="59"/>
      <c r="AX218" s="18"/>
      <c r="AY218" s="59"/>
      <c r="AZ218" s="18"/>
      <c r="BA218" s="59"/>
      <c r="BB218" s="18"/>
      <c r="BC218" s="59"/>
      <c r="BD218" s="18"/>
      <c r="BE218" s="59"/>
      <c r="BF218" s="18"/>
      <c r="BG218" s="59"/>
      <c r="BH218" s="18"/>
      <c r="BI218" s="59"/>
      <c r="BJ218" s="18"/>
      <c r="BK218" s="59"/>
      <c r="BL218" s="18"/>
      <c r="BM218" s="59"/>
      <c r="BN218" s="18"/>
      <c r="BO218" s="59"/>
      <c r="BP218" s="18"/>
      <c r="BQ218" s="59"/>
      <c r="BR218" s="18"/>
      <c r="BS218" s="59"/>
      <c r="BT218" s="18"/>
      <c r="BU218" s="59"/>
      <c r="BV218" s="18"/>
      <c r="BW218" s="59"/>
      <c r="BX218" s="18"/>
      <c r="BY218" s="59"/>
      <c r="BZ218" s="18"/>
      <c r="CA218" s="59"/>
      <c r="CB218" s="18"/>
      <c r="CC218" s="59"/>
      <c r="CD218" s="18"/>
      <c r="CE218" s="59"/>
      <c r="CF218" s="18"/>
      <c r="CG218" s="59"/>
      <c r="CH218" s="18"/>
      <c r="CI218" s="59"/>
      <c r="CJ218" s="18"/>
      <c r="CK218" s="59"/>
      <c r="CL218" s="18"/>
      <c r="CM218" s="59"/>
      <c r="CN218" s="18"/>
      <c r="CO218" s="59"/>
      <c r="CP218" s="18"/>
      <c r="CQ218" s="59"/>
      <c r="CR218" s="18"/>
      <c r="CS218" s="59"/>
      <c r="CT218" s="18"/>
      <c r="CU218" s="59"/>
      <c r="CV218" s="18"/>
      <c r="CW218" s="59"/>
      <c r="CX218" s="18"/>
      <c r="CY218" s="59"/>
      <c r="CZ218" s="18"/>
      <c r="DA218" s="59"/>
      <c r="DB218" s="18"/>
      <c r="DC218" s="59"/>
      <c r="DD218" s="18"/>
      <c r="DE218" s="59"/>
      <c r="DF218" s="18"/>
      <c r="DG218" s="59"/>
      <c r="DH218" s="18"/>
      <c r="DI218" s="59"/>
      <c r="DJ218" s="18"/>
      <c r="DK218" s="59"/>
      <c r="DL218" s="18"/>
      <c r="DM218" s="59"/>
      <c r="DN218" s="18"/>
      <c r="DO218" s="59"/>
      <c r="DP218" s="18"/>
      <c r="DQ218" s="59"/>
      <c r="DR218" s="18"/>
      <c r="DS218" s="59"/>
      <c r="DT218" s="18"/>
      <c r="DU218" s="59"/>
      <c r="DV218" s="18"/>
      <c r="DW218" s="59"/>
      <c r="DX218" s="18"/>
      <c r="DY218" s="59"/>
      <c r="DZ218" s="18"/>
      <c r="EA218" s="59"/>
      <c r="EB218" s="18"/>
      <c r="EC218" s="59"/>
      <c r="ED218" s="18"/>
      <c r="EE218" s="59"/>
      <c r="EF218" s="18"/>
      <c r="EG218" s="59"/>
      <c r="EH218" s="18"/>
      <c r="EI218" s="59"/>
      <c r="EJ218" s="18"/>
      <c r="EK218" s="59"/>
      <c r="EL218" s="18"/>
    </row>
    <row r="219" spans="1:142" s="75" customFormat="1" x14ac:dyDescent="0.2">
      <c r="A219" s="43"/>
      <c r="B219" s="18"/>
      <c r="C219" s="59"/>
      <c r="D219" s="18"/>
      <c r="E219" s="59"/>
      <c r="F219" s="18"/>
      <c r="G219" s="59"/>
      <c r="H219" s="18"/>
      <c r="I219" s="59"/>
      <c r="J219" s="18"/>
      <c r="K219" s="59"/>
      <c r="L219" s="18"/>
      <c r="M219" s="59"/>
      <c r="N219" s="18"/>
      <c r="O219" s="59"/>
      <c r="P219" s="18"/>
      <c r="Q219" s="59"/>
      <c r="R219" s="18"/>
      <c r="S219" s="59"/>
      <c r="T219" s="18"/>
      <c r="U219" s="59"/>
      <c r="V219" s="18"/>
      <c r="W219" s="59"/>
      <c r="X219" s="18"/>
      <c r="Y219" s="59"/>
      <c r="Z219" s="18"/>
      <c r="AA219" s="59"/>
      <c r="AB219" s="18"/>
      <c r="AC219" s="59"/>
      <c r="AD219" s="18"/>
      <c r="AE219" s="59"/>
      <c r="AF219" s="18"/>
      <c r="AG219" s="59"/>
      <c r="AH219" s="18"/>
      <c r="AI219" s="59"/>
      <c r="AJ219" s="18"/>
      <c r="AK219" s="59"/>
      <c r="AL219" s="18"/>
      <c r="AM219" s="59"/>
      <c r="AN219" s="18"/>
      <c r="AO219" s="59"/>
      <c r="AP219" s="18"/>
      <c r="AQ219" s="59"/>
      <c r="AR219" s="18"/>
      <c r="AS219" s="59"/>
      <c r="AT219" s="18"/>
      <c r="AU219" s="59"/>
      <c r="AV219" s="18"/>
      <c r="AW219" s="59"/>
      <c r="AX219" s="18"/>
      <c r="AY219" s="59"/>
      <c r="AZ219" s="18"/>
      <c r="BA219" s="59"/>
      <c r="BB219" s="18"/>
      <c r="BC219" s="59"/>
      <c r="BD219" s="18"/>
      <c r="BE219" s="59"/>
      <c r="BF219" s="18"/>
      <c r="BG219" s="59"/>
      <c r="BH219" s="18"/>
      <c r="BI219" s="59"/>
      <c r="BJ219" s="18"/>
      <c r="BK219" s="59"/>
      <c r="BL219" s="18"/>
      <c r="BM219" s="59"/>
      <c r="BN219" s="18"/>
      <c r="BO219" s="59"/>
      <c r="BP219" s="18"/>
      <c r="BQ219" s="59"/>
      <c r="BR219" s="18"/>
      <c r="BS219" s="59"/>
      <c r="BT219" s="18"/>
      <c r="BU219" s="59"/>
      <c r="BV219" s="18"/>
      <c r="BW219" s="59"/>
      <c r="BX219" s="18"/>
      <c r="BY219" s="59"/>
      <c r="BZ219" s="18"/>
      <c r="CA219" s="59"/>
      <c r="CB219" s="18"/>
      <c r="CC219" s="59"/>
      <c r="CD219" s="18"/>
      <c r="CE219" s="59"/>
      <c r="CF219" s="18"/>
      <c r="CG219" s="59"/>
      <c r="CH219" s="18"/>
      <c r="CI219" s="59"/>
      <c r="CJ219" s="18"/>
      <c r="CK219" s="59"/>
      <c r="CL219" s="18"/>
      <c r="CM219" s="59"/>
      <c r="CN219" s="18"/>
      <c r="CO219" s="59"/>
      <c r="CP219" s="18"/>
      <c r="CQ219" s="59"/>
      <c r="CR219" s="18"/>
      <c r="CS219" s="59"/>
      <c r="CT219" s="18"/>
      <c r="CU219" s="59"/>
      <c r="CV219" s="18"/>
      <c r="CW219" s="59"/>
      <c r="CX219" s="18"/>
      <c r="CY219" s="59"/>
      <c r="CZ219" s="18"/>
      <c r="DA219" s="59"/>
      <c r="DB219" s="18"/>
      <c r="DC219" s="59"/>
      <c r="DD219" s="18"/>
      <c r="DE219" s="59"/>
      <c r="DF219" s="18"/>
      <c r="DG219" s="59"/>
      <c r="DH219" s="18"/>
      <c r="DI219" s="59"/>
      <c r="DJ219" s="18"/>
      <c r="DK219" s="59"/>
      <c r="DL219" s="18"/>
      <c r="DM219" s="59"/>
      <c r="DN219" s="18"/>
      <c r="DO219" s="59"/>
      <c r="DP219" s="18"/>
      <c r="DQ219" s="59"/>
      <c r="DR219" s="18"/>
      <c r="DS219" s="59"/>
      <c r="DT219" s="18"/>
      <c r="DU219" s="59"/>
      <c r="DV219" s="18"/>
      <c r="DW219" s="59"/>
      <c r="DX219" s="18"/>
      <c r="DY219" s="59"/>
      <c r="DZ219" s="18"/>
      <c r="EA219" s="59"/>
      <c r="EB219" s="18"/>
      <c r="EC219" s="59"/>
      <c r="ED219" s="18"/>
      <c r="EE219" s="59"/>
      <c r="EF219" s="18"/>
      <c r="EG219" s="59"/>
      <c r="EH219" s="18"/>
      <c r="EI219" s="59"/>
      <c r="EJ219" s="18"/>
      <c r="EK219" s="59"/>
      <c r="EL219" s="18"/>
    </row>
    <row r="220" spans="1:142" s="75" customFormat="1" x14ac:dyDescent="0.2">
      <c r="A220" s="43"/>
      <c r="B220" s="18"/>
      <c r="C220" s="59"/>
      <c r="D220" s="18"/>
      <c r="E220" s="59"/>
      <c r="F220" s="18"/>
      <c r="G220" s="59"/>
      <c r="H220" s="18"/>
      <c r="I220" s="59"/>
      <c r="J220" s="18"/>
      <c r="K220" s="59"/>
      <c r="L220" s="18"/>
      <c r="M220" s="59"/>
      <c r="N220" s="18"/>
      <c r="O220" s="59"/>
      <c r="P220" s="18"/>
      <c r="Q220" s="59"/>
      <c r="R220" s="18"/>
      <c r="S220" s="59"/>
      <c r="T220" s="18"/>
      <c r="U220" s="59"/>
      <c r="V220" s="18"/>
      <c r="W220" s="59"/>
      <c r="X220" s="18"/>
      <c r="Y220" s="59"/>
      <c r="Z220" s="18"/>
      <c r="AA220" s="59"/>
      <c r="AB220" s="18"/>
      <c r="AC220" s="59"/>
      <c r="AD220" s="18"/>
      <c r="AE220" s="59"/>
      <c r="AF220" s="18"/>
      <c r="AG220" s="59"/>
      <c r="AH220" s="18"/>
      <c r="AI220" s="59"/>
      <c r="AJ220" s="18"/>
      <c r="AK220" s="59"/>
      <c r="AL220" s="18"/>
      <c r="AM220" s="59"/>
      <c r="AN220" s="18"/>
      <c r="AO220" s="59"/>
      <c r="AP220" s="18"/>
      <c r="AQ220" s="59"/>
      <c r="AR220" s="18"/>
      <c r="AS220" s="59"/>
      <c r="AT220" s="18"/>
      <c r="AU220" s="59"/>
      <c r="AV220" s="18"/>
      <c r="AW220" s="59"/>
      <c r="AX220" s="18"/>
      <c r="AY220" s="59"/>
      <c r="AZ220" s="18"/>
      <c r="BA220" s="59"/>
      <c r="BB220" s="18"/>
      <c r="BC220" s="59"/>
      <c r="BD220" s="18"/>
      <c r="BE220" s="59"/>
      <c r="BF220" s="18"/>
      <c r="BG220" s="59"/>
      <c r="BH220" s="18"/>
      <c r="BI220" s="59"/>
      <c r="BJ220" s="18"/>
      <c r="BK220" s="59"/>
      <c r="BL220" s="18"/>
      <c r="BM220" s="59"/>
      <c r="BN220" s="18"/>
      <c r="BO220" s="59"/>
      <c r="BP220" s="18"/>
      <c r="BQ220" s="59"/>
      <c r="BR220" s="18"/>
      <c r="BS220" s="59"/>
      <c r="BT220" s="18"/>
      <c r="BU220" s="59"/>
      <c r="BV220" s="18"/>
      <c r="BW220" s="59"/>
      <c r="BX220" s="18"/>
      <c r="BY220" s="59"/>
      <c r="BZ220" s="18"/>
      <c r="CA220" s="59"/>
      <c r="CB220" s="18"/>
      <c r="CC220" s="59"/>
      <c r="CD220" s="18"/>
      <c r="CE220" s="59"/>
      <c r="CF220" s="18"/>
      <c r="CG220" s="59"/>
      <c r="CH220" s="18"/>
      <c r="CI220" s="59"/>
      <c r="CJ220" s="18"/>
      <c r="CK220" s="59"/>
      <c r="CL220" s="18"/>
      <c r="CM220" s="59"/>
      <c r="CN220" s="18"/>
      <c r="CO220" s="59"/>
      <c r="CP220" s="18"/>
      <c r="CQ220" s="59"/>
      <c r="CR220" s="18"/>
      <c r="CS220" s="59"/>
      <c r="CT220" s="18"/>
      <c r="CU220" s="59"/>
      <c r="CV220" s="18"/>
      <c r="CW220" s="59"/>
      <c r="CX220" s="18"/>
      <c r="CY220" s="59"/>
      <c r="CZ220" s="18"/>
      <c r="DA220" s="59"/>
      <c r="DB220" s="18"/>
      <c r="DC220" s="59"/>
      <c r="DD220" s="18"/>
      <c r="DE220" s="59"/>
      <c r="DF220" s="18"/>
      <c r="DG220" s="59"/>
      <c r="DH220" s="18"/>
      <c r="DI220" s="59"/>
      <c r="DJ220" s="18"/>
      <c r="DK220" s="59"/>
      <c r="DL220" s="18"/>
      <c r="DM220" s="59"/>
      <c r="DN220" s="18"/>
      <c r="DO220" s="59"/>
      <c r="DP220" s="18"/>
      <c r="DQ220" s="59"/>
      <c r="DR220" s="18"/>
      <c r="DS220" s="59"/>
      <c r="DT220" s="18"/>
      <c r="DU220" s="59"/>
      <c r="DV220" s="18"/>
      <c r="DW220" s="59"/>
      <c r="DX220" s="18"/>
      <c r="DY220" s="59"/>
      <c r="DZ220" s="18"/>
      <c r="EA220" s="59"/>
      <c r="EB220" s="18"/>
      <c r="EC220" s="59"/>
      <c r="ED220" s="18"/>
      <c r="EE220" s="59"/>
      <c r="EF220" s="18"/>
      <c r="EG220" s="59"/>
      <c r="EH220" s="18"/>
      <c r="EI220" s="59"/>
      <c r="EJ220" s="18"/>
      <c r="EK220" s="59"/>
      <c r="EL220" s="18"/>
    </row>
    <row r="221" spans="1:142" s="75" customFormat="1" x14ac:dyDescent="0.2">
      <c r="A221" s="43"/>
      <c r="B221" s="18"/>
      <c r="C221" s="59"/>
      <c r="D221" s="18"/>
      <c r="E221" s="59"/>
      <c r="F221" s="18"/>
      <c r="G221" s="59"/>
      <c r="H221" s="18"/>
      <c r="I221" s="59"/>
      <c r="J221" s="18"/>
      <c r="K221" s="59"/>
      <c r="L221" s="18"/>
      <c r="M221" s="59"/>
      <c r="N221" s="18"/>
      <c r="O221" s="59"/>
      <c r="P221" s="18"/>
      <c r="Q221" s="59"/>
      <c r="R221" s="18"/>
      <c r="S221" s="59"/>
      <c r="T221" s="18"/>
      <c r="U221" s="59"/>
      <c r="V221" s="18"/>
      <c r="W221" s="59"/>
      <c r="X221" s="18"/>
      <c r="Y221" s="59"/>
      <c r="Z221" s="18"/>
      <c r="AA221" s="59"/>
      <c r="AB221" s="18"/>
      <c r="AC221" s="59"/>
      <c r="AD221" s="18"/>
      <c r="AE221" s="59"/>
      <c r="AF221" s="18"/>
      <c r="AG221" s="59"/>
      <c r="AH221" s="18"/>
      <c r="AI221" s="59"/>
      <c r="AJ221" s="18"/>
      <c r="AK221" s="59"/>
      <c r="AL221" s="18"/>
      <c r="AM221" s="59"/>
      <c r="AN221" s="18"/>
      <c r="AO221" s="59"/>
      <c r="AP221" s="18"/>
      <c r="AQ221" s="59"/>
      <c r="AR221" s="18"/>
      <c r="AS221" s="59"/>
      <c r="AT221" s="18"/>
      <c r="AU221" s="59"/>
      <c r="AV221" s="18"/>
      <c r="AW221" s="59"/>
      <c r="AX221" s="18"/>
      <c r="AY221" s="59"/>
      <c r="AZ221" s="18"/>
      <c r="BA221" s="59"/>
      <c r="BB221" s="18"/>
      <c r="BC221" s="59"/>
      <c r="BD221" s="18"/>
      <c r="BE221" s="59"/>
      <c r="BF221" s="18"/>
      <c r="BG221" s="59"/>
      <c r="BH221" s="18"/>
      <c r="BI221" s="59"/>
      <c r="BJ221" s="18"/>
      <c r="BK221" s="59"/>
      <c r="BL221" s="18"/>
      <c r="BM221" s="59"/>
      <c r="BN221" s="18"/>
      <c r="BO221" s="59"/>
      <c r="BP221" s="18"/>
      <c r="BQ221" s="59"/>
      <c r="BR221" s="18"/>
      <c r="BS221" s="59"/>
      <c r="BT221" s="18"/>
      <c r="BU221" s="59"/>
      <c r="BV221" s="18"/>
      <c r="BW221" s="59"/>
      <c r="BX221" s="18"/>
      <c r="BY221" s="59"/>
      <c r="BZ221" s="18"/>
      <c r="CA221" s="59"/>
      <c r="CB221" s="18"/>
      <c r="CC221" s="59"/>
      <c r="CD221" s="18"/>
      <c r="CE221" s="59"/>
      <c r="CF221" s="18"/>
      <c r="CG221" s="59"/>
      <c r="CH221" s="18"/>
      <c r="CI221" s="59"/>
      <c r="CJ221" s="18"/>
      <c r="CK221" s="59"/>
      <c r="CL221" s="18"/>
      <c r="CM221" s="59"/>
      <c r="CN221" s="18"/>
      <c r="CO221" s="59"/>
      <c r="CP221" s="18"/>
      <c r="CQ221" s="59"/>
      <c r="CR221" s="18"/>
      <c r="CS221" s="59"/>
      <c r="CT221" s="18"/>
      <c r="CU221" s="59"/>
      <c r="CV221" s="18"/>
      <c r="CW221" s="59"/>
      <c r="CX221" s="18"/>
      <c r="CY221" s="59"/>
      <c r="CZ221" s="18"/>
      <c r="DA221" s="59"/>
      <c r="DB221" s="18"/>
      <c r="DC221" s="59"/>
      <c r="DD221" s="18"/>
      <c r="DE221" s="59"/>
      <c r="DF221" s="18"/>
      <c r="DG221" s="59"/>
      <c r="DH221" s="18"/>
      <c r="DI221" s="59"/>
      <c r="DJ221" s="18"/>
      <c r="DK221" s="59"/>
      <c r="DL221" s="18"/>
      <c r="DM221" s="59"/>
      <c r="DN221" s="18"/>
      <c r="DO221" s="59"/>
      <c r="DP221" s="18"/>
      <c r="DQ221" s="59"/>
      <c r="DR221" s="18"/>
      <c r="DS221" s="59"/>
      <c r="DT221" s="18"/>
      <c r="DU221" s="59"/>
      <c r="DV221" s="18"/>
      <c r="DW221" s="59"/>
      <c r="DX221" s="18"/>
      <c r="DY221" s="59"/>
      <c r="DZ221" s="18"/>
      <c r="EA221" s="59"/>
      <c r="EB221" s="18"/>
      <c r="EC221" s="59"/>
      <c r="ED221" s="18"/>
      <c r="EE221" s="59"/>
      <c r="EF221" s="18"/>
      <c r="EG221" s="59"/>
      <c r="EH221" s="18"/>
      <c r="EI221" s="59"/>
      <c r="EJ221" s="18"/>
      <c r="EK221" s="59"/>
      <c r="EL221" s="18"/>
    </row>
    <row r="222" spans="1:142" s="75" customFormat="1" x14ac:dyDescent="0.2">
      <c r="A222" s="43"/>
      <c r="B222" s="18"/>
      <c r="C222" s="59"/>
      <c r="D222" s="18"/>
      <c r="E222" s="59"/>
      <c r="F222" s="18"/>
      <c r="G222" s="59"/>
      <c r="H222" s="18"/>
      <c r="I222" s="59"/>
      <c r="J222" s="18"/>
      <c r="K222" s="59"/>
      <c r="L222" s="18"/>
      <c r="M222" s="59"/>
      <c r="N222" s="18"/>
      <c r="O222" s="59"/>
      <c r="P222" s="18"/>
      <c r="Q222" s="59"/>
      <c r="R222" s="18"/>
      <c r="S222" s="59"/>
      <c r="T222" s="18"/>
      <c r="U222" s="59"/>
      <c r="V222" s="18"/>
      <c r="W222" s="59"/>
      <c r="X222" s="18"/>
      <c r="Y222" s="59"/>
      <c r="Z222" s="18"/>
      <c r="AA222" s="59"/>
      <c r="AB222" s="18"/>
      <c r="AC222" s="59"/>
      <c r="AD222" s="18"/>
      <c r="AE222" s="59"/>
      <c r="AF222" s="18"/>
      <c r="AG222" s="59"/>
      <c r="AH222" s="18"/>
      <c r="AI222" s="59"/>
      <c r="AJ222" s="18"/>
      <c r="AK222" s="59"/>
      <c r="AL222" s="18"/>
      <c r="AM222" s="59"/>
      <c r="AN222" s="18"/>
      <c r="AO222" s="59"/>
      <c r="AP222" s="18"/>
      <c r="AQ222" s="59"/>
      <c r="AR222" s="18"/>
      <c r="AS222" s="59"/>
      <c r="AT222" s="18"/>
      <c r="AU222" s="59"/>
      <c r="AV222" s="18"/>
      <c r="AW222" s="59"/>
      <c r="AX222" s="18"/>
      <c r="AY222" s="59"/>
      <c r="AZ222" s="18"/>
      <c r="BA222" s="59"/>
      <c r="BB222" s="18"/>
      <c r="BC222" s="59"/>
      <c r="BD222" s="18"/>
      <c r="BE222" s="59"/>
      <c r="BF222" s="18"/>
      <c r="BG222" s="59"/>
      <c r="BH222" s="18"/>
      <c r="BI222" s="59"/>
      <c r="BJ222" s="18"/>
      <c r="BK222" s="59"/>
      <c r="BL222" s="18"/>
      <c r="BM222" s="59"/>
      <c r="BN222" s="18"/>
      <c r="BO222" s="59"/>
      <c r="BP222" s="18"/>
      <c r="BQ222" s="59"/>
      <c r="BR222" s="18"/>
      <c r="BS222" s="59"/>
      <c r="BT222" s="18"/>
      <c r="BU222" s="59"/>
      <c r="BV222" s="18"/>
      <c r="BW222" s="59"/>
      <c r="BX222" s="18"/>
      <c r="BY222" s="59"/>
      <c r="BZ222" s="18"/>
      <c r="CA222" s="59"/>
      <c r="CB222" s="18"/>
      <c r="CC222" s="59"/>
      <c r="CD222" s="18"/>
      <c r="CE222" s="59"/>
      <c r="CF222" s="18"/>
      <c r="CG222" s="59"/>
      <c r="CH222" s="18"/>
      <c r="CI222" s="59"/>
      <c r="CJ222" s="18"/>
      <c r="CK222" s="59"/>
      <c r="CL222" s="18"/>
      <c r="CM222" s="59"/>
      <c r="CN222" s="18"/>
      <c r="CO222" s="59"/>
      <c r="CP222" s="18"/>
      <c r="CQ222" s="59"/>
      <c r="CR222" s="18"/>
      <c r="CS222" s="59"/>
      <c r="CT222" s="18"/>
      <c r="CU222" s="59"/>
      <c r="CV222" s="18"/>
      <c r="CW222" s="59"/>
      <c r="CX222" s="18"/>
      <c r="CY222" s="59"/>
      <c r="CZ222" s="18"/>
      <c r="DA222" s="59"/>
      <c r="DB222" s="18"/>
      <c r="DC222" s="59"/>
      <c r="DD222" s="18"/>
      <c r="DE222" s="59"/>
      <c r="DF222" s="18"/>
      <c r="DG222" s="59"/>
      <c r="DH222" s="18"/>
      <c r="DI222" s="59"/>
      <c r="DJ222" s="18"/>
      <c r="DK222" s="59"/>
      <c r="DL222" s="18"/>
      <c r="DM222" s="59"/>
      <c r="DN222" s="18"/>
      <c r="DO222" s="59"/>
      <c r="DP222" s="18"/>
      <c r="DQ222" s="59"/>
      <c r="DR222" s="18"/>
      <c r="DS222" s="59"/>
      <c r="DT222" s="18"/>
      <c r="DU222" s="59"/>
      <c r="DV222" s="18"/>
      <c r="DW222" s="59"/>
      <c r="DX222" s="18"/>
      <c r="DY222" s="59"/>
      <c r="DZ222" s="18"/>
      <c r="EA222" s="59"/>
      <c r="EB222" s="18"/>
      <c r="EC222" s="59"/>
      <c r="ED222" s="18"/>
      <c r="EE222" s="59"/>
      <c r="EF222" s="18"/>
      <c r="EG222" s="59"/>
      <c r="EH222" s="18"/>
      <c r="EI222" s="59"/>
      <c r="EJ222" s="18"/>
      <c r="EK222" s="59"/>
      <c r="EL222" s="18"/>
    </row>
    <row r="223" spans="1:142" s="75" customFormat="1" x14ac:dyDescent="0.2">
      <c r="A223" s="43"/>
      <c r="B223" s="18"/>
      <c r="C223" s="59"/>
      <c r="D223" s="18"/>
      <c r="E223" s="59"/>
      <c r="F223" s="18"/>
      <c r="G223" s="59"/>
      <c r="H223" s="18"/>
      <c r="I223" s="59"/>
      <c r="J223" s="18"/>
      <c r="K223" s="59"/>
      <c r="L223" s="18"/>
      <c r="M223" s="59"/>
      <c r="N223" s="18"/>
      <c r="O223" s="59"/>
      <c r="P223" s="18"/>
      <c r="Q223" s="59"/>
      <c r="R223" s="18"/>
      <c r="S223" s="59"/>
      <c r="T223" s="18"/>
      <c r="U223" s="59"/>
      <c r="V223" s="18"/>
      <c r="W223" s="59"/>
      <c r="X223" s="18"/>
      <c r="Y223" s="59"/>
      <c r="Z223" s="18"/>
      <c r="AA223" s="59"/>
      <c r="AB223" s="18"/>
      <c r="AC223" s="59"/>
      <c r="AD223" s="18"/>
      <c r="AE223" s="59"/>
      <c r="AF223" s="18"/>
      <c r="AG223" s="59"/>
      <c r="AH223" s="18"/>
      <c r="AI223" s="59"/>
      <c r="AJ223" s="18"/>
      <c r="AK223" s="59"/>
      <c r="AL223" s="18"/>
      <c r="AM223" s="59"/>
      <c r="AN223" s="18"/>
      <c r="AO223" s="59"/>
      <c r="AP223" s="18"/>
      <c r="AQ223" s="59"/>
      <c r="AR223" s="18"/>
      <c r="AS223" s="59"/>
      <c r="AT223" s="18"/>
      <c r="AU223" s="59"/>
      <c r="AV223" s="18"/>
      <c r="AW223" s="59"/>
      <c r="AX223" s="18"/>
      <c r="AY223" s="59"/>
      <c r="AZ223" s="18"/>
      <c r="BA223" s="59"/>
      <c r="BB223" s="18"/>
      <c r="BC223" s="59"/>
      <c r="BD223" s="18"/>
      <c r="BE223" s="59"/>
      <c r="BF223" s="18"/>
      <c r="BG223" s="59"/>
      <c r="BH223" s="18"/>
      <c r="BI223" s="59"/>
      <c r="BJ223" s="18"/>
      <c r="BK223" s="59"/>
      <c r="BL223" s="18"/>
      <c r="BM223" s="59"/>
      <c r="BN223" s="18"/>
      <c r="BO223" s="59"/>
      <c r="BP223" s="18"/>
      <c r="BQ223" s="59"/>
      <c r="BR223" s="18"/>
      <c r="BS223" s="59"/>
      <c r="BT223" s="18"/>
      <c r="BU223" s="59"/>
      <c r="BV223" s="18"/>
      <c r="BW223" s="59"/>
      <c r="BX223" s="18"/>
      <c r="BY223" s="59"/>
      <c r="BZ223" s="18"/>
      <c r="CA223" s="59"/>
      <c r="CB223" s="18"/>
      <c r="CC223" s="59"/>
      <c r="CD223" s="18"/>
      <c r="CE223" s="59"/>
      <c r="CF223" s="18"/>
      <c r="CG223" s="59"/>
      <c r="CH223" s="18"/>
      <c r="CI223" s="59"/>
      <c r="CJ223" s="18"/>
      <c r="CK223" s="59"/>
      <c r="CL223" s="18"/>
      <c r="CM223" s="59"/>
      <c r="CN223" s="18"/>
      <c r="CO223" s="59"/>
      <c r="CP223" s="18"/>
      <c r="CQ223" s="59"/>
      <c r="CR223" s="18"/>
      <c r="CS223" s="59"/>
      <c r="CT223" s="18"/>
      <c r="CU223" s="59"/>
      <c r="CV223" s="18"/>
      <c r="CW223" s="59"/>
      <c r="CX223" s="18"/>
      <c r="CY223" s="59"/>
      <c r="CZ223" s="18"/>
      <c r="DA223" s="59"/>
      <c r="DB223" s="18"/>
      <c r="DC223" s="59"/>
      <c r="DD223" s="18"/>
      <c r="DE223" s="59"/>
      <c r="DF223" s="18"/>
      <c r="DG223" s="59"/>
      <c r="DH223" s="18"/>
      <c r="DI223" s="59"/>
      <c r="DJ223" s="18"/>
      <c r="DK223" s="59"/>
      <c r="DL223" s="18"/>
      <c r="DM223" s="59"/>
      <c r="DN223" s="18"/>
      <c r="DO223" s="59"/>
      <c r="DP223" s="18"/>
      <c r="DQ223" s="59"/>
      <c r="DR223" s="18"/>
      <c r="DS223" s="59"/>
      <c r="DT223" s="18"/>
      <c r="DU223" s="59"/>
      <c r="DV223" s="18"/>
      <c r="DW223" s="59"/>
      <c r="DX223" s="18"/>
      <c r="DY223" s="59"/>
      <c r="DZ223" s="18"/>
      <c r="EA223" s="59"/>
      <c r="EB223" s="18"/>
      <c r="EC223" s="59"/>
      <c r="ED223" s="18"/>
      <c r="EE223" s="59"/>
      <c r="EF223" s="18"/>
      <c r="EG223" s="59"/>
      <c r="EH223" s="18"/>
      <c r="EI223" s="59"/>
      <c r="EJ223" s="18"/>
      <c r="EK223" s="59"/>
      <c r="EL223" s="18"/>
    </row>
    <row r="224" spans="1:142" s="75" customFormat="1" x14ac:dyDescent="0.2">
      <c r="A224" s="43"/>
      <c r="B224" s="18"/>
      <c r="C224" s="59"/>
      <c r="D224" s="18"/>
      <c r="E224" s="59"/>
      <c r="F224" s="18"/>
      <c r="G224" s="59"/>
      <c r="H224" s="18"/>
      <c r="I224" s="59"/>
      <c r="J224" s="18"/>
      <c r="K224" s="59"/>
      <c r="L224" s="18"/>
      <c r="M224" s="59"/>
      <c r="N224" s="18"/>
      <c r="O224" s="59"/>
      <c r="P224" s="18"/>
      <c r="Q224" s="59"/>
      <c r="R224" s="18"/>
      <c r="S224" s="59"/>
      <c r="T224" s="18"/>
      <c r="U224" s="59"/>
      <c r="V224" s="18"/>
      <c r="W224" s="59"/>
      <c r="X224" s="18"/>
      <c r="Y224" s="59"/>
      <c r="Z224" s="18"/>
      <c r="AA224" s="59"/>
      <c r="AB224" s="18"/>
      <c r="AC224" s="59"/>
      <c r="AD224" s="18"/>
      <c r="AE224" s="59"/>
      <c r="AF224" s="18"/>
      <c r="AG224" s="59"/>
      <c r="AH224" s="18"/>
      <c r="AI224" s="59"/>
      <c r="AJ224" s="18"/>
      <c r="AK224" s="59"/>
      <c r="AL224" s="18"/>
      <c r="AM224" s="59"/>
      <c r="AN224" s="18"/>
      <c r="AO224" s="59"/>
      <c r="AP224" s="18"/>
      <c r="AQ224" s="59"/>
      <c r="AR224" s="18"/>
      <c r="AS224" s="59"/>
      <c r="AT224" s="18"/>
      <c r="AU224" s="59"/>
      <c r="AV224" s="18"/>
      <c r="AW224" s="59"/>
      <c r="AX224" s="18"/>
      <c r="AY224" s="59"/>
      <c r="AZ224" s="18"/>
      <c r="BA224" s="59"/>
      <c r="BB224" s="18"/>
      <c r="BC224" s="59"/>
      <c r="BD224" s="18"/>
      <c r="BE224" s="59"/>
      <c r="BF224" s="18"/>
      <c r="BG224" s="59"/>
      <c r="BH224" s="18"/>
      <c r="BI224" s="59"/>
      <c r="BJ224" s="18"/>
      <c r="BK224" s="59"/>
      <c r="BL224" s="18"/>
      <c r="BM224" s="59"/>
      <c r="BN224" s="18"/>
      <c r="BO224" s="59"/>
      <c r="BP224" s="18"/>
      <c r="BQ224" s="59"/>
      <c r="BR224" s="18"/>
      <c r="BS224" s="59"/>
      <c r="BT224" s="18"/>
      <c r="BU224" s="59"/>
      <c r="BV224" s="18"/>
      <c r="BW224" s="59"/>
      <c r="BX224" s="18"/>
      <c r="BY224" s="59"/>
      <c r="BZ224" s="18"/>
      <c r="CA224" s="59"/>
      <c r="CB224" s="18"/>
      <c r="CC224" s="59"/>
      <c r="CD224" s="18"/>
      <c r="CE224" s="59"/>
      <c r="CF224" s="18"/>
      <c r="CG224" s="59"/>
      <c r="CH224" s="18"/>
      <c r="CI224" s="59"/>
      <c r="CJ224" s="18"/>
      <c r="CK224" s="59"/>
      <c r="CL224" s="18"/>
      <c r="CM224" s="59"/>
      <c r="CN224" s="18"/>
      <c r="CO224" s="59"/>
      <c r="CP224" s="18"/>
      <c r="CQ224" s="59"/>
      <c r="CR224" s="18"/>
      <c r="CS224" s="59"/>
      <c r="CT224" s="18"/>
      <c r="CU224" s="59"/>
      <c r="CV224" s="18"/>
      <c r="CW224" s="59"/>
      <c r="CX224" s="18"/>
      <c r="CY224" s="59"/>
      <c r="CZ224" s="18"/>
      <c r="DA224" s="59"/>
      <c r="DB224" s="18"/>
      <c r="DC224" s="59"/>
      <c r="DD224" s="18"/>
      <c r="DE224" s="59"/>
      <c r="DF224" s="18"/>
      <c r="DG224" s="59"/>
      <c r="DH224" s="18"/>
      <c r="DI224" s="59"/>
      <c r="DJ224" s="18"/>
      <c r="DK224" s="59"/>
      <c r="DL224" s="18"/>
      <c r="DM224" s="59"/>
      <c r="DN224" s="18"/>
      <c r="DO224" s="59"/>
      <c r="DP224" s="18"/>
      <c r="DQ224" s="59"/>
      <c r="DR224" s="18"/>
      <c r="DS224" s="59"/>
      <c r="DT224" s="18"/>
      <c r="DU224" s="59"/>
      <c r="DV224" s="18"/>
      <c r="DW224" s="59"/>
      <c r="DX224" s="18"/>
      <c r="DY224" s="59"/>
      <c r="DZ224" s="18"/>
      <c r="EA224" s="59"/>
      <c r="EB224" s="18"/>
      <c r="EC224" s="59"/>
      <c r="ED224" s="18"/>
      <c r="EE224" s="59"/>
      <c r="EF224" s="18"/>
      <c r="EG224" s="59"/>
      <c r="EH224" s="18"/>
      <c r="EI224" s="59"/>
      <c r="EJ224" s="18"/>
      <c r="EK224" s="59"/>
      <c r="EL224" s="18"/>
    </row>
    <row r="225" spans="1:142" s="75" customFormat="1" x14ac:dyDescent="0.2">
      <c r="A225" s="43"/>
      <c r="B225" s="18"/>
      <c r="C225" s="59"/>
      <c r="D225" s="18"/>
      <c r="E225" s="59"/>
      <c r="F225" s="18"/>
      <c r="G225" s="59"/>
      <c r="H225" s="18"/>
      <c r="I225" s="59"/>
      <c r="J225" s="18"/>
      <c r="K225" s="59"/>
      <c r="L225" s="18"/>
      <c r="M225" s="59"/>
      <c r="N225" s="18"/>
      <c r="O225" s="59"/>
      <c r="P225" s="18"/>
      <c r="Q225" s="59"/>
      <c r="R225" s="18"/>
      <c r="S225" s="59"/>
      <c r="T225" s="18"/>
      <c r="U225" s="59"/>
      <c r="V225" s="18"/>
      <c r="W225" s="59"/>
      <c r="X225" s="18"/>
      <c r="Y225" s="59"/>
      <c r="Z225" s="18"/>
      <c r="AA225" s="59"/>
      <c r="AB225" s="18"/>
      <c r="AC225" s="59"/>
      <c r="AD225" s="18"/>
      <c r="AE225" s="59"/>
      <c r="AF225" s="18"/>
      <c r="AG225" s="59"/>
      <c r="AH225" s="18"/>
      <c r="AI225" s="59"/>
      <c r="AJ225" s="18"/>
      <c r="AK225" s="59"/>
      <c r="AL225" s="18"/>
      <c r="AM225" s="59"/>
      <c r="AN225" s="18"/>
      <c r="AO225" s="59"/>
      <c r="AP225" s="18"/>
      <c r="AQ225" s="59"/>
      <c r="AR225" s="18"/>
      <c r="AS225" s="59"/>
      <c r="AT225" s="18"/>
      <c r="AU225" s="59"/>
      <c r="AV225" s="18"/>
      <c r="AW225" s="59"/>
      <c r="AX225" s="18"/>
      <c r="AY225" s="59"/>
      <c r="AZ225" s="18"/>
      <c r="BA225" s="59"/>
      <c r="BB225" s="18"/>
      <c r="BC225" s="59"/>
      <c r="BD225" s="18"/>
      <c r="BE225" s="59"/>
      <c r="BF225" s="18"/>
      <c r="BG225" s="59"/>
      <c r="BH225" s="18"/>
      <c r="BI225" s="59"/>
      <c r="BJ225" s="18"/>
      <c r="BK225" s="59"/>
      <c r="BL225" s="18"/>
      <c r="BM225" s="59"/>
      <c r="BN225" s="18"/>
      <c r="BO225" s="59"/>
      <c r="BP225" s="18"/>
      <c r="BQ225" s="59"/>
      <c r="BR225" s="18"/>
      <c r="BS225" s="59"/>
      <c r="BT225" s="18"/>
      <c r="BU225" s="59"/>
      <c r="BV225" s="18"/>
      <c r="BW225" s="59"/>
      <c r="BX225" s="18"/>
      <c r="BY225" s="59"/>
      <c r="BZ225" s="18"/>
      <c r="CA225" s="59"/>
      <c r="CB225" s="18"/>
      <c r="CC225" s="59"/>
      <c r="CD225" s="18"/>
      <c r="CE225" s="59"/>
      <c r="CF225" s="18"/>
      <c r="CG225" s="59"/>
      <c r="CH225" s="18"/>
      <c r="CI225" s="59"/>
      <c r="CJ225" s="18"/>
      <c r="CK225" s="59"/>
      <c r="CL225" s="18"/>
      <c r="CM225" s="59"/>
      <c r="CN225" s="18"/>
      <c r="CO225" s="59"/>
      <c r="CP225" s="18"/>
      <c r="CQ225" s="59"/>
      <c r="CR225" s="18"/>
      <c r="CS225" s="59"/>
      <c r="CT225" s="18"/>
      <c r="CU225" s="59"/>
      <c r="CV225" s="18"/>
      <c r="CW225" s="59"/>
      <c r="CX225" s="18"/>
      <c r="CY225" s="59"/>
      <c r="CZ225" s="18"/>
      <c r="DA225" s="59"/>
      <c r="DB225" s="18"/>
      <c r="DC225" s="59"/>
      <c r="DD225" s="18"/>
      <c r="DE225" s="59"/>
      <c r="DF225" s="18"/>
      <c r="DG225" s="59"/>
      <c r="DH225" s="18"/>
      <c r="DI225" s="59"/>
      <c r="DJ225" s="18"/>
      <c r="DK225" s="59"/>
      <c r="DL225" s="18"/>
      <c r="DM225" s="59"/>
      <c r="DN225" s="18"/>
      <c r="DO225" s="59"/>
      <c r="DP225" s="18"/>
      <c r="DQ225" s="59"/>
      <c r="DR225" s="18"/>
      <c r="DS225" s="59"/>
      <c r="DT225" s="18"/>
      <c r="DU225" s="59"/>
      <c r="DV225" s="18"/>
      <c r="DW225" s="59"/>
      <c r="DX225" s="18"/>
      <c r="DY225" s="59"/>
      <c r="DZ225" s="18"/>
      <c r="EA225" s="59"/>
      <c r="EB225" s="18"/>
      <c r="EC225" s="59"/>
      <c r="ED225" s="18"/>
      <c r="EE225" s="59"/>
      <c r="EF225" s="18"/>
      <c r="EG225" s="59"/>
      <c r="EH225" s="18"/>
      <c r="EI225" s="59"/>
      <c r="EJ225" s="18"/>
      <c r="EK225" s="59"/>
      <c r="EL225" s="18"/>
    </row>
    <row r="226" spans="1:142" s="75" customFormat="1" x14ac:dyDescent="0.2">
      <c r="A226" s="43"/>
      <c r="B226" s="18"/>
      <c r="C226" s="59"/>
      <c r="D226" s="18"/>
      <c r="E226" s="59"/>
      <c r="F226" s="18"/>
      <c r="G226" s="59"/>
      <c r="H226" s="18"/>
      <c r="I226" s="59"/>
      <c r="J226" s="18"/>
      <c r="K226" s="59"/>
      <c r="L226" s="18"/>
      <c r="M226" s="59"/>
      <c r="N226" s="18"/>
      <c r="O226" s="59"/>
      <c r="P226" s="18"/>
      <c r="Q226" s="59"/>
      <c r="R226" s="18"/>
      <c r="S226" s="59"/>
      <c r="T226" s="18"/>
      <c r="U226" s="59"/>
      <c r="V226" s="18"/>
      <c r="W226" s="59"/>
      <c r="X226" s="18"/>
      <c r="Y226" s="59"/>
      <c r="Z226" s="18"/>
      <c r="AA226" s="59"/>
      <c r="AB226" s="18"/>
      <c r="AC226" s="59"/>
      <c r="AD226" s="18"/>
      <c r="AE226" s="59"/>
      <c r="AF226" s="18"/>
      <c r="AG226" s="59"/>
      <c r="AH226" s="18"/>
      <c r="AI226" s="59"/>
      <c r="AJ226" s="18"/>
      <c r="AK226" s="59"/>
      <c r="AL226" s="18"/>
      <c r="AM226" s="59"/>
      <c r="AN226" s="18"/>
      <c r="AO226" s="59"/>
      <c r="AP226" s="18"/>
      <c r="AQ226" s="59"/>
      <c r="AR226" s="18"/>
      <c r="AS226" s="59"/>
      <c r="AT226" s="18"/>
      <c r="AU226" s="59"/>
      <c r="AV226" s="18"/>
      <c r="AW226" s="59"/>
      <c r="AX226" s="18"/>
      <c r="AY226" s="59"/>
      <c r="AZ226" s="18"/>
      <c r="BA226" s="59"/>
      <c r="BB226" s="18"/>
      <c r="BC226" s="59"/>
      <c r="BD226" s="18"/>
      <c r="BE226" s="59"/>
      <c r="BF226" s="18"/>
      <c r="BG226" s="59"/>
      <c r="BH226" s="18"/>
      <c r="BI226" s="59"/>
      <c r="BJ226" s="18"/>
      <c r="BK226" s="59"/>
      <c r="BL226" s="18"/>
      <c r="BM226" s="59"/>
      <c r="BN226" s="18"/>
      <c r="BO226" s="59"/>
      <c r="BP226" s="18"/>
      <c r="BQ226" s="59"/>
      <c r="BR226" s="18"/>
      <c r="BS226" s="59"/>
      <c r="BT226" s="18"/>
      <c r="BU226" s="59"/>
      <c r="BV226" s="18"/>
      <c r="BW226" s="59"/>
      <c r="BX226" s="18"/>
      <c r="BY226" s="59"/>
      <c r="BZ226" s="18"/>
      <c r="CA226" s="59"/>
      <c r="CB226" s="18"/>
      <c r="CC226" s="59"/>
      <c r="CD226" s="18"/>
      <c r="CE226" s="59"/>
      <c r="CF226" s="18"/>
      <c r="CG226" s="59"/>
      <c r="CH226" s="18"/>
      <c r="CI226" s="59"/>
      <c r="CJ226" s="18"/>
      <c r="CK226" s="59"/>
      <c r="CL226" s="18"/>
      <c r="CM226" s="59"/>
      <c r="CN226" s="18"/>
      <c r="CO226" s="59"/>
      <c r="CP226" s="18"/>
      <c r="CQ226" s="59"/>
      <c r="CR226" s="18"/>
      <c r="CS226" s="59"/>
      <c r="CT226" s="18"/>
      <c r="CU226" s="59"/>
      <c r="CV226" s="18"/>
      <c r="CW226" s="59"/>
      <c r="CX226" s="18"/>
      <c r="CY226" s="59"/>
      <c r="CZ226" s="18"/>
      <c r="DA226" s="59"/>
      <c r="DB226" s="18"/>
      <c r="DC226" s="59"/>
      <c r="DD226" s="18"/>
      <c r="DE226" s="59"/>
      <c r="DF226" s="18"/>
      <c r="DG226" s="59"/>
      <c r="DH226" s="18"/>
      <c r="DI226" s="59"/>
      <c r="DJ226" s="18"/>
      <c r="DK226" s="59"/>
      <c r="DL226" s="18"/>
      <c r="DM226" s="59"/>
      <c r="DN226" s="18"/>
      <c r="DO226" s="59"/>
      <c r="DP226" s="18"/>
      <c r="DQ226" s="59"/>
      <c r="DR226" s="18"/>
      <c r="DS226" s="59"/>
      <c r="DT226" s="18"/>
      <c r="DU226" s="59"/>
      <c r="DV226" s="18"/>
      <c r="DW226" s="59"/>
      <c r="DX226" s="18"/>
      <c r="DY226" s="59"/>
      <c r="DZ226" s="18"/>
      <c r="EA226" s="59"/>
      <c r="EB226" s="18"/>
      <c r="EC226" s="59"/>
      <c r="ED226" s="18"/>
      <c r="EE226" s="59"/>
      <c r="EF226" s="18"/>
      <c r="EG226" s="59"/>
      <c r="EH226" s="18"/>
      <c r="EI226" s="59"/>
      <c r="EJ226" s="18"/>
      <c r="EK226" s="59"/>
      <c r="EL226" s="18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87"/>
  <sheetViews>
    <sheetView zoomScale="110" zoomScaleNormal="110" workbookViewId="0">
      <pane xSplit="1" ySplit="1" topLeftCell="AS2" activePane="bottomRight" state="frozen"/>
      <selection pane="topRight" activeCell="B1" sqref="B1"/>
      <selection pane="bottomLeft" activeCell="A2" sqref="A2"/>
      <selection pane="bottomRight" activeCell="BD2" sqref="BD2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4.5703125" bestFit="1" customWidth="1"/>
    <col min="8" max="8" width="13.42578125" bestFit="1" customWidth="1"/>
    <col min="9" max="9" width="12.28515625" bestFit="1" customWidth="1"/>
    <col min="10" max="10" width="13.42578125" bestFit="1" customWidth="1"/>
    <col min="12" max="12" width="13.42578125" bestFit="1" customWidth="1"/>
    <col min="14" max="14" width="13.140625" bestFit="1" customWidth="1"/>
    <col min="16" max="16" width="13.42578125" bestFit="1" customWidth="1"/>
    <col min="18" max="18" width="14.85546875" bestFit="1" customWidth="1"/>
    <col min="20" max="20" width="14.5703125" bestFit="1" customWidth="1"/>
    <col min="22" max="22" width="13.140625" bestFit="1" customWidth="1"/>
    <col min="24" max="24" width="14.5703125" bestFit="1" customWidth="1"/>
    <col min="28" max="28" width="13.5703125" bestFit="1" customWidth="1"/>
    <col min="30" max="30" width="13.42578125" bestFit="1" customWidth="1"/>
    <col min="32" max="32" width="14.5703125" customWidth="1"/>
    <col min="34" max="34" width="13.85546875" bestFit="1" customWidth="1"/>
    <col min="35" max="35" width="13.140625" bestFit="1" customWidth="1"/>
    <col min="36" max="36" width="14.85546875" customWidth="1"/>
    <col min="38" max="38" width="13.5703125" bestFit="1" customWidth="1"/>
    <col min="40" max="40" width="13.42578125" bestFit="1" customWidth="1"/>
    <col min="42" max="42" width="15.28515625" bestFit="1" customWidth="1"/>
    <col min="44" max="44" width="13.85546875" bestFit="1" customWidth="1"/>
    <col min="46" max="46" width="13.7109375" customWidth="1"/>
    <col min="48" max="48" width="13" bestFit="1" customWidth="1"/>
    <col min="50" max="50" width="13.85546875" bestFit="1" customWidth="1"/>
    <col min="52" max="52" width="12.7109375" bestFit="1" customWidth="1"/>
    <col min="54" max="54" width="13.85546875" bestFit="1" customWidth="1"/>
    <col min="56" max="56" width="13.85546875" bestFit="1" customWidth="1"/>
    <col min="58" max="58" width="13.85546875" bestFit="1" customWidth="1"/>
    <col min="59" max="59" width="12.7109375" bestFit="1" customWidth="1"/>
    <col min="60" max="60" width="13.85546875" bestFit="1" customWidth="1"/>
    <col min="62" max="62" width="13.85546875" bestFit="1" customWidth="1"/>
    <col min="64" max="64" width="13.140625" bestFit="1" customWidth="1"/>
    <col min="65" max="65" width="11.5703125" bestFit="1" customWidth="1"/>
    <col min="66" max="66" width="13.42578125" bestFit="1" customWidth="1"/>
    <col min="68" max="68" width="13.42578125" bestFit="1" customWidth="1"/>
    <col min="70" max="70" width="15.28515625" bestFit="1" customWidth="1"/>
  </cols>
  <sheetData>
    <row r="1" spans="1:96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x14ac:dyDescent="0.25">
      <c r="A2" s="47"/>
      <c r="B2" s="142">
        <v>43010</v>
      </c>
      <c r="C2" s="142"/>
      <c r="D2" s="141">
        <v>43011</v>
      </c>
      <c r="E2" s="142"/>
      <c r="F2" s="141">
        <v>43012</v>
      </c>
      <c r="G2" s="142"/>
      <c r="H2" s="141">
        <v>43013</v>
      </c>
      <c r="I2" s="142"/>
      <c r="J2" s="141">
        <v>43014</v>
      </c>
      <c r="K2" s="142"/>
      <c r="L2" s="141">
        <v>43015</v>
      </c>
      <c r="M2" s="142"/>
      <c r="N2" s="141">
        <v>43017</v>
      </c>
      <c r="O2" s="142"/>
      <c r="P2" s="141">
        <v>42988</v>
      </c>
      <c r="Q2" s="142"/>
      <c r="R2" s="141">
        <v>43019</v>
      </c>
      <c r="S2" s="142"/>
      <c r="T2" s="141">
        <v>43020</v>
      </c>
      <c r="U2" s="142"/>
      <c r="V2" s="141">
        <v>43021</v>
      </c>
      <c r="W2" s="142"/>
      <c r="X2" s="141">
        <v>43022</v>
      </c>
      <c r="Y2" s="142"/>
      <c r="Z2" s="274">
        <v>43023</v>
      </c>
      <c r="AA2" s="142"/>
      <c r="AB2" s="141">
        <v>43024</v>
      </c>
      <c r="AC2" s="142"/>
      <c r="AD2" s="141">
        <v>43025</v>
      </c>
      <c r="AE2" s="142"/>
      <c r="AF2" s="141">
        <v>43026</v>
      </c>
      <c r="AG2" s="142"/>
      <c r="AH2" s="141">
        <v>43027</v>
      </c>
      <c r="AI2" s="142"/>
      <c r="AJ2" s="141">
        <v>43028</v>
      </c>
      <c r="AK2" s="142"/>
      <c r="AL2" s="141">
        <v>43029</v>
      </c>
      <c r="AM2" s="142"/>
      <c r="AN2" s="141">
        <v>43031</v>
      </c>
      <c r="AO2" s="142"/>
      <c r="AP2" s="141">
        <v>43032</v>
      </c>
      <c r="AQ2" s="142"/>
      <c r="AR2" s="141">
        <v>43033</v>
      </c>
      <c r="AS2" s="142"/>
      <c r="AT2" s="141">
        <v>43034</v>
      </c>
      <c r="AU2" s="142"/>
      <c r="AV2" s="141">
        <v>43035</v>
      </c>
      <c r="AW2" s="142"/>
      <c r="AX2" s="141">
        <v>43036</v>
      </c>
      <c r="AY2" s="142"/>
      <c r="AZ2" s="141">
        <v>43038</v>
      </c>
      <c r="BA2" s="142"/>
      <c r="BB2" s="141">
        <v>43039</v>
      </c>
      <c r="BC2" s="142"/>
      <c r="BD2" s="141"/>
      <c r="BE2" s="142"/>
      <c r="BF2" s="141"/>
      <c r="BG2" s="142"/>
      <c r="BH2" s="141"/>
      <c r="BI2" s="142"/>
      <c r="BJ2" s="141"/>
      <c r="BK2" s="142"/>
      <c r="BL2" s="231"/>
      <c r="BM2" s="232"/>
      <c r="BN2" s="231"/>
      <c r="BO2" s="232"/>
      <c r="BP2" s="231"/>
      <c r="BQ2" s="232"/>
      <c r="BR2" s="231"/>
      <c r="BS2" s="232"/>
      <c r="BT2" s="231"/>
      <c r="BU2" s="232"/>
      <c r="BV2" s="231"/>
      <c r="BW2" s="232"/>
      <c r="BX2" s="231"/>
      <c r="BY2" s="232"/>
      <c r="BZ2" s="231"/>
      <c r="CA2" s="232"/>
      <c r="CB2" s="231"/>
      <c r="CC2" s="232"/>
      <c r="CD2" s="231"/>
      <c r="CE2" s="232"/>
      <c r="CF2" s="231"/>
      <c r="CG2" s="232"/>
      <c r="CH2" s="65"/>
      <c r="CI2" s="233"/>
      <c r="CJ2" s="65"/>
      <c r="CK2" s="233"/>
      <c r="CL2" s="65"/>
      <c r="CM2" s="233"/>
      <c r="CN2" s="65"/>
      <c r="CO2" s="233"/>
      <c r="CP2" s="65"/>
      <c r="CQ2" s="233"/>
      <c r="CR2" s="65"/>
    </row>
    <row r="3" spans="1:96" x14ac:dyDescent="0.25">
      <c r="A3" s="38" t="s">
        <v>0</v>
      </c>
      <c r="B3" s="98">
        <v>18835.29</v>
      </c>
      <c r="C3" s="15"/>
      <c r="D3" s="143">
        <v>17473.060000000001</v>
      </c>
      <c r="E3" s="15"/>
      <c r="F3" s="143">
        <v>5689.54</v>
      </c>
      <c r="G3" s="15"/>
      <c r="H3" s="143">
        <v>114011.07</v>
      </c>
      <c r="I3" s="15"/>
      <c r="J3" s="143">
        <v>43986.29</v>
      </c>
      <c r="K3" s="15"/>
      <c r="L3" s="143">
        <v>19471.14</v>
      </c>
      <c r="M3" s="15"/>
      <c r="N3" s="143">
        <v>41490.9</v>
      </c>
      <c r="O3" s="15"/>
      <c r="P3" s="143">
        <v>247483.73</v>
      </c>
      <c r="Q3" s="15"/>
      <c r="R3" s="143">
        <v>125044.13</v>
      </c>
      <c r="S3" s="15"/>
      <c r="T3" s="143">
        <v>8764.3700000000008</v>
      </c>
      <c r="U3" s="15"/>
      <c r="V3" s="143">
        <v>261443.08</v>
      </c>
      <c r="W3" s="15"/>
      <c r="X3" s="143">
        <v>104009.51</v>
      </c>
      <c r="Y3" s="15"/>
      <c r="Z3" s="256">
        <v>500</v>
      </c>
      <c r="AA3" s="15"/>
      <c r="AB3" s="143">
        <v>26013.39</v>
      </c>
      <c r="AC3" s="15"/>
      <c r="AD3" s="98">
        <v>35600.71</v>
      </c>
      <c r="AE3" s="15"/>
      <c r="AF3" s="143">
        <v>11447.87</v>
      </c>
      <c r="AG3" s="15"/>
      <c r="AH3" s="143">
        <v>26015.83</v>
      </c>
      <c r="AI3" s="15"/>
      <c r="AJ3" s="143">
        <v>114640.07</v>
      </c>
      <c r="AK3" s="15"/>
      <c r="AL3" s="143">
        <v>113034.68</v>
      </c>
      <c r="AM3" s="15"/>
      <c r="AN3" s="143">
        <v>22994.91</v>
      </c>
      <c r="AO3" s="15"/>
      <c r="AP3" s="143">
        <v>12811.03</v>
      </c>
      <c r="AQ3" s="15"/>
      <c r="AR3" s="143">
        <v>300165.15999999997</v>
      </c>
      <c r="AS3" s="15"/>
      <c r="AT3" s="143">
        <v>116034.6</v>
      </c>
      <c r="AU3" s="15"/>
      <c r="AV3" s="143">
        <v>79941.070000000007</v>
      </c>
      <c r="AW3" s="15"/>
      <c r="AX3" s="143">
        <v>122915.64</v>
      </c>
      <c r="AY3" s="15"/>
      <c r="AZ3" s="143">
        <v>34074.51</v>
      </c>
      <c r="BA3" s="15"/>
      <c r="BB3" s="143">
        <v>158824.42000000001</v>
      </c>
      <c r="BC3" s="15"/>
      <c r="BD3" s="143"/>
      <c r="BE3" s="15"/>
      <c r="BF3" s="143"/>
      <c r="BG3" s="15"/>
      <c r="BH3" s="98"/>
      <c r="BI3" s="15"/>
      <c r="BJ3" s="143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</row>
    <row r="4" spans="1:96" x14ac:dyDescent="0.25">
      <c r="A4" s="39"/>
      <c r="B4" s="98">
        <v>121924.59</v>
      </c>
      <c r="C4" s="15"/>
      <c r="D4" s="98">
        <v>266222.84000000003</v>
      </c>
      <c r="E4" s="15"/>
      <c r="F4" s="98">
        <v>76676.91</v>
      </c>
      <c r="G4" s="15"/>
      <c r="H4" s="98">
        <v>81141.87</v>
      </c>
      <c r="I4" s="15"/>
      <c r="J4" s="98">
        <v>21556.05</v>
      </c>
      <c r="K4" s="15"/>
      <c r="L4" s="98"/>
      <c r="M4" s="15"/>
      <c r="N4" s="98">
        <v>239580.79999999999</v>
      </c>
      <c r="O4" s="15"/>
      <c r="P4" s="98">
        <v>10978.57</v>
      </c>
      <c r="Q4" s="15"/>
      <c r="R4" s="98">
        <v>26276.44</v>
      </c>
      <c r="S4" s="15"/>
      <c r="T4" s="98">
        <v>127612.57</v>
      </c>
      <c r="U4" s="15"/>
      <c r="V4" s="98">
        <v>24170.41</v>
      </c>
      <c r="W4" s="15"/>
      <c r="X4" s="98"/>
      <c r="Y4" s="15"/>
      <c r="Z4" s="273"/>
      <c r="AA4" s="15"/>
      <c r="AB4" s="98">
        <v>12204.21</v>
      </c>
      <c r="AC4" s="15"/>
      <c r="AD4" s="98">
        <v>31518</v>
      </c>
      <c r="AE4" s="15"/>
      <c r="AF4" s="98">
        <v>48307.4</v>
      </c>
      <c r="AG4" s="15"/>
      <c r="AH4" s="98">
        <v>29756.11</v>
      </c>
      <c r="AI4" s="15"/>
      <c r="AJ4" s="98">
        <v>4408.01</v>
      </c>
      <c r="AK4" s="15"/>
      <c r="AL4" s="98"/>
      <c r="AM4" s="15"/>
      <c r="AN4" s="98">
        <v>8075.16</v>
      </c>
      <c r="AO4" s="15"/>
      <c r="AP4" s="98">
        <v>198591.48</v>
      </c>
      <c r="AQ4" s="15"/>
      <c r="AR4" s="98">
        <v>225873.65</v>
      </c>
      <c r="AS4" s="15"/>
      <c r="AT4" s="98">
        <v>16726.259999999998</v>
      </c>
      <c r="AU4" s="15"/>
      <c r="AV4" s="98">
        <v>136757.13</v>
      </c>
      <c r="AW4" s="15"/>
      <c r="AX4" s="98"/>
      <c r="AY4" s="15"/>
      <c r="AZ4" s="98">
        <v>17062.16</v>
      </c>
      <c r="BA4" s="15"/>
      <c r="BB4" s="98">
        <v>68231.03</v>
      </c>
      <c r="BC4" s="15"/>
      <c r="BD4" s="98"/>
      <c r="BE4" s="15"/>
      <c r="BF4" s="98"/>
      <c r="BG4" s="15"/>
      <c r="BH4" s="98"/>
      <c r="BI4" s="15"/>
      <c r="BJ4" s="98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</row>
    <row r="5" spans="1:96" x14ac:dyDescent="0.25">
      <c r="A5" s="48"/>
      <c r="B5" s="18"/>
      <c r="C5" s="59"/>
      <c r="D5" s="18"/>
      <c r="E5" s="59"/>
      <c r="F5" s="18"/>
      <c r="G5" s="59"/>
      <c r="H5" s="75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75"/>
      <c r="Y5" s="59"/>
      <c r="Z5" s="59"/>
      <c r="AA5" s="59"/>
      <c r="AB5" s="18"/>
      <c r="AC5" s="59"/>
      <c r="AD5" s="18"/>
      <c r="AE5" s="59"/>
      <c r="AF5" s="18"/>
      <c r="AG5" s="59"/>
      <c r="AH5" s="18"/>
      <c r="AI5" s="59"/>
      <c r="AJ5" s="18"/>
      <c r="AK5" s="59"/>
      <c r="AL5" s="18"/>
      <c r="AM5" s="59"/>
      <c r="AN5" s="75"/>
      <c r="AO5" s="25"/>
      <c r="AP5" s="75"/>
      <c r="AQ5" s="59"/>
      <c r="AR5" s="75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18"/>
      <c r="BK5" s="59"/>
      <c r="BL5" s="75"/>
      <c r="BM5" s="25"/>
      <c r="BN5" s="75"/>
      <c r="BO5" s="25"/>
      <c r="BP5" s="75"/>
      <c r="BQ5" s="25"/>
      <c r="BR5" s="75"/>
      <c r="BS5" s="25"/>
      <c r="BT5" s="75"/>
      <c r="BU5" s="25"/>
      <c r="BV5" s="75"/>
      <c r="BW5" s="25"/>
      <c r="BX5" s="75"/>
      <c r="BY5" s="25"/>
      <c r="BZ5" s="75"/>
      <c r="CA5" s="25"/>
      <c r="CB5" s="75"/>
      <c r="CC5" s="25"/>
      <c r="CD5" s="75"/>
      <c r="CE5" s="25"/>
      <c r="CF5" s="75"/>
      <c r="CG5" s="25"/>
      <c r="CH5" s="76"/>
      <c r="CI5" s="234"/>
      <c r="CJ5" s="76"/>
      <c r="CK5" s="234"/>
      <c r="CL5" s="76"/>
      <c r="CM5" s="234"/>
      <c r="CN5" s="76"/>
      <c r="CO5" s="234"/>
      <c r="CP5" s="76"/>
      <c r="CQ5" s="234"/>
      <c r="CR5" s="76"/>
    </row>
    <row r="6" spans="1:96" x14ac:dyDescent="0.25">
      <c r="A6" s="41"/>
      <c r="B6" s="9">
        <v>278.33999999999997</v>
      </c>
      <c r="C6" s="15" t="s">
        <v>11738</v>
      </c>
      <c r="D6" s="9">
        <v>1000</v>
      </c>
      <c r="E6" s="15" t="s">
        <v>11783</v>
      </c>
      <c r="F6" s="9">
        <v>510.96</v>
      </c>
      <c r="G6" s="15" t="s">
        <v>11837</v>
      </c>
      <c r="H6" s="9">
        <v>18500</v>
      </c>
      <c r="I6" s="15" t="s">
        <v>11849</v>
      </c>
      <c r="J6" s="9">
        <v>40000</v>
      </c>
      <c r="K6" s="15" t="s">
        <v>11954</v>
      </c>
      <c r="L6" s="9">
        <v>1169</v>
      </c>
      <c r="M6" s="15" t="s">
        <v>12027</v>
      </c>
      <c r="N6" s="9">
        <v>1451.93</v>
      </c>
      <c r="O6" s="15" t="s">
        <v>12001</v>
      </c>
      <c r="P6" s="9">
        <v>240000</v>
      </c>
      <c r="Q6" s="15" t="s">
        <v>12082</v>
      </c>
      <c r="R6" s="9">
        <v>120000</v>
      </c>
      <c r="S6" s="15" t="s">
        <v>12129</v>
      </c>
      <c r="T6" s="9">
        <v>328.34</v>
      </c>
      <c r="U6" s="15" t="s">
        <v>12180</v>
      </c>
      <c r="V6" s="9">
        <v>3981.19</v>
      </c>
      <c r="W6" s="15" t="s">
        <v>12220</v>
      </c>
      <c r="X6" s="9">
        <v>72900</v>
      </c>
      <c r="Y6" s="15" t="s">
        <v>12275</v>
      </c>
      <c r="Z6" s="15">
        <v>500</v>
      </c>
      <c r="AA6" s="15" t="s">
        <v>12630</v>
      </c>
      <c r="AB6" s="9">
        <v>2540.88</v>
      </c>
      <c r="AC6" s="15" t="s">
        <v>12310</v>
      </c>
      <c r="AD6" s="9">
        <v>2740</v>
      </c>
      <c r="AE6" s="15" t="s">
        <v>12359</v>
      </c>
      <c r="AF6" s="72">
        <v>721.35</v>
      </c>
      <c r="AG6" s="86" t="s">
        <v>12425</v>
      </c>
      <c r="AH6" s="72">
        <v>20000</v>
      </c>
      <c r="AI6" s="86" t="s">
        <v>12445</v>
      </c>
      <c r="AJ6" s="9">
        <v>10000</v>
      </c>
      <c r="AK6" s="15" t="s">
        <v>12546</v>
      </c>
      <c r="AL6" s="72">
        <v>5000</v>
      </c>
      <c r="AM6" s="15" t="s">
        <v>12631</v>
      </c>
      <c r="AN6" s="9">
        <v>1092.49</v>
      </c>
      <c r="AO6" s="15" t="s">
        <v>12593</v>
      </c>
      <c r="AP6" s="9">
        <v>83</v>
      </c>
      <c r="AQ6" s="26" t="s">
        <v>12703</v>
      </c>
      <c r="AR6" s="9"/>
      <c r="AS6" s="15"/>
      <c r="AT6" s="9"/>
      <c r="AU6" s="15"/>
      <c r="AV6" s="9"/>
      <c r="AW6" s="15"/>
      <c r="AX6" s="9"/>
      <c r="AY6" s="15"/>
      <c r="AZ6" s="9"/>
      <c r="BA6" s="15"/>
      <c r="BB6" s="9"/>
      <c r="BC6" s="15"/>
      <c r="BD6" s="7"/>
      <c r="BE6" s="26"/>
      <c r="BF6" s="9"/>
      <c r="BG6" s="15"/>
      <c r="BH6" s="9"/>
      <c r="BI6" s="26"/>
      <c r="BJ6" s="7"/>
      <c r="BK6" s="26"/>
      <c r="BL6" s="9"/>
      <c r="BM6" s="15"/>
      <c r="BN6" s="9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  <c r="CO6" s="15"/>
      <c r="CP6" s="9"/>
      <c r="CQ6" s="15"/>
      <c r="CR6" s="9"/>
    </row>
    <row r="7" spans="1:96" x14ac:dyDescent="0.25">
      <c r="A7" s="41"/>
      <c r="B7" s="9">
        <v>5000</v>
      </c>
      <c r="C7" s="15" t="s">
        <v>11740</v>
      </c>
      <c r="D7" s="7">
        <v>1237.43</v>
      </c>
      <c r="E7" s="26" t="s">
        <v>11785</v>
      </c>
      <c r="F7" s="9">
        <v>2040</v>
      </c>
      <c r="G7" s="26" t="s">
        <v>11840</v>
      </c>
      <c r="H7" s="9">
        <v>80000</v>
      </c>
      <c r="I7" s="15" t="s">
        <v>11857</v>
      </c>
      <c r="J7" s="9">
        <v>1169.01</v>
      </c>
      <c r="K7" s="26" t="s">
        <v>11956</v>
      </c>
      <c r="L7" s="7">
        <v>800</v>
      </c>
      <c r="M7" s="26" t="s">
        <v>12028</v>
      </c>
      <c r="N7" s="7">
        <v>218.92</v>
      </c>
      <c r="O7" s="26" t="s">
        <v>12002</v>
      </c>
      <c r="P7" s="9">
        <v>2739.25</v>
      </c>
      <c r="Q7" s="26" t="s">
        <v>12083</v>
      </c>
      <c r="R7" s="9">
        <v>404.12</v>
      </c>
      <c r="S7" s="26" t="s">
        <v>12132</v>
      </c>
      <c r="T7" s="7">
        <v>464</v>
      </c>
      <c r="U7" s="26" t="s">
        <v>12185</v>
      </c>
      <c r="V7" s="9">
        <v>242322.9</v>
      </c>
      <c r="W7" s="26" t="s">
        <v>12223</v>
      </c>
      <c r="X7" s="9">
        <v>1225.6400000000001</v>
      </c>
      <c r="Y7" s="26" t="s">
        <v>12252</v>
      </c>
      <c r="Z7" s="26"/>
      <c r="AA7" s="26"/>
      <c r="AB7" s="9">
        <v>9058.0400000000009</v>
      </c>
      <c r="AC7" s="26" t="s">
        <v>12311</v>
      </c>
      <c r="AD7" s="9">
        <v>2368.96</v>
      </c>
      <c r="AE7" s="15" t="s">
        <v>12360</v>
      </c>
      <c r="AF7" s="72">
        <v>522</v>
      </c>
      <c r="AG7" s="86" t="s">
        <v>12426</v>
      </c>
      <c r="AH7" s="72">
        <v>2065.0100000000002</v>
      </c>
      <c r="AI7" s="86" t="s">
        <v>12455</v>
      </c>
      <c r="AJ7" s="9">
        <v>10000</v>
      </c>
      <c r="AK7" s="15" t="s">
        <v>12547</v>
      </c>
      <c r="AL7" s="72">
        <v>1000</v>
      </c>
      <c r="AM7" s="26" t="s">
        <v>12636</v>
      </c>
      <c r="AN7" s="9">
        <v>9205.17</v>
      </c>
      <c r="AO7" s="15" t="s">
        <v>12597</v>
      </c>
      <c r="AP7" s="9">
        <v>5000</v>
      </c>
      <c r="AQ7" s="15" t="s">
        <v>12704</v>
      </c>
      <c r="AR7" s="9">
        <v>1149.78</v>
      </c>
      <c r="AS7" s="26" t="s">
        <v>12735</v>
      </c>
      <c r="AT7" s="9">
        <v>80000</v>
      </c>
      <c r="AU7" s="26" t="s">
        <v>12855</v>
      </c>
      <c r="AV7" s="72">
        <v>60.08</v>
      </c>
      <c r="AW7" s="24" t="s">
        <v>12814</v>
      </c>
      <c r="AX7" s="7">
        <v>944.14</v>
      </c>
      <c r="AY7" s="26" t="s">
        <v>12947</v>
      </c>
      <c r="AZ7" s="7">
        <v>17200</v>
      </c>
      <c r="BA7" s="26" t="s">
        <v>12912</v>
      </c>
      <c r="BB7" s="7">
        <v>20000</v>
      </c>
      <c r="BC7" s="26" t="s">
        <v>13000</v>
      </c>
      <c r="BD7" s="9"/>
      <c r="BE7" s="15"/>
      <c r="BF7" s="9"/>
      <c r="BG7" s="26"/>
      <c r="BH7" s="9"/>
      <c r="BI7" s="26"/>
      <c r="BJ7" s="9"/>
      <c r="BK7" s="15"/>
      <c r="BL7" s="9"/>
      <c r="BM7" s="15"/>
      <c r="BN7" s="9"/>
      <c r="BO7" s="15"/>
      <c r="BP7" s="9"/>
      <c r="BQ7" s="15"/>
      <c r="BR7" s="9"/>
      <c r="BS7" s="15"/>
      <c r="BT7" s="9"/>
      <c r="BU7" s="15"/>
      <c r="BV7" s="9"/>
      <c r="BW7" s="15"/>
      <c r="BX7" s="9"/>
      <c r="BY7" s="15"/>
      <c r="BZ7" s="9"/>
      <c r="CA7" s="15"/>
      <c r="CB7" s="9"/>
      <c r="CC7" s="15"/>
      <c r="CD7" s="9"/>
      <c r="CE7" s="15"/>
      <c r="CF7" s="9"/>
      <c r="CG7" s="15"/>
      <c r="CH7" s="9"/>
      <c r="CI7" s="15"/>
      <c r="CJ7" s="9"/>
      <c r="CK7" s="15"/>
      <c r="CL7" s="9"/>
      <c r="CM7" s="15"/>
      <c r="CN7" s="9"/>
      <c r="CO7" s="15"/>
      <c r="CP7" s="9"/>
      <c r="CQ7" s="15"/>
      <c r="CR7" s="9"/>
    </row>
    <row r="8" spans="1:96" x14ac:dyDescent="0.25">
      <c r="A8" s="41"/>
      <c r="B8" s="120">
        <v>175</v>
      </c>
      <c r="C8" s="15" t="s">
        <v>11741</v>
      </c>
      <c r="D8" s="7">
        <v>1169</v>
      </c>
      <c r="E8" s="26" t="s">
        <v>11788</v>
      </c>
      <c r="F8" s="9">
        <v>1099.01</v>
      </c>
      <c r="G8" s="26" t="s">
        <v>11841</v>
      </c>
      <c r="H8" s="9">
        <v>253.27</v>
      </c>
      <c r="I8" s="15" t="s">
        <v>11859</v>
      </c>
      <c r="J8" s="9">
        <v>1169</v>
      </c>
      <c r="K8" s="26" t="s">
        <v>11959</v>
      </c>
      <c r="L8" s="7">
        <v>1000</v>
      </c>
      <c r="M8" s="26" t="s">
        <v>12030</v>
      </c>
      <c r="N8" s="7">
        <v>34000</v>
      </c>
      <c r="O8" s="26" t="s">
        <v>12004</v>
      </c>
      <c r="P8" s="9">
        <v>506.46</v>
      </c>
      <c r="Q8" s="26" t="s">
        <v>12091</v>
      </c>
      <c r="R8" s="9">
        <v>3471.01</v>
      </c>
      <c r="S8" s="26" t="s">
        <v>12136</v>
      </c>
      <c r="T8" s="7">
        <v>4535.01</v>
      </c>
      <c r="U8" s="26" t="s">
        <v>12193</v>
      </c>
      <c r="V8" s="9">
        <v>10000</v>
      </c>
      <c r="W8" s="15" t="s">
        <v>12224</v>
      </c>
      <c r="X8" s="9">
        <v>3320</v>
      </c>
      <c r="Y8" s="15" t="s">
        <v>12291</v>
      </c>
      <c r="Z8" s="15"/>
      <c r="AA8" s="15"/>
      <c r="AB8" s="7">
        <v>1621.69</v>
      </c>
      <c r="AC8" s="26" t="s">
        <v>12315</v>
      </c>
      <c r="AD8" s="9">
        <v>500</v>
      </c>
      <c r="AE8" s="26" t="s">
        <v>12362</v>
      </c>
      <c r="AF8" s="72">
        <v>3320</v>
      </c>
      <c r="AG8" s="13" t="s">
        <v>12427</v>
      </c>
      <c r="AH8" s="72">
        <v>278.39999999999998</v>
      </c>
      <c r="AI8" s="86" t="s">
        <v>12457</v>
      </c>
      <c r="AJ8" s="9">
        <v>10000</v>
      </c>
      <c r="AK8" s="15" t="s">
        <v>12548</v>
      </c>
      <c r="AL8" s="72">
        <v>1623.21</v>
      </c>
      <c r="AM8" s="26" t="s">
        <v>12637</v>
      </c>
      <c r="AN8" s="9">
        <v>2040</v>
      </c>
      <c r="AO8" s="15" t="s">
        <v>12606</v>
      </c>
      <c r="AP8" s="9">
        <v>100</v>
      </c>
      <c r="AQ8" s="15" t="s">
        <v>12717</v>
      </c>
      <c r="AR8" s="9">
        <v>557.67999999999995</v>
      </c>
      <c r="AS8" s="26" t="s">
        <v>12736</v>
      </c>
      <c r="AT8" s="9">
        <v>1000</v>
      </c>
      <c r="AU8" s="26" t="s">
        <v>12858</v>
      </c>
      <c r="AV8" s="9">
        <v>1084.95</v>
      </c>
      <c r="AW8" s="15" t="s">
        <v>12813</v>
      </c>
      <c r="AX8" s="7">
        <v>2598.2600000000002</v>
      </c>
      <c r="AY8" s="26" t="s">
        <v>12949</v>
      </c>
      <c r="AZ8" s="7">
        <v>2167.48</v>
      </c>
      <c r="BA8" s="26" t="s">
        <v>12920</v>
      </c>
      <c r="BB8" s="7">
        <v>464</v>
      </c>
      <c r="BC8" s="26" t="s">
        <v>13001</v>
      </c>
      <c r="BD8" s="7"/>
      <c r="BE8" s="26"/>
      <c r="BF8" s="9"/>
      <c r="BG8" s="26"/>
      <c r="BH8" s="9"/>
      <c r="BI8" s="26"/>
      <c r="BJ8" s="7"/>
      <c r="BK8" s="26"/>
      <c r="BL8" s="9"/>
      <c r="BM8" s="15"/>
      <c r="BN8" s="9"/>
      <c r="BO8" s="15"/>
      <c r="BP8" s="9"/>
      <c r="BQ8" s="15"/>
      <c r="BR8" s="9"/>
      <c r="BS8" s="15"/>
      <c r="BT8" s="9"/>
      <c r="BU8" s="15"/>
      <c r="BV8" s="9"/>
      <c r="BW8" s="15"/>
      <c r="BX8" s="9"/>
      <c r="BY8" s="15"/>
      <c r="BZ8" s="9"/>
      <c r="CA8" s="15"/>
      <c r="CB8" s="9"/>
      <c r="CC8" s="15"/>
      <c r="CD8" s="9"/>
      <c r="CE8" s="15"/>
      <c r="CF8" s="9"/>
      <c r="CG8" s="15"/>
      <c r="CH8" s="9"/>
      <c r="CI8" s="15"/>
      <c r="CJ8" s="9"/>
      <c r="CK8" s="15"/>
      <c r="CL8" s="9"/>
      <c r="CM8" s="15"/>
      <c r="CN8" s="9"/>
      <c r="CO8" s="15"/>
      <c r="CP8" s="9"/>
      <c r="CQ8" s="15"/>
      <c r="CR8" s="9"/>
    </row>
    <row r="9" spans="1:96" x14ac:dyDescent="0.25">
      <c r="A9" s="41"/>
      <c r="B9" s="9">
        <v>3000</v>
      </c>
      <c r="C9" s="15" t="s">
        <v>11745</v>
      </c>
      <c r="D9" s="9">
        <v>6000</v>
      </c>
      <c r="E9" s="15" t="s">
        <v>11789</v>
      </c>
      <c r="F9" s="9">
        <v>1099.01</v>
      </c>
      <c r="G9" s="15" t="s">
        <v>11843</v>
      </c>
      <c r="H9" s="9">
        <v>2531</v>
      </c>
      <c r="I9" s="15" t="s">
        <v>11861</v>
      </c>
      <c r="J9" s="9">
        <v>1363.34</v>
      </c>
      <c r="K9" s="15" t="s">
        <v>11965</v>
      </c>
      <c r="L9" s="9">
        <v>3250.01</v>
      </c>
      <c r="M9" s="15" t="s">
        <v>12032</v>
      </c>
      <c r="N9" s="9">
        <v>1931.77</v>
      </c>
      <c r="O9" s="15" t="s">
        <v>12010</v>
      </c>
      <c r="P9" s="9">
        <v>1099.01</v>
      </c>
      <c r="Q9" s="15" t="s">
        <v>12093</v>
      </c>
      <c r="R9" s="9">
        <v>1169</v>
      </c>
      <c r="S9" s="15" t="s">
        <v>12140</v>
      </c>
      <c r="T9" s="9">
        <v>1169</v>
      </c>
      <c r="U9" s="15" t="s">
        <v>12194</v>
      </c>
      <c r="V9" s="9">
        <v>1970</v>
      </c>
      <c r="W9" s="15" t="s">
        <v>12229</v>
      </c>
      <c r="X9" s="9">
        <v>4395.01</v>
      </c>
      <c r="Y9" s="15" t="s">
        <v>12293</v>
      </c>
      <c r="Z9" s="15"/>
      <c r="AA9" s="15"/>
      <c r="AB9" s="9">
        <v>5503.05</v>
      </c>
      <c r="AC9" s="26" t="s">
        <v>12316</v>
      </c>
      <c r="AD9" s="9">
        <v>5100.3500000000004</v>
      </c>
      <c r="AE9" s="15" t="s">
        <v>12363</v>
      </c>
      <c r="AF9" s="72">
        <v>1970</v>
      </c>
      <c r="AG9" s="85" t="s">
        <v>12428</v>
      </c>
      <c r="AH9" s="72">
        <v>1970</v>
      </c>
      <c r="AI9" s="86" t="s">
        <v>12458</v>
      </c>
      <c r="AJ9" s="9">
        <v>35137.25</v>
      </c>
      <c r="AK9" s="15" t="s">
        <v>12550</v>
      </c>
      <c r="AL9" s="72">
        <v>80137.25</v>
      </c>
      <c r="AM9" s="15" t="s">
        <v>12638</v>
      </c>
      <c r="AN9" s="9">
        <v>4747.37</v>
      </c>
      <c r="AO9" s="15" t="s">
        <v>12611</v>
      </c>
      <c r="AP9" s="9">
        <v>1169.01</v>
      </c>
      <c r="AQ9" s="26" t="s">
        <v>12720</v>
      </c>
      <c r="AR9" s="9">
        <v>240322.9</v>
      </c>
      <c r="AS9" s="15" t="s">
        <v>12737</v>
      </c>
      <c r="AT9" s="9">
        <v>14821.61</v>
      </c>
      <c r="AU9" s="15" t="s">
        <v>12860</v>
      </c>
      <c r="AV9" s="7">
        <v>60000</v>
      </c>
      <c r="AW9" s="26" t="s">
        <v>12823</v>
      </c>
      <c r="AX9" s="9">
        <v>5838.92</v>
      </c>
      <c r="AY9" s="15" t="s">
        <v>12952</v>
      </c>
      <c r="AZ9" s="9">
        <v>7400</v>
      </c>
      <c r="BA9" s="15" t="s">
        <v>12921</v>
      </c>
      <c r="BB9" s="9">
        <v>8206.5409999999993</v>
      </c>
      <c r="BC9" s="15" t="s">
        <v>13003</v>
      </c>
      <c r="BD9" s="9"/>
      <c r="BE9" s="15"/>
      <c r="BF9" s="72"/>
      <c r="BG9" s="24"/>
      <c r="BH9" s="9"/>
      <c r="BI9" s="26"/>
      <c r="BJ9" s="9"/>
      <c r="BK9" s="15"/>
      <c r="BL9" s="9"/>
      <c r="BM9" s="15"/>
      <c r="BN9" s="9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  <c r="CO9" s="15"/>
      <c r="CP9" s="9"/>
      <c r="CQ9" s="15"/>
      <c r="CR9" s="9"/>
    </row>
    <row r="10" spans="1:96" x14ac:dyDescent="0.25">
      <c r="A10" s="41"/>
      <c r="B10" s="9">
        <v>1169.01</v>
      </c>
      <c r="C10" s="15" t="s">
        <v>11747</v>
      </c>
      <c r="D10" s="7">
        <v>3320</v>
      </c>
      <c r="E10" s="26" t="s">
        <v>11790</v>
      </c>
      <c r="F10" s="9">
        <f>1970-1100-400-443</f>
        <v>27</v>
      </c>
      <c r="G10" s="26" t="s">
        <v>11846</v>
      </c>
      <c r="H10" s="9">
        <v>302.01</v>
      </c>
      <c r="I10" s="15" t="s">
        <v>11865</v>
      </c>
      <c r="J10" s="9">
        <v>284.94</v>
      </c>
      <c r="K10" s="26" t="s">
        <v>11966</v>
      </c>
      <c r="L10" s="7">
        <v>1099.01</v>
      </c>
      <c r="M10" s="26" t="s">
        <v>12033</v>
      </c>
      <c r="N10" s="7">
        <v>1548.66</v>
      </c>
      <c r="O10" s="26" t="s">
        <v>12011</v>
      </c>
      <c r="P10" s="9">
        <v>1099.01</v>
      </c>
      <c r="Q10" s="26" t="s">
        <v>12096</v>
      </c>
      <c r="R10" s="9"/>
      <c r="S10" s="26"/>
      <c r="T10" s="7">
        <v>1099.01</v>
      </c>
      <c r="U10" s="26" t="s">
        <v>12196</v>
      </c>
      <c r="V10" s="9">
        <v>3168.99</v>
      </c>
      <c r="W10" s="26" t="s">
        <v>12231</v>
      </c>
      <c r="X10" s="9">
        <v>1169.01</v>
      </c>
      <c r="Y10" s="26" t="s">
        <v>12294</v>
      </c>
      <c r="Z10" s="26"/>
      <c r="AA10" s="26"/>
      <c r="AB10" s="9">
        <v>232</v>
      </c>
      <c r="AC10" s="26" t="s">
        <v>12319</v>
      </c>
      <c r="AD10" s="9">
        <v>1169.01</v>
      </c>
      <c r="AE10" s="26" t="s">
        <v>12367</v>
      </c>
      <c r="AF10" s="72">
        <v>4168.99</v>
      </c>
      <c r="AG10" s="86" t="s">
        <v>12429</v>
      </c>
      <c r="AH10" s="72">
        <v>92.87</v>
      </c>
      <c r="AI10" s="86" t="s">
        <v>12461</v>
      </c>
      <c r="AJ10" s="9">
        <v>1615.81</v>
      </c>
      <c r="AK10" s="15" t="s">
        <v>12554</v>
      </c>
      <c r="AL10" s="72">
        <v>100</v>
      </c>
      <c r="AM10" s="26" t="s">
        <v>12640</v>
      </c>
      <c r="AN10" s="9">
        <v>1969.99</v>
      </c>
      <c r="AO10" s="15" t="s">
        <v>12612</v>
      </c>
      <c r="AP10" s="9">
        <v>2040.01</v>
      </c>
      <c r="AQ10" s="26" t="s">
        <v>12721</v>
      </c>
      <c r="AR10" s="9">
        <v>50000</v>
      </c>
      <c r="AS10" s="26" t="s">
        <v>12738</v>
      </c>
      <c r="AT10" s="9">
        <v>3319.99</v>
      </c>
      <c r="AU10" s="26" t="s">
        <v>12864</v>
      </c>
      <c r="AV10" s="7">
        <v>200</v>
      </c>
      <c r="AW10" s="26" t="s">
        <v>12826</v>
      </c>
      <c r="AX10" s="7">
        <v>305.75</v>
      </c>
      <c r="AY10" s="26" t="s">
        <v>12953</v>
      </c>
      <c r="AZ10" s="9">
        <v>1099</v>
      </c>
      <c r="BA10" s="26" t="s">
        <v>12923</v>
      </c>
      <c r="BB10" s="7">
        <v>300</v>
      </c>
      <c r="BC10" s="26" t="s">
        <v>13004</v>
      </c>
      <c r="BD10" s="9"/>
      <c r="BE10" s="15"/>
      <c r="BF10" s="9"/>
      <c r="BG10" s="26"/>
      <c r="BH10" s="9"/>
      <c r="BI10" s="26"/>
      <c r="BJ10" s="9"/>
      <c r="BK10" s="15"/>
      <c r="BL10" s="9"/>
      <c r="BM10" s="15"/>
      <c r="BN10" s="9"/>
      <c r="BO10" s="15"/>
      <c r="BP10" s="9"/>
      <c r="BQ10" s="15"/>
      <c r="BR10" s="9"/>
      <c r="BS10" s="15"/>
      <c r="BT10" s="9"/>
      <c r="BU10" s="15"/>
      <c r="BV10" s="9"/>
      <c r="BW10" s="15"/>
      <c r="BX10" s="9"/>
      <c r="BY10" s="15"/>
      <c r="BZ10" s="9"/>
      <c r="CA10" s="15"/>
      <c r="CB10" s="9"/>
      <c r="CC10" s="15"/>
      <c r="CD10" s="9"/>
      <c r="CE10" s="15"/>
      <c r="CF10" s="9"/>
      <c r="CG10" s="15"/>
      <c r="CH10" s="9"/>
      <c r="CI10" s="15"/>
      <c r="CJ10" s="9"/>
      <c r="CK10" s="15"/>
      <c r="CL10" s="9"/>
      <c r="CM10" s="15"/>
      <c r="CN10" s="9"/>
      <c r="CO10" s="15"/>
      <c r="CP10" s="9"/>
      <c r="CQ10" s="15"/>
      <c r="CR10" s="9"/>
    </row>
    <row r="11" spans="1:96" x14ac:dyDescent="0.25">
      <c r="A11" s="41"/>
      <c r="B11" s="9">
        <v>1169</v>
      </c>
      <c r="C11" s="15" t="s">
        <v>11748</v>
      </c>
      <c r="D11" s="7">
        <v>1161.42</v>
      </c>
      <c r="E11" s="7" t="s">
        <v>11792</v>
      </c>
      <c r="F11" s="9">
        <v>912.86</v>
      </c>
      <c r="G11" s="26" t="s">
        <v>11847</v>
      </c>
      <c r="H11" s="9">
        <v>1169</v>
      </c>
      <c r="I11" s="15" t="s">
        <v>11866</v>
      </c>
      <c r="J11" s="9"/>
      <c r="K11" s="26"/>
      <c r="L11" s="7">
        <v>1099.01</v>
      </c>
      <c r="M11" s="26" t="s">
        <v>12036</v>
      </c>
      <c r="N11" s="7">
        <v>85.84</v>
      </c>
      <c r="O11" s="26" t="s">
        <v>12013</v>
      </c>
      <c r="P11" s="9">
        <v>2040</v>
      </c>
      <c r="Q11" s="26" t="s">
        <v>12097</v>
      </c>
      <c r="R11" s="9">
        <v>894.41</v>
      </c>
      <c r="S11" s="26" t="s">
        <v>12142</v>
      </c>
      <c r="T11" s="7">
        <v>1169.01</v>
      </c>
      <c r="U11" s="26" t="s">
        <v>12198</v>
      </c>
      <c r="V11" s="9"/>
      <c r="W11" s="15"/>
      <c r="X11" s="9">
        <v>4216</v>
      </c>
      <c r="Y11" s="26" t="s">
        <v>12296</v>
      </c>
      <c r="Z11" s="26"/>
      <c r="AA11" s="26"/>
      <c r="AB11" s="9">
        <v>1169</v>
      </c>
      <c r="AC11" s="26" t="s">
        <v>12321</v>
      </c>
      <c r="AD11" s="9">
        <v>2040.01</v>
      </c>
      <c r="AE11" s="26" t="s">
        <v>12368</v>
      </c>
      <c r="AF11" s="24">
        <v>729.52</v>
      </c>
      <c r="AG11" s="85" t="s">
        <v>12433</v>
      </c>
      <c r="AH11" s="72">
        <v>1609.55</v>
      </c>
      <c r="AI11" s="86" t="s">
        <v>12463</v>
      </c>
      <c r="AJ11" s="72">
        <v>31004.58</v>
      </c>
      <c r="AK11" s="15" t="s">
        <v>12557</v>
      </c>
      <c r="AL11" s="72">
        <v>500</v>
      </c>
      <c r="AM11" s="26" t="s">
        <v>12641</v>
      </c>
      <c r="AN11" s="9">
        <v>1099.01</v>
      </c>
      <c r="AO11" s="15" t="s">
        <v>12613</v>
      </c>
      <c r="AP11" s="9">
        <v>1169.01</v>
      </c>
      <c r="AQ11" s="26" t="s">
        <v>12723</v>
      </c>
      <c r="AR11" s="9">
        <v>450.92</v>
      </c>
      <c r="AS11" s="26" t="s">
        <v>12740</v>
      </c>
      <c r="AT11" s="9">
        <v>2665.99</v>
      </c>
      <c r="AU11" s="15" t="s">
        <v>12867</v>
      </c>
      <c r="AV11" s="7">
        <v>1624</v>
      </c>
      <c r="AW11" s="26" t="s">
        <v>12829</v>
      </c>
      <c r="AX11" s="9">
        <v>97000</v>
      </c>
      <c r="AY11" s="26" t="s">
        <v>12955</v>
      </c>
      <c r="AZ11" s="9">
        <v>2040.01</v>
      </c>
      <c r="BA11" s="26" t="s">
        <v>12933</v>
      </c>
      <c r="BB11" s="7">
        <v>25000</v>
      </c>
      <c r="BC11" s="26" t="s">
        <v>13007</v>
      </c>
      <c r="BD11" s="7"/>
      <c r="BE11" s="26"/>
      <c r="BF11" s="9"/>
      <c r="BG11" s="15"/>
      <c r="BH11" s="9"/>
      <c r="BI11" s="26"/>
      <c r="BJ11" s="9"/>
      <c r="BK11" s="15"/>
      <c r="BL11" s="9"/>
      <c r="BM11" s="15"/>
      <c r="BN11" s="9"/>
      <c r="BO11" s="15"/>
      <c r="BP11" s="9"/>
      <c r="BQ11" s="15"/>
      <c r="BR11" s="9"/>
      <c r="BS11" s="15"/>
      <c r="BT11" s="9"/>
      <c r="BU11" s="15"/>
      <c r="BV11" s="9"/>
      <c r="BW11" s="15"/>
      <c r="BX11" s="9"/>
      <c r="BY11" s="15"/>
      <c r="BZ11" s="9"/>
      <c r="CA11" s="15"/>
      <c r="CB11" s="9"/>
      <c r="CC11" s="15"/>
      <c r="CD11" s="9"/>
      <c r="CE11" s="15"/>
      <c r="CF11" s="9"/>
      <c r="CG11" s="15"/>
      <c r="CH11" s="9"/>
      <c r="CI11" s="15"/>
      <c r="CJ11" s="9"/>
      <c r="CK11" s="15"/>
      <c r="CL11" s="9"/>
      <c r="CM11" s="15"/>
      <c r="CN11" s="9"/>
      <c r="CO11" s="15"/>
      <c r="CP11" s="9"/>
      <c r="CQ11" s="15"/>
      <c r="CR11" s="9"/>
    </row>
    <row r="12" spans="1:96" x14ac:dyDescent="0.25">
      <c r="A12" s="41"/>
      <c r="B12" s="9">
        <v>2464.14</v>
      </c>
      <c r="C12" s="15" t="s">
        <v>11749</v>
      </c>
      <c r="D12" s="9">
        <v>1099.01</v>
      </c>
      <c r="E12" s="15" t="s">
        <v>11795</v>
      </c>
      <c r="F12" s="9">
        <v>0.7</v>
      </c>
      <c r="G12" s="15" t="s">
        <v>11848</v>
      </c>
      <c r="H12" s="9">
        <v>1169</v>
      </c>
      <c r="I12" s="15" t="s">
        <v>11869</v>
      </c>
      <c r="J12" s="9">
        <v>399</v>
      </c>
      <c r="K12" s="15" t="s">
        <v>11967</v>
      </c>
      <c r="L12" s="9">
        <v>2040</v>
      </c>
      <c r="M12" s="15" t="s">
        <v>12037</v>
      </c>
      <c r="N12" s="9">
        <v>852.77</v>
      </c>
      <c r="O12" s="15" t="s">
        <v>12014</v>
      </c>
      <c r="P12" s="9"/>
      <c r="Q12" s="15"/>
      <c r="R12" s="9">
        <v>5000</v>
      </c>
      <c r="S12" s="15" t="s">
        <v>12149</v>
      </c>
      <c r="T12" s="9"/>
      <c r="U12" s="15"/>
      <c r="V12" s="9">
        <v>1000</v>
      </c>
      <c r="W12" s="15" t="s">
        <v>12232</v>
      </c>
      <c r="X12" s="9">
        <v>2936.01</v>
      </c>
      <c r="Y12" s="15" t="s">
        <v>12297</v>
      </c>
      <c r="Z12" s="15"/>
      <c r="AA12" s="15"/>
      <c r="AB12" s="9">
        <v>5390</v>
      </c>
      <c r="AC12" s="26" t="s">
        <v>12326</v>
      </c>
      <c r="AD12" s="9">
        <v>9269.0300000000007</v>
      </c>
      <c r="AE12" s="26" t="s">
        <v>12370</v>
      </c>
      <c r="AF12" s="72">
        <v>16.010000000000002</v>
      </c>
      <c r="AG12" s="86" t="s">
        <v>12434</v>
      </c>
      <c r="AH12" s="72"/>
      <c r="AI12" s="86"/>
      <c r="AJ12" s="72">
        <v>80.239999999999995</v>
      </c>
      <c r="AK12" s="15" t="s">
        <v>12559</v>
      </c>
      <c r="AL12" s="72">
        <v>351.98</v>
      </c>
      <c r="AM12" s="85" t="s">
        <v>12642</v>
      </c>
      <c r="AN12" s="9">
        <v>232</v>
      </c>
      <c r="AO12" s="15" t="s">
        <v>12617</v>
      </c>
      <c r="AP12" s="9">
        <v>3250</v>
      </c>
      <c r="AQ12" s="15" t="s">
        <v>12726</v>
      </c>
      <c r="AR12" s="9">
        <v>709.02</v>
      </c>
      <c r="AS12" s="15" t="s">
        <v>12741</v>
      </c>
      <c r="AT12" s="9">
        <v>1099</v>
      </c>
      <c r="AU12" s="15" t="s">
        <v>12868</v>
      </c>
      <c r="AV12" s="7">
        <v>2479.35</v>
      </c>
      <c r="AW12" s="26" t="s">
        <v>12834</v>
      </c>
      <c r="AX12" s="222">
        <v>4216.01</v>
      </c>
      <c r="AY12" s="106" t="s">
        <v>12960</v>
      </c>
      <c r="AZ12" s="9">
        <v>1099.01</v>
      </c>
      <c r="BA12" s="15" t="s">
        <v>12934</v>
      </c>
      <c r="BB12" s="9">
        <v>78137.25</v>
      </c>
      <c r="BC12" s="15" t="s">
        <v>13008</v>
      </c>
      <c r="BD12" s="7"/>
      <c r="BE12" s="26"/>
      <c r="BF12" s="9"/>
      <c r="BG12" s="15"/>
      <c r="BH12" s="9"/>
      <c r="BI12" s="15"/>
      <c r="BJ12" s="120"/>
      <c r="BK12" s="15"/>
      <c r="BL12" s="9"/>
      <c r="BM12" s="15"/>
      <c r="BN12" s="9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  <c r="CO12" s="15"/>
      <c r="CP12" s="9"/>
      <c r="CQ12" s="15"/>
      <c r="CR12" s="9"/>
    </row>
    <row r="13" spans="1:96" x14ac:dyDescent="0.25">
      <c r="A13" s="41"/>
      <c r="B13" s="9">
        <v>1099.01</v>
      </c>
      <c r="C13" s="15" t="s">
        <v>11750</v>
      </c>
      <c r="D13" s="9">
        <v>2040</v>
      </c>
      <c r="E13" s="15" t="s">
        <v>11797</v>
      </c>
      <c r="F13" s="9"/>
      <c r="G13" s="15"/>
      <c r="H13" s="9">
        <v>5018.29</v>
      </c>
      <c r="I13" s="15" t="s">
        <v>11872</v>
      </c>
      <c r="J13" s="9">
        <v>1000</v>
      </c>
      <c r="K13" s="15" t="s">
        <v>11968</v>
      </c>
      <c r="L13" s="9">
        <v>1169</v>
      </c>
      <c r="M13" s="15" t="s">
        <v>12038</v>
      </c>
      <c r="N13" s="9">
        <v>1169.01</v>
      </c>
      <c r="O13" s="15" t="s">
        <v>12015</v>
      </c>
      <c r="P13" s="9">
        <v>696</v>
      </c>
      <c r="Q13" s="15" t="s">
        <v>12101</v>
      </c>
      <c r="R13" s="9">
        <v>2040</v>
      </c>
      <c r="S13" s="15" t="s">
        <v>12151</v>
      </c>
      <c r="T13" s="9">
        <v>80000</v>
      </c>
      <c r="U13" s="15" t="s">
        <v>12202</v>
      </c>
      <c r="V13" s="9">
        <v>1008.91</v>
      </c>
      <c r="W13" s="26" t="s">
        <v>12239</v>
      </c>
      <c r="X13" s="9">
        <v>1169.01</v>
      </c>
      <c r="Y13" s="15" t="s">
        <v>12299</v>
      </c>
      <c r="Z13" s="15"/>
      <c r="AA13" s="15"/>
      <c r="AB13" s="9">
        <v>498.73</v>
      </c>
      <c r="AC13" s="15" t="s">
        <v>12327</v>
      </c>
      <c r="AD13" s="9">
        <v>3446.63</v>
      </c>
      <c r="AE13" s="15" t="s">
        <v>12371</v>
      </c>
      <c r="AF13" s="72"/>
      <c r="AG13" s="86"/>
      <c r="AH13" s="72">
        <v>747.18</v>
      </c>
      <c r="AI13" s="15" t="s">
        <v>12508</v>
      </c>
      <c r="AJ13" s="9">
        <v>636.65</v>
      </c>
      <c r="AK13" s="15" t="s">
        <v>12562</v>
      </c>
      <c r="AL13" s="72">
        <v>2500</v>
      </c>
      <c r="AM13" s="26" t="s">
        <v>12644</v>
      </c>
      <c r="AN13" s="9">
        <v>173.04</v>
      </c>
      <c r="AO13" s="15" t="s">
        <v>12618</v>
      </c>
      <c r="AP13" s="9"/>
      <c r="AQ13" s="26"/>
      <c r="AR13" s="9">
        <v>92.87</v>
      </c>
      <c r="AS13" s="26" t="s">
        <v>12742</v>
      </c>
      <c r="AT13" s="9">
        <v>3250.01</v>
      </c>
      <c r="AU13" s="26" t="s">
        <v>12871</v>
      </c>
      <c r="AV13" s="7">
        <v>3250</v>
      </c>
      <c r="AW13" s="26" t="s">
        <v>12835</v>
      </c>
      <c r="AX13" s="222">
        <v>1099</v>
      </c>
      <c r="AY13" s="106" t="s">
        <v>12964</v>
      </c>
      <c r="AZ13" s="9">
        <v>1970</v>
      </c>
      <c r="BA13" s="15" t="s">
        <v>12935</v>
      </c>
      <c r="BB13" s="9">
        <v>361.39</v>
      </c>
      <c r="BC13" s="15" t="s">
        <v>13014</v>
      </c>
      <c r="BD13" s="7"/>
      <c r="BE13" s="26"/>
      <c r="BF13" s="9"/>
      <c r="BG13" s="15"/>
      <c r="BH13" s="9"/>
      <c r="BI13" s="15"/>
      <c r="BJ13" s="9"/>
      <c r="BK13" s="15"/>
      <c r="BL13" s="9"/>
      <c r="BM13" s="15"/>
      <c r="BN13" s="9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  <c r="CO13" s="15"/>
      <c r="CP13" s="9"/>
      <c r="CQ13" s="15"/>
      <c r="CR13" s="9"/>
    </row>
    <row r="14" spans="1:96" x14ac:dyDescent="0.25">
      <c r="A14" s="41"/>
      <c r="B14" s="9">
        <v>1099.01</v>
      </c>
      <c r="C14" s="15" t="s">
        <v>11751</v>
      </c>
      <c r="D14" s="7">
        <v>100</v>
      </c>
      <c r="E14" s="26" t="s">
        <v>11800</v>
      </c>
      <c r="F14" s="9">
        <v>35000</v>
      </c>
      <c r="G14" s="26" t="s">
        <v>11887</v>
      </c>
      <c r="H14" s="9">
        <v>2389.9899999999998</v>
      </c>
      <c r="I14" s="15" t="s">
        <v>11877</v>
      </c>
      <c r="J14" s="9">
        <v>2135.08</v>
      </c>
      <c r="K14" s="26" t="s">
        <v>11969</v>
      </c>
      <c r="L14" s="9">
        <v>1169</v>
      </c>
      <c r="M14" s="26" t="s">
        <v>12043</v>
      </c>
      <c r="N14" s="7">
        <v>232</v>
      </c>
      <c r="O14" s="26" t="s">
        <v>12019</v>
      </c>
      <c r="P14" s="9">
        <v>83.6</v>
      </c>
      <c r="Q14" s="26" t="s">
        <v>12103</v>
      </c>
      <c r="R14" s="9">
        <v>5150</v>
      </c>
      <c r="S14" s="26" t="s">
        <v>12152</v>
      </c>
      <c r="T14" s="7">
        <v>3950</v>
      </c>
      <c r="U14" s="26" t="s">
        <v>12203</v>
      </c>
      <c r="V14" s="9">
        <v>1785.76</v>
      </c>
      <c r="W14" s="26" t="s">
        <v>12241</v>
      </c>
      <c r="X14" s="9">
        <v>8992.92</v>
      </c>
      <c r="Y14" s="26" t="s">
        <v>12300</v>
      </c>
      <c r="Z14" s="26"/>
      <c r="AA14" s="26"/>
      <c r="AB14" s="9"/>
      <c r="AC14" s="15"/>
      <c r="AD14" s="9">
        <v>928</v>
      </c>
      <c r="AE14" s="15" t="s">
        <v>12372</v>
      </c>
      <c r="AF14" s="72">
        <v>20000</v>
      </c>
      <c r="AG14" s="86" t="s">
        <v>12467</v>
      </c>
      <c r="AH14" s="72">
        <v>5000</v>
      </c>
      <c r="AI14" s="26" t="s">
        <v>12513</v>
      </c>
      <c r="AJ14" s="9">
        <v>1969.99</v>
      </c>
      <c r="AK14" s="15" t="s">
        <v>12564</v>
      </c>
      <c r="AL14" s="72">
        <v>92.87</v>
      </c>
      <c r="AM14" s="26" t="s">
        <v>12645</v>
      </c>
      <c r="AN14" s="9">
        <v>85.84</v>
      </c>
      <c r="AO14" s="15" t="s">
        <v>12627</v>
      </c>
      <c r="AP14" s="9">
        <v>1539.97</v>
      </c>
      <c r="AQ14" s="26" t="s">
        <v>12755</v>
      </c>
      <c r="AR14" s="9">
        <v>107.04</v>
      </c>
      <c r="AS14" s="26" t="s">
        <v>12743</v>
      </c>
      <c r="AT14" s="9">
        <v>1970</v>
      </c>
      <c r="AU14" s="26" t="s">
        <v>12876</v>
      </c>
      <c r="AV14" s="7">
        <v>232</v>
      </c>
      <c r="AW14" s="26" t="s">
        <v>12838</v>
      </c>
      <c r="AX14" s="9">
        <v>4395.01</v>
      </c>
      <c r="AY14" s="26" t="s">
        <v>12967</v>
      </c>
      <c r="AZ14" s="9">
        <v>1099.01</v>
      </c>
      <c r="BA14" s="26" t="s">
        <v>12943</v>
      </c>
      <c r="BB14" s="7">
        <v>408.2</v>
      </c>
      <c r="BC14" s="26" t="s">
        <v>13019</v>
      </c>
      <c r="BD14" s="7"/>
      <c r="BE14" s="26"/>
      <c r="BF14" s="9"/>
      <c r="BG14" s="26"/>
      <c r="BH14" s="9"/>
      <c r="BI14" s="26"/>
      <c r="BJ14" s="9"/>
      <c r="BK14" s="15"/>
      <c r="BL14" s="9"/>
      <c r="BM14" s="15"/>
      <c r="BN14" s="9"/>
      <c r="BO14" s="15"/>
      <c r="BP14" s="9"/>
      <c r="BQ14" s="15"/>
      <c r="BR14" s="9"/>
      <c r="BS14" s="15"/>
      <c r="BT14" s="9"/>
      <c r="BU14" s="15"/>
      <c r="BV14" s="9"/>
      <c r="BW14" s="15"/>
      <c r="BX14" s="9"/>
      <c r="BY14" s="15"/>
      <c r="BZ14" s="9"/>
      <c r="CA14" s="15"/>
      <c r="CB14" s="9"/>
      <c r="CC14" s="15"/>
      <c r="CD14" s="9"/>
      <c r="CE14" s="15"/>
      <c r="CF14" s="9"/>
      <c r="CG14" s="15"/>
      <c r="CH14" s="9"/>
      <c r="CI14" s="15"/>
      <c r="CJ14" s="9"/>
      <c r="CK14" s="15"/>
      <c r="CL14" s="9"/>
      <c r="CM14" s="15"/>
      <c r="CN14" s="9"/>
      <c r="CO14" s="15"/>
      <c r="CP14" s="9"/>
      <c r="CQ14" s="15"/>
      <c r="CR14" s="9"/>
    </row>
    <row r="15" spans="1:96" x14ac:dyDescent="0.25">
      <c r="A15" s="41"/>
      <c r="B15" s="9">
        <v>1099.01</v>
      </c>
      <c r="C15" s="15" t="s">
        <v>11753</v>
      </c>
      <c r="D15" s="7">
        <v>253.33</v>
      </c>
      <c r="E15" s="26" t="s">
        <v>11801</v>
      </c>
      <c r="F15" s="9">
        <v>5000</v>
      </c>
      <c r="G15" s="26" t="s">
        <v>11889</v>
      </c>
      <c r="H15" s="9">
        <v>628.51</v>
      </c>
      <c r="I15" s="15" t="s">
        <v>11879</v>
      </c>
      <c r="J15" s="9">
        <v>4216</v>
      </c>
      <c r="K15" s="26" t="s">
        <v>11970</v>
      </c>
      <c r="L15" s="9">
        <v>3189.87</v>
      </c>
      <c r="M15" s="26" t="s">
        <v>12045</v>
      </c>
      <c r="N15" s="7"/>
      <c r="O15" s="26"/>
      <c r="P15" s="9">
        <v>1099.01</v>
      </c>
      <c r="Q15" s="26" t="s">
        <v>12106</v>
      </c>
      <c r="R15" s="9">
        <v>6755</v>
      </c>
      <c r="S15" s="26" t="s">
        <v>12156</v>
      </c>
      <c r="T15" s="7">
        <v>13757.82</v>
      </c>
      <c r="U15" s="26" t="s">
        <v>12204</v>
      </c>
      <c r="V15" s="7">
        <v>1169.01</v>
      </c>
      <c r="W15" s="26" t="s">
        <v>12247</v>
      </c>
      <c r="X15" s="9">
        <v>1114.44</v>
      </c>
      <c r="Y15" s="26" t="s">
        <v>12302</v>
      </c>
      <c r="Z15" s="26"/>
      <c r="AA15" s="26"/>
      <c r="AB15" s="9">
        <v>580.29999999999995</v>
      </c>
      <c r="AC15" s="26" t="s">
        <v>12329</v>
      </c>
      <c r="AD15" s="9">
        <v>2989.16</v>
      </c>
      <c r="AE15" s="15" t="s">
        <v>12374</v>
      </c>
      <c r="AF15" s="72">
        <v>100</v>
      </c>
      <c r="AG15" s="86" t="s">
        <v>12472</v>
      </c>
      <c r="AH15" s="72">
        <v>4654.3100000000004</v>
      </c>
      <c r="AI15" s="26" t="s">
        <v>12515</v>
      </c>
      <c r="AJ15" s="7">
        <v>1099.01</v>
      </c>
      <c r="AK15" s="26" t="s">
        <v>12566</v>
      </c>
      <c r="AL15" s="87">
        <v>936.47</v>
      </c>
      <c r="AM15" s="9" t="s">
        <v>12647</v>
      </c>
      <c r="AN15" s="9">
        <v>2350</v>
      </c>
      <c r="AO15" s="15" t="s">
        <v>12628</v>
      </c>
      <c r="AP15" s="9">
        <v>190000</v>
      </c>
      <c r="AQ15" s="26" t="s">
        <v>12756</v>
      </c>
      <c r="AR15" s="11">
        <v>79.44</v>
      </c>
      <c r="AS15" s="12" t="s">
        <v>12744</v>
      </c>
      <c r="AT15" s="9">
        <v>3320</v>
      </c>
      <c r="AU15" s="26" t="s">
        <v>12878</v>
      </c>
      <c r="AV15" s="7">
        <v>3459</v>
      </c>
      <c r="AW15" s="26" t="s">
        <v>12840</v>
      </c>
      <c r="AX15" s="9">
        <v>2360</v>
      </c>
      <c r="AY15" s="26" t="s">
        <v>12972</v>
      </c>
      <c r="AZ15" s="9"/>
      <c r="BA15" s="26"/>
      <c r="BB15" s="7">
        <v>607.5</v>
      </c>
      <c r="BC15" s="26" t="s">
        <v>13022</v>
      </c>
      <c r="BD15" s="7"/>
      <c r="BE15" s="26"/>
      <c r="BF15" s="9"/>
      <c r="BG15" s="26"/>
      <c r="BH15" s="9"/>
      <c r="BI15" s="26"/>
      <c r="BJ15" s="9"/>
      <c r="BK15" s="15"/>
      <c r="BL15" s="9"/>
      <c r="BM15" s="15"/>
      <c r="BN15" s="9"/>
      <c r="BO15" s="15"/>
      <c r="BP15" s="9"/>
      <c r="BQ15" s="15"/>
      <c r="BR15" s="9"/>
      <c r="BS15" s="15"/>
      <c r="BT15" s="9"/>
      <c r="BU15" s="15"/>
      <c r="BV15" s="9"/>
      <c r="BW15" s="15"/>
      <c r="BX15" s="9"/>
      <c r="BY15" s="15"/>
      <c r="BZ15" s="9"/>
      <c r="CA15" s="15"/>
      <c r="CB15" s="9"/>
      <c r="CC15" s="15"/>
      <c r="CD15" s="9"/>
      <c r="CE15" s="15"/>
      <c r="CF15" s="9"/>
      <c r="CG15" s="15"/>
      <c r="CH15" s="9"/>
      <c r="CI15" s="15"/>
      <c r="CJ15" s="9"/>
      <c r="CK15" s="15"/>
      <c r="CL15" s="9"/>
      <c r="CM15" s="15"/>
      <c r="CN15" s="9"/>
      <c r="CO15" s="15"/>
      <c r="CP15" s="9"/>
      <c r="CQ15" s="15"/>
      <c r="CR15" s="9"/>
    </row>
    <row r="16" spans="1:96" x14ac:dyDescent="0.25">
      <c r="A16" s="41"/>
      <c r="B16" s="9">
        <v>1169</v>
      </c>
      <c r="C16" s="15" t="s">
        <v>11755</v>
      </c>
      <c r="D16" s="7">
        <v>92.87</v>
      </c>
      <c r="E16" s="26" t="s">
        <v>11802</v>
      </c>
      <c r="F16" s="9">
        <v>443.62</v>
      </c>
      <c r="G16" s="26" t="s">
        <v>11890</v>
      </c>
      <c r="H16" s="9">
        <v>2050</v>
      </c>
      <c r="I16" s="15" t="s">
        <v>11880</v>
      </c>
      <c r="J16" s="9">
        <v>428.21</v>
      </c>
      <c r="K16" s="26" t="s">
        <v>11974</v>
      </c>
      <c r="L16" s="9">
        <v>1561.53</v>
      </c>
      <c r="M16" s="26" t="s">
        <v>12046</v>
      </c>
      <c r="N16" s="7">
        <v>220000</v>
      </c>
      <c r="O16" s="26" t="s">
        <v>12057</v>
      </c>
      <c r="P16" s="9">
        <v>1970</v>
      </c>
      <c r="Q16" s="26" t="s">
        <v>12114</v>
      </c>
      <c r="R16" s="9">
        <v>1099.01</v>
      </c>
      <c r="S16" s="26" t="s">
        <v>12158</v>
      </c>
      <c r="T16" s="9">
        <v>20000</v>
      </c>
      <c r="U16" s="26" t="s">
        <v>12205</v>
      </c>
      <c r="V16" s="9">
        <v>575</v>
      </c>
      <c r="W16" s="26" t="s">
        <v>12251</v>
      </c>
      <c r="X16" s="9">
        <v>1114.44</v>
      </c>
      <c r="Y16" s="26" t="s">
        <v>12303</v>
      </c>
      <c r="Z16" s="26"/>
      <c r="AA16" s="26"/>
      <c r="AB16" s="9">
        <v>192.5</v>
      </c>
      <c r="AC16" s="26" t="s">
        <v>12330</v>
      </c>
      <c r="AD16" s="9">
        <v>1169</v>
      </c>
      <c r="AE16" s="15" t="s">
        <v>12376</v>
      </c>
      <c r="AF16" s="72">
        <v>10776.64</v>
      </c>
      <c r="AG16" s="86" t="s">
        <v>12474</v>
      </c>
      <c r="AH16" s="72">
        <v>2300</v>
      </c>
      <c r="AI16" s="26" t="s">
        <v>12521</v>
      </c>
      <c r="AJ16" s="7">
        <v>2261.5100000000002</v>
      </c>
      <c r="AK16" s="26" t="s">
        <v>12567</v>
      </c>
      <c r="AL16" s="87">
        <v>385.84</v>
      </c>
      <c r="AM16" s="26" t="s">
        <v>12648</v>
      </c>
      <c r="AN16" s="9">
        <v>1363.34</v>
      </c>
      <c r="AO16" s="15" t="s">
        <v>12685</v>
      </c>
      <c r="AP16" s="9">
        <v>420.5</v>
      </c>
      <c r="AQ16" s="26" t="s">
        <v>12758</v>
      </c>
      <c r="AR16" s="9">
        <v>628.51</v>
      </c>
      <c r="AS16" s="26" t="s">
        <v>12745</v>
      </c>
      <c r="AT16" s="9">
        <v>1099</v>
      </c>
      <c r="AU16" s="7" t="s">
        <v>12879</v>
      </c>
      <c r="AV16" s="7">
        <v>1099.01</v>
      </c>
      <c r="AW16" s="26" t="s">
        <v>12843</v>
      </c>
      <c r="AX16" s="9">
        <v>2380.92</v>
      </c>
      <c r="AY16" s="26" t="s">
        <v>12975</v>
      </c>
      <c r="AZ16" s="9">
        <v>12126.41</v>
      </c>
      <c r="BA16" s="26" t="s">
        <v>12988</v>
      </c>
      <c r="BB16" s="7">
        <v>500</v>
      </c>
      <c r="BC16" s="26" t="s">
        <v>13024</v>
      </c>
      <c r="BD16" s="7"/>
      <c r="BE16" s="26"/>
      <c r="BF16" s="9"/>
      <c r="BG16" s="26"/>
      <c r="BH16" s="9"/>
      <c r="BI16" s="26"/>
      <c r="BJ16" s="120"/>
      <c r="BK16" s="120"/>
      <c r="BL16" s="9"/>
      <c r="BM16" s="15"/>
      <c r="BN16" s="9"/>
      <c r="BO16" s="15"/>
      <c r="BP16" s="9"/>
      <c r="BQ16" s="15"/>
      <c r="BR16" s="9"/>
      <c r="BS16" s="15"/>
      <c r="BT16" s="9"/>
      <c r="BU16" s="15"/>
      <c r="BV16" s="9"/>
      <c r="BW16" s="15"/>
      <c r="BX16" s="9"/>
      <c r="BY16" s="15"/>
      <c r="BZ16" s="9"/>
      <c r="CA16" s="15"/>
      <c r="CB16" s="9"/>
      <c r="CC16" s="15"/>
      <c r="CD16" s="9"/>
      <c r="CE16" s="15"/>
      <c r="CF16" s="9"/>
      <c r="CG16" s="15"/>
      <c r="CH16" s="9"/>
      <c r="CI16" s="15"/>
      <c r="CJ16" s="9"/>
      <c r="CK16" s="15"/>
      <c r="CL16" s="9"/>
      <c r="CM16" s="15"/>
      <c r="CN16" s="9"/>
      <c r="CO16" s="15"/>
      <c r="CP16" s="9"/>
      <c r="CQ16" s="15"/>
      <c r="CR16" s="9"/>
    </row>
    <row r="17" spans="1:96" x14ac:dyDescent="0.25">
      <c r="A17" s="41"/>
      <c r="B17" s="9">
        <v>1075.3399999999999</v>
      </c>
      <c r="C17" s="15" t="s">
        <v>11756</v>
      </c>
      <c r="D17" s="7">
        <v>19227.91</v>
      </c>
      <c r="E17" s="26" t="s">
        <v>11812</v>
      </c>
      <c r="F17" s="9">
        <v>264.74</v>
      </c>
      <c r="G17" s="26" t="s">
        <v>11891</v>
      </c>
      <c r="H17" s="9"/>
      <c r="I17" s="15"/>
      <c r="J17" s="9">
        <v>159.88</v>
      </c>
      <c r="K17" s="9" t="s">
        <v>11976</v>
      </c>
      <c r="L17" s="9">
        <v>1169.01</v>
      </c>
      <c r="M17" s="26" t="s">
        <v>12052</v>
      </c>
      <c r="N17" s="7">
        <v>5195</v>
      </c>
      <c r="O17" s="26" t="s">
        <v>12058</v>
      </c>
      <c r="P17" s="9">
        <v>1169.01</v>
      </c>
      <c r="Q17" s="26" t="s">
        <v>12115</v>
      </c>
      <c r="R17" s="9">
        <v>1099</v>
      </c>
      <c r="S17" s="15" t="s">
        <v>12160</v>
      </c>
      <c r="T17" s="9">
        <v>4200.5</v>
      </c>
      <c r="U17" s="26" t="s">
        <v>12209</v>
      </c>
      <c r="V17" s="9">
        <v>2375.0100000000002</v>
      </c>
      <c r="W17" s="26" t="s">
        <v>12252</v>
      </c>
      <c r="X17" s="9">
        <v>278.61</v>
      </c>
      <c r="Y17" s="26" t="s">
        <v>12304</v>
      </c>
      <c r="Z17" s="26"/>
      <c r="AA17" s="26"/>
      <c r="AB17" s="9">
        <v>2360.0100000000002</v>
      </c>
      <c r="AC17" s="26" t="s">
        <v>12335</v>
      </c>
      <c r="AD17" s="9">
        <f>6703.05-5503.05</f>
        <v>1200</v>
      </c>
      <c r="AE17" s="26" t="s">
        <v>12378</v>
      </c>
      <c r="AF17" s="72">
        <v>250.53</v>
      </c>
      <c r="AG17" s="86" t="s">
        <v>12478</v>
      </c>
      <c r="AH17" s="72">
        <v>232</v>
      </c>
      <c r="AI17" s="26" t="s">
        <v>12523</v>
      </c>
      <c r="AJ17" s="7">
        <v>2040.01</v>
      </c>
      <c r="AK17" s="26" t="s">
        <v>12573</v>
      </c>
      <c r="AL17" s="72">
        <v>1169.01</v>
      </c>
      <c r="AM17" s="15" t="s">
        <v>12654</v>
      </c>
      <c r="AN17" s="9">
        <v>457.32</v>
      </c>
      <c r="AO17" s="15" t="s">
        <v>12687</v>
      </c>
      <c r="AP17" s="9">
        <v>3250</v>
      </c>
      <c r="AQ17" s="26" t="s">
        <v>12767</v>
      </c>
      <c r="AR17" s="9">
        <v>1970</v>
      </c>
      <c r="AS17" s="26" t="s">
        <v>12750</v>
      </c>
      <c r="AT17" s="9">
        <v>1099.01</v>
      </c>
      <c r="AU17" s="15" t="s">
        <v>12881</v>
      </c>
      <c r="AV17" s="7">
        <v>185.74</v>
      </c>
      <c r="AW17" s="26" t="s">
        <v>12849</v>
      </c>
      <c r="AX17" s="9">
        <v>512.23</v>
      </c>
      <c r="AY17" s="26" t="s">
        <v>12981</v>
      </c>
      <c r="AZ17" s="9">
        <v>175</v>
      </c>
      <c r="BA17" s="26" t="s">
        <v>12989</v>
      </c>
      <c r="BB17" s="7">
        <v>1977.79</v>
      </c>
      <c r="BC17" s="26" t="s">
        <v>13025</v>
      </c>
      <c r="BD17" s="9"/>
      <c r="BE17" s="15"/>
      <c r="BF17" s="9"/>
      <c r="BG17" s="26"/>
      <c r="BH17" s="9"/>
      <c r="BI17" s="26"/>
      <c r="BJ17" s="9"/>
      <c r="BK17" s="15"/>
      <c r="BL17" s="9"/>
      <c r="BM17" s="15"/>
      <c r="BN17" s="9"/>
      <c r="BO17" s="15"/>
      <c r="BP17" s="9"/>
      <c r="BQ17" s="15"/>
      <c r="BR17" s="9"/>
      <c r="BS17" s="15"/>
      <c r="BT17" s="9"/>
      <c r="BU17" s="15"/>
      <c r="BV17" s="9"/>
      <c r="BW17" s="15"/>
      <c r="BX17" s="9"/>
      <c r="BY17" s="15"/>
      <c r="BZ17" s="9"/>
      <c r="CA17" s="15"/>
      <c r="CB17" s="9"/>
      <c r="CC17" s="15"/>
      <c r="CD17" s="9"/>
      <c r="CE17" s="15"/>
      <c r="CF17" s="9"/>
      <c r="CG17" s="15"/>
      <c r="CH17" s="9"/>
      <c r="CI17" s="15"/>
      <c r="CJ17" s="9"/>
      <c r="CK17" s="15"/>
      <c r="CL17" s="9"/>
      <c r="CM17" s="15"/>
      <c r="CN17" s="9"/>
      <c r="CO17" s="15"/>
      <c r="CP17" s="9"/>
      <c r="CQ17" s="15"/>
      <c r="CR17" s="9"/>
    </row>
    <row r="18" spans="1:96" x14ac:dyDescent="0.25">
      <c r="A18" s="41"/>
      <c r="B18" s="9">
        <v>38.42</v>
      </c>
      <c r="C18" s="15" t="s">
        <v>11757</v>
      </c>
      <c r="D18" s="7">
        <v>522</v>
      </c>
      <c r="E18" s="26" t="s">
        <v>11813</v>
      </c>
      <c r="F18" s="9">
        <v>4616.8999999999996</v>
      </c>
      <c r="G18" s="26" t="s">
        <v>11892</v>
      </c>
      <c r="H18" s="9">
        <v>65000</v>
      </c>
      <c r="I18" s="15" t="s">
        <v>11920</v>
      </c>
      <c r="J18" s="9">
        <v>292.75</v>
      </c>
      <c r="K18" s="15" t="s">
        <v>11977</v>
      </c>
      <c r="L18" s="9">
        <v>236.34</v>
      </c>
      <c r="M18" s="26" t="s">
        <v>12053</v>
      </c>
      <c r="N18" s="7">
        <v>288.14</v>
      </c>
      <c r="O18" s="26" t="s">
        <v>12059</v>
      </c>
      <c r="P18" s="9">
        <v>1099.01</v>
      </c>
      <c r="Q18" s="26" t="s">
        <v>12116</v>
      </c>
      <c r="R18" s="9">
        <v>1401</v>
      </c>
      <c r="S18" s="15" t="s">
        <v>12162</v>
      </c>
      <c r="T18" s="9">
        <v>589.09</v>
      </c>
      <c r="U18" s="26" t="s">
        <v>12208</v>
      </c>
      <c r="V18" s="9">
        <v>8902.68</v>
      </c>
      <c r="W18" s="26" t="s">
        <v>12254</v>
      </c>
      <c r="X18" s="9">
        <v>561.20000000000005</v>
      </c>
      <c r="Y18" s="26" t="s">
        <v>12305</v>
      </c>
      <c r="Z18" s="26"/>
      <c r="AA18" s="26"/>
      <c r="AB18" s="9">
        <v>1169</v>
      </c>
      <c r="AC18" s="26" t="s">
        <v>12345</v>
      </c>
      <c r="AD18" s="9">
        <v>1883.07</v>
      </c>
      <c r="AE18" s="26" t="s">
        <v>12379</v>
      </c>
      <c r="AF18" s="72">
        <v>419.36</v>
      </c>
      <c r="AG18" s="86" t="s">
        <v>12479</v>
      </c>
      <c r="AH18" s="72">
        <v>1465</v>
      </c>
      <c r="AI18" s="26" t="s">
        <v>12524</v>
      </c>
      <c r="AJ18" s="9">
        <v>4400.0200000000004</v>
      </c>
      <c r="AK18" s="15" t="s">
        <v>12575</v>
      </c>
      <c r="AL18" s="87">
        <v>3489</v>
      </c>
      <c r="AM18" s="26" t="s">
        <v>12655</v>
      </c>
      <c r="AN18" s="9">
        <v>2070.7199999999998</v>
      </c>
      <c r="AO18" s="15" t="s">
        <v>12689</v>
      </c>
      <c r="AP18" s="9">
        <v>2282</v>
      </c>
      <c r="AQ18" s="26" t="s">
        <v>12768</v>
      </c>
      <c r="AR18" s="9">
        <v>4097</v>
      </c>
      <c r="AS18" s="26" t="s">
        <v>12753</v>
      </c>
      <c r="AT18" s="7">
        <v>2389.9899999999998</v>
      </c>
      <c r="AU18" s="26" t="s">
        <v>12883</v>
      </c>
      <c r="AV18" s="9">
        <v>5000</v>
      </c>
      <c r="AW18" s="15" t="s">
        <v>12851</v>
      </c>
      <c r="AX18" s="9">
        <v>142.47</v>
      </c>
      <c r="AY18" s="26" t="s">
        <v>12983</v>
      </c>
      <c r="AZ18" s="9">
        <v>2000</v>
      </c>
      <c r="BA18" s="26" t="s">
        <v>12992</v>
      </c>
      <c r="BB18" s="7">
        <v>3250</v>
      </c>
      <c r="BC18" s="26" t="s">
        <v>13029</v>
      </c>
      <c r="BD18" s="9"/>
      <c r="BE18" s="15"/>
      <c r="BF18" s="9"/>
      <c r="BG18" s="26"/>
      <c r="BH18" s="9"/>
      <c r="BI18" s="26"/>
      <c r="BJ18" s="9"/>
      <c r="BK18" s="15"/>
      <c r="BL18" s="9"/>
      <c r="BM18" s="15"/>
      <c r="BN18" s="9"/>
      <c r="BO18" s="15"/>
      <c r="BP18" s="9"/>
      <c r="BQ18" s="15"/>
      <c r="BR18" s="9"/>
      <c r="BS18" s="15"/>
      <c r="BT18" s="9"/>
      <c r="BU18" s="15"/>
      <c r="BV18" s="9"/>
      <c r="BW18" s="15"/>
      <c r="BX18" s="9"/>
      <c r="BY18" s="15"/>
      <c r="BZ18" s="9"/>
      <c r="CA18" s="15"/>
      <c r="CB18" s="9"/>
      <c r="CC18" s="15"/>
      <c r="CD18" s="9"/>
      <c r="CE18" s="15"/>
      <c r="CF18" s="9"/>
      <c r="CG18" s="15"/>
      <c r="CH18" s="9"/>
      <c r="CI18" s="15"/>
      <c r="CJ18" s="9"/>
      <c r="CK18" s="15"/>
      <c r="CL18" s="9"/>
      <c r="CM18" s="15"/>
      <c r="CN18" s="9"/>
      <c r="CO18" s="15"/>
      <c r="CP18" s="9"/>
      <c r="CQ18" s="15"/>
      <c r="CR18" s="9"/>
    </row>
    <row r="19" spans="1:96" x14ac:dyDescent="0.25">
      <c r="A19" s="41"/>
      <c r="B19" s="9"/>
      <c r="C19" s="15"/>
      <c r="D19" s="7">
        <v>217000</v>
      </c>
      <c r="E19" s="26" t="s">
        <v>11815</v>
      </c>
      <c r="F19" s="9">
        <v>5592.8</v>
      </c>
      <c r="G19" s="26" t="s">
        <v>11897</v>
      </c>
      <c r="H19" s="9">
        <v>3320</v>
      </c>
      <c r="I19" s="15" t="s">
        <v>11922</v>
      </c>
      <c r="J19" s="9">
        <v>210.51</v>
      </c>
      <c r="K19" s="15" t="s">
        <v>11980</v>
      </c>
      <c r="L19" s="9">
        <v>100</v>
      </c>
      <c r="M19" s="15" t="s">
        <v>12054</v>
      </c>
      <c r="N19" s="7">
        <v>254.92</v>
      </c>
      <c r="O19" s="26" t="s">
        <v>12061</v>
      </c>
      <c r="P19" s="9">
        <v>2040</v>
      </c>
      <c r="Q19" s="26" t="s">
        <v>12118</v>
      </c>
      <c r="R19" s="9">
        <v>1169</v>
      </c>
      <c r="S19" s="26" t="s">
        <v>12165</v>
      </c>
      <c r="T19" s="9">
        <v>1467.33</v>
      </c>
      <c r="U19" s="26" t="s">
        <v>12210</v>
      </c>
      <c r="V19" s="9">
        <v>1052.24</v>
      </c>
      <c r="W19" s="26" t="s">
        <v>12257</v>
      </c>
      <c r="X19" s="9">
        <v>419.61</v>
      </c>
      <c r="Y19" s="26" t="s">
        <v>12307</v>
      </c>
      <c r="Z19" s="26"/>
      <c r="AA19" s="26"/>
      <c r="AB19" s="9">
        <v>1169</v>
      </c>
      <c r="AC19" s="26" t="s">
        <v>12346</v>
      </c>
      <c r="AD19" s="9">
        <v>322.76</v>
      </c>
      <c r="AE19" s="15" t="s">
        <v>12381</v>
      </c>
      <c r="AF19" s="72">
        <v>556.29</v>
      </c>
      <c r="AG19" s="26" t="s">
        <v>12481</v>
      </c>
      <c r="AH19" s="72">
        <v>2486.59</v>
      </c>
      <c r="AI19" s="26" t="s">
        <v>12525</v>
      </c>
      <c r="AJ19" s="9">
        <v>4395</v>
      </c>
      <c r="AK19" s="15" t="s">
        <v>12578</v>
      </c>
      <c r="AL19" s="87">
        <v>2065</v>
      </c>
      <c r="AM19" s="26" t="s">
        <v>12656</v>
      </c>
      <c r="AN19" s="9">
        <v>80.239999999999995</v>
      </c>
      <c r="AO19" s="15" t="s">
        <v>12690</v>
      </c>
      <c r="AP19" s="9">
        <v>1099.01</v>
      </c>
      <c r="AQ19" s="26" t="s">
        <v>12769</v>
      </c>
      <c r="AR19" s="9"/>
      <c r="AS19" s="26"/>
      <c r="AT19" s="7"/>
      <c r="AU19" s="26"/>
      <c r="AV19" s="7">
        <v>1266.94</v>
      </c>
      <c r="AW19" s="26" t="s">
        <v>12852</v>
      </c>
      <c r="AX19" s="9">
        <v>92.87</v>
      </c>
      <c r="AY19" s="26" t="s">
        <v>12986</v>
      </c>
      <c r="AZ19" s="9">
        <v>1791.04</v>
      </c>
      <c r="BA19" s="26" t="s">
        <v>12998</v>
      </c>
      <c r="BB19" s="7">
        <v>10361.34</v>
      </c>
      <c r="BC19" s="26" t="s">
        <v>13033</v>
      </c>
      <c r="BD19" s="9"/>
      <c r="BE19" s="15"/>
      <c r="BF19" s="9"/>
      <c r="BG19" s="26"/>
      <c r="BH19" s="9"/>
      <c r="BI19" s="26"/>
      <c r="BJ19" s="9"/>
      <c r="BK19" s="15"/>
      <c r="BL19" s="9"/>
      <c r="BM19" s="15"/>
      <c r="BN19" s="9"/>
      <c r="BO19" s="15"/>
      <c r="BP19" s="9"/>
      <c r="BQ19" s="15"/>
      <c r="BR19" s="9"/>
      <c r="BS19" s="15"/>
      <c r="BT19" s="9"/>
      <c r="BU19" s="15"/>
      <c r="BV19" s="9"/>
      <c r="BW19" s="15"/>
      <c r="BX19" s="9"/>
      <c r="BY19" s="15"/>
      <c r="BZ19" s="9"/>
      <c r="CA19" s="15"/>
      <c r="CB19" s="9"/>
      <c r="CC19" s="15"/>
      <c r="CD19" s="9"/>
      <c r="CE19" s="15"/>
      <c r="CF19" s="9"/>
      <c r="CG19" s="15"/>
      <c r="CH19" s="9"/>
      <c r="CI19" s="15"/>
      <c r="CJ19" s="9"/>
      <c r="CK19" s="15"/>
      <c r="CL19" s="9"/>
      <c r="CM19" s="15"/>
      <c r="CN19" s="9"/>
      <c r="CO19" s="15"/>
      <c r="CP19" s="9"/>
      <c r="CQ19" s="15"/>
      <c r="CR19" s="9"/>
    </row>
    <row r="20" spans="1:96" x14ac:dyDescent="0.25">
      <c r="A20" s="41"/>
      <c r="B20" s="9">
        <v>20000</v>
      </c>
      <c r="C20" s="15" t="s">
        <v>11759</v>
      </c>
      <c r="D20" s="7">
        <v>14263.49</v>
      </c>
      <c r="E20" s="26" t="s">
        <v>11821</v>
      </c>
      <c r="F20" s="9">
        <v>2040</v>
      </c>
      <c r="G20" s="26" t="s">
        <v>11902</v>
      </c>
      <c r="H20" s="9">
        <v>835</v>
      </c>
      <c r="I20" s="15" t="s">
        <v>11923</v>
      </c>
      <c r="J20" s="9">
        <v>2414.17</v>
      </c>
      <c r="K20" s="15" t="s">
        <v>11984</v>
      </c>
      <c r="L20" s="9">
        <v>419.36</v>
      </c>
      <c r="M20" s="26" t="s">
        <v>12055</v>
      </c>
      <c r="N20" s="7">
        <v>1005.91</v>
      </c>
      <c r="O20" s="26" t="s">
        <v>12062</v>
      </c>
      <c r="P20" s="9">
        <v>1970</v>
      </c>
      <c r="Q20" s="26" t="s">
        <v>12119</v>
      </c>
      <c r="R20" s="9">
        <v>1169</v>
      </c>
      <c r="S20" s="26" t="s">
        <v>12168</v>
      </c>
      <c r="T20" s="9">
        <f>4049.06-2739.25</f>
        <v>1309.81</v>
      </c>
      <c r="U20" s="26" t="s">
        <v>12214</v>
      </c>
      <c r="V20" s="9">
        <v>232</v>
      </c>
      <c r="W20" s="26" t="s">
        <v>12258</v>
      </c>
      <c r="X20" s="9">
        <v>118.17</v>
      </c>
      <c r="Y20" s="26" t="s">
        <v>12308</v>
      </c>
      <c r="Z20" s="26"/>
      <c r="AA20" s="26"/>
      <c r="AB20" s="9">
        <v>635</v>
      </c>
      <c r="AC20" s="26" t="s">
        <v>12347</v>
      </c>
      <c r="AD20" s="9">
        <v>474.73</v>
      </c>
      <c r="AE20" s="26" t="s">
        <v>12382</v>
      </c>
      <c r="AF20" s="72">
        <v>569.88</v>
      </c>
      <c r="AG20" s="86" t="s">
        <v>12483</v>
      </c>
      <c r="AH20" s="72">
        <v>1099.01</v>
      </c>
      <c r="AI20" s="26" t="s">
        <v>12526</v>
      </c>
      <c r="AJ20" s="7"/>
      <c r="AK20" s="26"/>
      <c r="AL20" s="87">
        <v>1099.01</v>
      </c>
      <c r="AM20" s="26" t="s">
        <v>12660</v>
      </c>
      <c r="AN20" s="9">
        <v>419.36</v>
      </c>
      <c r="AO20" s="15" t="s">
        <v>12691</v>
      </c>
      <c r="AP20" s="9"/>
      <c r="AQ20" s="26"/>
      <c r="AR20" s="9">
        <v>1000</v>
      </c>
      <c r="AS20" s="15" t="s">
        <v>12771</v>
      </c>
      <c r="AT20" s="72">
        <v>7864.56</v>
      </c>
      <c r="AU20" s="24" t="s">
        <v>12770</v>
      </c>
      <c r="AV20" s="7"/>
      <c r="AW20" s="26"/>
      <c r="AX20" s="9">
        <v>1030</v>
      </c>
      <c r="AY20" s="26" t="s">
        <v>12987</v>
      </c>
      <c r="AZ20" s="9">
        <v>969.71</v>
      </c>
      <c r="BA20" s="26" t="s">
        <v>12999</v>
      </c>
      <c r="BB20" s="7">
        <v>1099</v>
      </c>
      <c r="BC20" s="26" t="s">
        <v>13034</v>
      </c>
      <c r="BD20" s="9"/>
      <c r="BE20" s="15"/>
      <c r="BF20" s="9"/>
      <c r="BG20" s="26"/>
      <c r="BH20" s="9"/>
      <c r="BI20" s="26"/>
      <c r="BJ20" s="9"/>
      <c r="BK20" s="15"/>
      <c r="BL20" s="9"/>
      <c r="BM20" s="15"/>
      <c r="BN20" s="9"/>
      <c r="BO20" s="15"/>
      <c r="BP20" s="9"/>
      <c r="BQ20" s="15"/>
      <c r="BR20" s="9"/>
      <c r="BS20" s="15"/>
      <c r="BT20" s="9"/>
      <c r="BU20" s="15"/>
      <c r="BV20" s="9"/>
      <c r="BW20" s="15"/>
      <c r="BX20" s="9"/>
      <c r="BY20" s="15"/>
      <c r="BZ20" s="9"/>
      <c r="CA20" s="15"/>
      <c r="CB20" s="9"/>
      <c r="CC20" s="15"/>
      <c r="CD20" s="9"/>
      <c r="CE20" s="15"/>
      <c r="CF20" s="9"/>
      <c r="CG20" s="15"/>
      <c r="CH20" s="9"/>
      <c r="CI20" s="15"/>
      <c r="CJ20" s="9"/>
      <c r="CK20" s="15"/>
      <c r="CL20" s="9"/>
      <c r="CM20" s="15"/>
      <c r="CN20" s="9"/>
      <c r="CO20" s="15"/>
      <c r="CP20" s="9"/>
      <c r="CQ20" s="15"/>
      <c r="CR20" s="9"/>
    </row>
    <row r="21" spans="1:96" x14ac:dyDescent="0.25">
      <c r="A21" s="41"/>
      <c r="B21" s="9">
        <v>68000</v>
      </c>
      <c r="C21" s="15" t="s">
        <v>11767</v>
      </c>
      <c r="D21" s="7">
        <v>1099.01</v>
      </c>
      <c r="E21" s="26" t="s">
        <v>11822</v>
      </c>
      <c r="F21" s="9">
        <v>2040</v>
      </c>
      <c r="G21" s="26" t="s">
        <v>11904</v>
      </c>
      <c r="H21" s="9">
        <v>1700.65</v>
      </c>
      <c r="I21" s="15" t="s">
        <v>11929</v>
      </c>
      <c r="J21" s="9">
        <v>1099.01</v>
      </c>
      <c r="K21" s="26" t="s">
        <v>11987</v>
      </c>
      <c r="L21" s="9"/>
      <c r="M21" s="26"/>
      <c r="N21" s="7">
        <v>38.83</v>
      </c>
      <c r="O21" s="26" t="s">
        <v>12063</v>
      </c>
      <c r="P21" s="9">
        <v>260.33</v>
      </c>
      <c r="Q21" s="26" t="s">
        <v>12122</v>
      </c>
      <c r="R21" s="9">
        <v>500</v>
      </c>
      <c r="S21" s="15" t="s">
        <v>12172</v>
      </c>
      <c r="T21" s="9">
        <v>1169</v>
      </c>
      <c r="U21" s="26" t="s">
        <v>12217</v>
      </c>
      <c r="V21" s="9">
        <v>4395.01</v>
      </c>
      <c r="W21" s="26" t="s">
        <v>12260</v>
      </c>
      <c r="X21" s="9">
        <v>79.44</v>
      </c>
      <c r="Y21" s="26" t="s">
        <v>12309</v>
      </c>
      <c r="Z21" s="26"/>
      <c r="AA21" s="26"/>
      <c r="AB21" s="9">
        <v>3250</v>
      </c>
      <c r="AC21" s="26" t="s">
        <v>12348</v>
      </c>
      <c r="AD21" s="9"/>
      <c r="AE21" s="26"/>
      <c r="AF21" s="72">
        <v>284.94</v>
      </c>
      <c r="AG21" s="86" t="s">
        <v>12484</v>
      </c>
      <c r="AH21" s="72">
        <v>1970</v>
      </c>
      <c r="AI21" s="26" t="s">
        <v>12530</v>
      </c>
      <c r="AJ21" s="7">
        <v>3239.01</v>
      </c>
      <c r="AK21" s="26" t="s">
        <v>12586</v>
      </c>
      <c r="AL21" s="87">
        <v>1548.99</v>
      </c>
      <c r="AM21" s="26" t="s">
        <v>12662</v>
      </c>
      <c r="AN21" s="9">
        <v>3320</v>
      </c>
      <c r="AO21" s="15" t="s">
        <v>12697</v>
      </c>
      <c r="AP21" s="9"/>
      <c r="AQ21" s="26"/>
      <c r="AR21" s="9">
        <v>220000</v>
      </c>
      <c r="AS21" s="26" t="s">
        <v>12776</v>
      </c>
      <c r="AT21" s="9">
        <v>1096.76</v>
      </c>
      <c r="AU21" s="15" t="s">
        <v>13048</v>
      </c>
      <c r="AV21" s="7">
        <v>25000</v>
      </c>
      <c r="AW21" s="26" t="s">
        <v>12886</v>
      </c>
      <c r="AX21" s="9"/>
      <c r="AY21" s="26"/>
      <c r="AZ21" s="9"/>
      <c r="BA21" s="26"/>
      <c r="BB21" s="7">
        <v>2866</v>
      </c>
      <c r="BC21" s="26" t="s">
        <v>13036</v>
      </c>
      <c r="BD21" s="9"/>
      <c r="BE21" s="15"/>
      <c r="BF21" s="9"/>
      <c r="BG21" s="26"/>
      <c r="BH21" s="9"/>
      <c r="BI21" s="26"/>
      <c r="BJ21" s="9"/>
      <c r="BK21" s="26"/>
      <c r="BL21" s="9"/>
      <c r="BM21" s="15"/>
      <c r="BN21" s="11"/>
      <c r="BO21" s="13"/>
      <c r="BP21" s="9"/>
      <c r="BQ21" s="15"/>
      <c r="BR21" s="9"/>
      <c r="BS21" s="15"/>
      <c r="BT21" s="9"/>
      <c r="BU21" s="15"/>
      <c r="BV21" s="9"/>
      <c r="BW21" s="15"/>
      <c r="BX21" s="9"/>
      <c r="BY21" s="15"/>
      <c r="BZ21" s="9"/>
      <c r="CA21" s="15"/>
      <c r="CB21" s="9"/>
      <c r="CC21" s="15"/>
      <c r="CD21" s="9"/>
      <c r="CE21" s="15"/>
      <c r="CF21" s="9"/>
      <c r="CG21" s="15"/>
      <c r="CH21" s="9"/>
      <c r="CI21" s="15"/>
      <c r="CJ21" s="9"/>
      <c r="CK21" s="15"/>
      <c r="CL21" s="9"/>
      <c r="CM21" s="15"/>
      <c r="CN21" s="9"/>
      <c r="CO21" s="15"/>
      <c r="CP21" s="9"/>
      <c r="CQ21" s="15"/>
      <c r="CR21" s="9"/>
    </row>
    <row r="22" spans="1:96" x14ac:dyDescent="0.25">
      <c r="A22" s="41"/>
      <c r="B22" s="9">
        <v>25500</v>
      </c>
      <c r="C22" s="15" t="s">
        <v>11768</v>
      </c>
      <c r="D22" s="7">
        <v>1755.51</v>
      </c>
      <c r="E22" s="26" t="s">
        <v>11823</v>
      </c>
      <c r="F22" s="9">
        <v>4465.01</v>
      </c>
      <c r="G22" s="26" t="s">
        <v>11905</v>
      </c>
      <c r="H22" s="15">
        <v>1167.01</v>
      </c>
      <c r="I22" s="15" t="s">
        <v>11930</v>
      </c>
      <c r="J22" s="9">
        <f>4853.43-2000</f>
        <v>2853.4300000000003</v>
      </c>
      <c r="K22" s="26" t="s">
        <v>11989</v>
      </c>
      <c r="L22" s="9"/>
      <c r="M22" s="26"/>
      <c r="N22" s="7">
        <v>3000</v>
      </c>
      <c r="O22" s="26" t="s">
        <v>12065</v>
      </c>
      <c r="P22" s="9">
        <v>498.73</v>
      </c>
      <c r="Q22" s="15" t="s">
        <v>12123</v>
      </c>
      <c r="R22" s="9"/>
      <c r="S22" s="15"/>
      <c r="T22" s="9">
        <v>1169</v>
      </c>
      <c r="U22" s="15" t="s">
        <v>12218</v>
      </c>
      <c r="V22" s="9">
        <v>382.38</v>
      </c>
      <c r="W22" s="26" t="s">
        <v>12269</v>
      </c>
      <c r="X22" s="9"/>
      <c r="Y22" s="26"/>
      <c r="Z22" s="26"/>
      <c r="AA22" s="26"/>
      <c r="AB22" s="9">
        <v>1169</v>
      </c>
      <c r="AC22" s="9" t="s">
        <v>12351</v>
      </c>
      <c r="AD22" s="9">
        <v>5000</v>
      </c>
      <c r="AE22" s="26" t="s">
        <v>12383</v>
      </c>
      <c r="AF22" s="72">
        <v>79.44</v>
      </c>
      <c r="AG22" s="86" t="s">
        <v>12485</v>
      </c>
      <c r="AH22" s="9">
        <v>4465</v>
      </c>
      <c r="AI22" s="86" t="s">
        <v>12536</v>
      </c>
      <c r="AJ22" s="72">
        <v>1169</v>
      </c>
      <c r="AK22" s="24" t="s">
        <v>12587</v>
      </c>
      <c r="AL22" s="87">
        <v>3250.01</v>
      </c>
      <c r="AM22" s="26" t="s">
        <v>12663</v>
      </c>
      <c r="AN22" s="15">
        <v>364.18</v>
      </c>
      <c r="AO22" s="15" t="s">
        <v>12700</v>
      </c>
      <c r="AP22" s="9"/>
      <c r="AQ22" s="26"/>
      <c r="AR22" s="9">
        <f>15535.64-13000</f>
        <v>2535.6399999999994</v>
      </c>
      <c r="AS22" s="26" t="s">
        <v>12796</v>
      </c>
      <c r="AT22" s="9">
        <v>3250</v>
      </c>
      <c r="AU22" s="15" t="s">
        <v>13049</v>
      </c>
      <c r="AV22" s="7">
        <v>105000</v>
      </c>
      <c r="AW22" s="26" t="s">
        <v>12888</v>
      </c>
      <c r="AX22" s="9"/>
      <c r="AY22" s="26"/>
      <c r="AZ22" s="9"/>
      <c r="BA22" s="26"/>
      <c r="BB22" s="7">
        <v>871.39</v>
      </c>
      <c r="BC22" s="26" t="s">
        <v>13040</v>
      </c>
      <c r="BD22" s="9"/>
      <c r="BE22" s="15"/>
      <c r="BF22" s="9"/>
      <c r="BG22" s="26"/>
      <c r="BH22" s="9"/>
      <c r="BI22" s="26"/>
      <c r="BJ22" s="9"/>
      <c r="BK22" s="26"/>
      <c r="BL22" s="9"/>
      <c r="BM22" s="15"/>
      <c r="BN22" s="11"/>
      <c r="BO22" s="13"/>
      <c r="BP22" s="9"/>
      <c r="BQ22" s="15"/>
      <c r="BR22" s="9"/>
      <c r="BS22" s="15"/>
      <c r="BT22" s="9"/>
      <c r="BU22" s="15"/>
      <c r="BV22" s="9"/>
      <c r="BW22" s="15"/>
      <c r="BX22" s="9"/>
      <c r="BY22" s="15"/>
      <c r="BZ22" s="9"/>
      <c r="CA22" s="15"/>
      <c r="CB22" s="9"/>
      <c r="CC22" s="15"/>
      <c r="CD22" s="9"/>
      <c r="CE22" s="15"/>
      <c r="CF22" s="9"/>
      <c r="CG22" s="15"/>
      <c r="CH22" s="9"/>
      <c r="CI22" s="15"/>
      <c r="CJ22" s="9"/>
      <c r="CK22" s="15"/>
      <c r="CL22" s="9"/>
      <c r="CM22" s="15"/>
      <c r="CN22" s="9"/>
      <c r="CO22" s="15"/>
      <c r="CP22" s="9"/>
      <c r="CQ22" s="15"/>
      <c r="CR22" s="9"/>
    </row>
    <row r="23" spans="1:96" x14ac:dyDescent="0.25">
      <c r="A23" s="41"/>
      <c r="B23" s="9">
        <v>2040.01</v>
      </c>
      <c r="C23" s="15" t="s">
        <v>11774</v>
      </c>
      <c r="D23" s="7">
        <v>5519.64</v>
      </c>
      <c r="E23" s="26" t="s">
        <v>11824</v>
      </c>
      <c r="F23" s="9">
        <v>1169.01</v>
      </c>
      <c r="G23" s="26" t="s">
        <v>11909</v>
      </c>
      <c r="H23" s="9">
        <v>1970</v>
      </c>
      <c r="I23" s="15" t="s">
        <v>11931</v>
      </c>
      <c r="J23" s="9">
        <v>1099.01</v>
      </c>
      <c r="K23" s="15" t="s">
        <v>11991</v>
      </c>
      <c r="L23" s="9"/>
      <c r="M23" s="15"/>
      <c r="N23" s="9">
        <v>239.01</v>
      </c>
      <c r="O23" s="15" t="s">
        <v>12069</v>
      </c>
      <c r="P23" s="9">
        <v>92.87</v>
      </c>
      <c r="Q23" s="15" t="s">
        <v>12124</v>
      </c>
      <c r="R23" s="9"/>
      <c r="S23" s="15"/>
      <c r="T23" s="9"/>
      <c r="U23" s="15"/>
      <c r="V23" s="9">
        <v>277.94</v>
      </c>
      <c r="W23" s="15" t="s">
        <v>12272</v>
      </c>
      <c r="X23" s="9"/>
      <c r="Y23" s="15"/>
      <c r="Z23" s="15"/>
      <c r="AA23" s="15"/>
      <c r="AB23" s="9">
        <v>510.4</v>
      </c>
      <c r="AC23" s="26" t="s">
        <v>12353</v>
      </c>
      <c r="AD23" s="9">
        <v>1760.88</v>
      </c>
      <c r="AE23" s="15" t="s">
        <v>12394</v>
      </c>
      <c r="AF23" s="72">
        <v>1206.74</v>
      </c>
      <c r="AG23" s="86" t="s">
        <v>12486</v>
      </c>
      <c r="AH23" s="72">
        <v>1099.01</v>
      </c>
      <c r="AI23" s="26" t="s">
        <v>12539</v>
      </c>
      <c r="AJ23" s="7"/>
      <c r="AK23" s="26"/>
      <c r="AL23" s="87">
        <v>1169.01</v>
      </c>
      <c r="AM23" s="26" t="s">
        <v>12664</v>
      </c>
      <c r="AN23" s="9"/>
      <c r="AO23" s="15"/>
      <c r="AP23" s="9"/>
      <c r="AQ23" s="26"/>
      <c r="AR23" s="9">
        <v>1169.01</v>
      </c>
      <c r="AS23" s="26" t="s">
        <v>12804</v>
      </c>
      <c r="AT23" s="9">
        <v>175</v>
      </c>
      <c r="AU23" s="26" t="s">
        <v>13050</v>
      </c>
      <c r="AV23" s="7">
        <v>1006.11</v>
      </c>
      <c r="AW23" s="26" t="s">
        <v>12892</v>
      </c>
      <c r="AX23" s="9"/>
      <c r="AY23" s="15"/>
      <c r="AZ23" s="9"/>
      <c r="BA23" s="15"/>
      <c r="BB23" s="7">
        <v>1990</v>
      </c>
      <c r="BC23" s="26" t="s">
        <v>13041</v>
      </c>
      <c r="BD23" s="9"/>
      <c r="BE23" s="15"/>
      <c r="BF23" s="9"/>
      <c r="BG23" s="26"/>
      <c r="BH23" s="9"/>
      <c r="BI23" s="26"/>
      <c r="BJ23" s="9"/>
      <c r="BK23" s="26"/>
      <c r="BL23" s="9"/>
      <c r="BM23" s="15"/>
      <c r="BN23" s="9"/>
      <c r="BO23" s="15"/>
      <c r="BP23" s="9"/>
      <c r="BQ23" s="15"/>
      <c r="BR23" s="9"/>
      <c r="BS23" s="15"/>
      <c r="BT23" s="9"/>
      <c r="BU23" s="15"/>
      <c r="BV23" s="9"/>
      <c r="BW23" s="15"/>
      <c r="BX23" s="9"/>
      <c r="BY23" s="15"/>
      <c r="BZ23" s="9"/>
      <c r="CA23" s="15"/>
      <c r="CB23" s="9"/>
      <c r="CC23" s="15"/>
      <c r="CD23" s="9"/>
      <c r="CE23" s="15"/>
      <c r="CF23" s="9"/>
      <c r="CG23" s="15"/>
      <c r="CH23" s="9"/>
      <c r="CI23" s="15"/>
      <c r="CJ23" s="9"/>
      <c r="CK23" s="15"/>
      <c r="CL23" s="9"/>
      <c r="CM23" s="15"/>
      <c r="CN23" s="9"/>
      <c r="CO23" s="15"/>
      <c r="CP23" s="9"/>
      <c r="CQ23" s="15"/>
      <c r="CR23" s="9"/>
    </row>
    <row r="24" spans="1:96" x14ac:dyDescent="0.25">
      <c r="A24" s="41"/>
      <c r="B24" s="9">
        <v>1995</v>
      </c>
      <c r="C24" s="15" t="s">
        <v>11780</v>
      </c>
      <c r="D24" s="7">
        <v>928</v>
      </c>
      <c r="E24" s="26" t="s">
        <v>11825</v>
      </c>
      <c r="F24" s="9">
        <v>5261.57</v>
      </c>
      <c r="G24" s="26" t="s">
        <v>11910</v>
      </c>
      <c r="H24" s="9">
        <v>2389.21</v>
      </c>
      <c r="I24" s="15" t="s">
        <v>11932</v>
      </c>
      <c r="J24" s="9">
        <v>2040</v>
      </c>
      <c r="K24" s="15" t="s">
        <v>11994</v>
      </c>
      <c r="L24" s="9"/>
      <c r="M24" s="15"/>
      <c r="N24" s="9">
        <v>4064.99</v>
      </c>
      <c r="O24" s="15" t="s">
        <v>12075</v>
      </c>
      <c r="P24" s="9"/>
      <c r="Q24" s="15"/>
      <c r="R24" s="9"/>
      <c r="S24" s="15"/>
      <c r="T24" s="9"/>
      <c r="U24" s="15"/>
      <c r="V24" s="9">
        <v>1014.47</v>
      </c>
      <c r="W24" s="15" t="s">
        <v>12273</v>
      </c>
      <c r="X24" s="9"/>
      <c r="Y24" s="15"/>
      <c r="Z24" s="15"/>
      <c r="AA24" s="15"/>
      <c r="AB24" s="9">
        <v>1169</v>
      </c>
      <c r="AC24" s="15" t="s">
        <v>12355</v>
      </c>
      <c r="AD24" s="9">
        <v>524.46</v>
      </c>
      <c r="AE24" s="15" t="s">
        <v>12395</v>
      </c>
      <c r="AF24" s="72">
        <v>100</v>
      </c>
      <c r="AG24" s="86" t="s">
        <v>12488</v>
      </c>
      <c r="AH24" s="9">
        <v>1169.01</v>
      </c>
      <c r="AI24" s="15" t="s">
        <v>12540</v>
      </c>
      <c r="AJ24" s="7"/>
      <c r="AK24" s="26"/>
      <c r="AL24" s="87">
        <v>1099.01</v>
      </c>
      <c r="AM24" s="26" t="s">
        <v>12666</v>
      </c>
      <c r="AN24" s="9"/>
      <c r="AO24" s="15"/>
      <c r="AP24" s="9"/>
      <c r="AQ24" s="26"/>
      <c r="AR24" s="9">
        <v>1169</v>
      </c>
      <c r="AS24" s="26" t="s">
        <v>12807</v>
      </c>
      <c r="AT24" s="9">
        <v>654.07000000000005</v>
      </c>
      <c r="AU24" s="26" t="s">
        <v>13054</v>
      </c>
      <c r="AV24" s="7">
        <v>1513</v>
      </c>
      <c r="AW24" s="26" t="s">
        <v>12894</v>
      </c>
      <c r="AX24" s="72"/>
      <c r="AY24" s="15"/>
      <c r="AZ24" s="9"/>
      <c r="BA24" s="15"/>
      <c r="BB24" s="7">
        <v>1885.08</v>
      </c>
      <c r="BC24" s="26" t="s">
        <v>13042</v>
      </c>
      <c r="BD24" s="9"/>
      <c r="BE24" s="15"/>
      <c r="BF24" s="9"/>
      <c r="BG24" s="15"/>
      <c r="BH24" s="9"/>
      <c r="BI24" s="26"/>
      <c r="BJ24" s="9"/>
      <c r="BK24" s="26"/>
      <c r="BL24" s="9"/>
      <c r="BM24" s="15"/>
      <c r="BN24" s="9"/>
      <c r="BO24" s="15"/>
      <c r="BP24" s="9"/>
      <c r="BQ24" s="15"/>
      <c r="BR24" s="9"/>
      <c r="BS24" s="15"/>
      <c r="BT24" s="9"/>
      <c r="BU24" s="15"/>
      <c r="BV24" s="9"/>
      <c r="BW24" s="15"/>
      <c r="BX24" s="9"/>
      <c r="BY24" s="15"/>
      <c r="BZ24" s="9"/>
      <c r="CA24" s="15"/>
      <c r="CB24" s="9"/>
      <c r="CC24" s="15"/>
      <c r="CD24" s="9"/>
      <c r="CE24" s="15"/>
      <c r="CF24" s="9"/>
      <c r="CG24" s="15"/>
      <c r="CH24" s="9"/>
      <c r="CI24" s="15"/>
      <c r="CJ24" s="9"/>
      <c r="CK24" s="15"/>
      <c r="CL24" s="9"/>
      <c r="CM24" s="15"/>
      <c r="CN24" s="9"/>
      <c r="CO24" s="15"/>
      <c r="CP24" s="9"/>
      <c r="CQ24" s="15"/>
      <c r="CR24" s="9"/>
    </row>
    <row r="25" spans="1:96" x14ac:dyDescent="0.25">
      <c r="A25" s="41"/>
      <c r="B25" s="15">
        <v>2040</v>
      </c>
      <c r="C25" s="15" t="s">
        <v>11776</v>
      </c>
      <c r="D25" s="7">
        <v>2743.27</v>
      </c>
      <c r="E25" s="26" t="s">
        <v>11830</v>
      </c>
      <c r="F25" s="9">
        <v>7382.53</v>
      </c>
      <c r="G25" s="26" t="s">
        <v>11915</v>
      </c>
      <c r="H25" s="9">
        <v>2065.0100000000002</v>
      </c>
      <c r="I25" s="9" t="s">
        <v>11935</v>
      </c>
      <c r="J25" s="9">
        <v>2040</v>
      </c>
      <c r="K25" s="15" t="s">
        <v>11995</v>
      </c>
      <c r="L25" s="9"/>
      <c r="M25" s="15"/>
      <c r="N25" s="9">
        <v>4395</v>
      </c>
      <c r="O25" s="15" t="s">
        <v>12077</v>
      </c>
      <c r="P25" s="9"/>
      <c r="Q25" s="15"/>
      <c r="R25" s="9"/>
      <c r="S25" s="15"/>
      <c r="T25" s="72"/>
      <c r="U25" s="24"/>
      <c r="V25" s="9"/>
      <c r="W25" s="15"/>
      <c r="X25" s="9"/>
      <c r="Y25" s="15"/>
      <c r="Z25" s="15"/>
      <c r="AA25" s="15"/>
      <c r="AB25" s="9"/>
      <c r="AC25" s="15"/>
      <c r="AD25" s="9">
        <v>2434.62</v>
      </c>
      <c r="AE25" s="15" t="s">
        <v>12398</v>
      </c>
      <c r="AF25" s="72">
        <v>7139</v>
      </c>
      <c r="AG25" s="86" t="s">
        <v>12496</v>
      </c>
      <c r="AH25" s="9">
        <v>1969.99</v>
      </c>
      <c r="AI25" s="26" t="s">
        <v>12542</v>
      </c>
      <c r="AJ25" s="7"/>
      <c r="AK25" s="26"/>
      <c r="AL25" s="87">
        <v>1169</v>
      </c>
      <c r="AM25" s="26" t="s">
        <v>12667</v>
      </c>
      <c r="AN25" s="9"/>
      <c r="AO25" s="15"/>
      <c r="AP25" s="127"/>
      <c r="AQ25" s="24"/>
      <c r="AR25" s="9"/>
      <c r="AS25" s="15"/>
      <c r="AT25" s="9">
        <v>1150.45</v>
      </c>
      <c r="AU25" s="26" t="s">
        <v>13055</v>
      </c>
      <c r="AV25" s="7">
        <v>2040</v>
      </c>
      <c r="AW25" s="26" t="s">
        <v>12896</v>
      </c>
      <c r="AX25" s="9"/>
      <c r="AY25" s="15"/>
      <c r="AZ25" s="9"/>
      <c r="BA25" s="15"/>
      <c r="BB25" s="72">
        <v>260.33</v>
      </c>
      <c r="BC25" s="15" t="s">
        <v>13044</v>
      </c>
      <c r="BD25" s="9"/>
      <c r="BE25" s="15"/>
      <c r="BF25" s="9"/>
      <c r="BG25" s="15"/>
      <c r="BH25" s="9"/>
      <c r="BI25" s="26"/>
      <c r="BJ25" s="72"/>
      <c r="BK25" s="24"/>
      <c r="BL25" s="9"/>
      <c r="BM25" s="15"/>
      <c r="BN25" s="9"/>
      <c r="BO25" s="15"/>
      <c r="BP25" s="9"/>
      <c r="BQ25" s="15"/>
      <c r="BR25" s="9"/>
      <c r="BS25" s="15"/>
      <c r="BT25" s="9"/>
      <c r="BU25" s="15"/>
      <c r="BV25" s="9"/>
      <c r="BW25" s="15"/>
      <c r="BX25" s="9"/>
      <c r="BY25" s="15"/>
      <c r="BZ25" s="9"/>
      <c r="CA25" s="15"/>
      <c r="CB25" s="9"/>
      <c r="CC25" s="15"/>
      <c r="CD25" s="9"/>
      <c r="CE25" s="15"/>
      <c r="CF25" s="9"/>
      <c r="CG25" s="15"/>
      <c r="CH25" s="9"/>
      <c r="CI25" s="15"/>
      <c r="CJ25" s="9"/>
      <c r="CK25" s="15"/>
      <c r="CL25" s="9"/>
      <c r="CM25" s="15"/>
      <c r="CN25" s="9"/>
      <c r="CO25" s="15"/>
      <c r="CP25" s="9"/>
      <c r="CQ25" s="15"/>
      <c r="CR25" s="9"/>
    </row>
    <row r="26" spans="1:96" x14ac:dyDescent="0.25">
      <c r="A26" s="41"/>
      <c r="B26" s="15">
        <v>1869.54</v>
      </c>
      <c r="C26" s="15" t="s">
        <v>11772</v>
      </c>
      <c r="D26" s="7">
        <v>1995</v>
      </c>
      <c r="E26" s="26" t="s">
        <v>11832</v>
      </c>
      <c r="F26" s="7">
        <v>1099.01</v>
      </c>
      <c r="G26" s="26" t="s">
        <v>11918</v>
      </c>
      <c r="H26" s="9">
        <v>1169</v>
      </c>
      <c r="I26" s="15" t="s">
        <v>11943</v>
      </c>
      <c r="J26" s="9">
        <v>1169</v>
      </c>
      <c r="K26" s="15" t="s">
        <v>12000</v>
      </c>
      <c r="L26" s="9"/>
      <c r="M26" s="15"/>
      <c r="N26" s="7">
        <v>1099.01</v>
      </c>
      <c r="O26" s="26" t="s">
        <v>12079</v>
      </c>
      <c r="P26" s="7"/>
      <c r="Q26" s="26"/>
      <c r="R26" s="7"/>
      <c r="S26" s="26"/>
      <c r="T26" s="9"/>
      <c r="U26" s="26"/>
      <c r="V26" s="9"/>
      <c r="W26" s="15"/>
      <c r="X26" s="9"/>
      <c r="Y26" s="15"/>
      <c r="Z26" s="15"/>
      <c r="AA26" s="15"/>
      <c r="AB26" s="9"/>
      <c r="AC26" s="15"/>
      <c r="AD26" s="9">
        <v>3250.01</v>
      </c>
      <c r="AE26" s="15" t="s">
        <v>12402</v>
      </c>
      <c r="AF26" s="228">
        <v>1169</v>
      </c>
      <c r="AG26" s="86" t="s">
        <v>12498</v>
      </c>
      <c r="AH26" s="87">
        <v>1099.01</v>
      </c>
      <c r="AI26" s="26" t="s">
        <v>12543</v>
      </c>
      <c r="AJ26" s="7"/>
      <c r="AK26" s="26"/>
      <c r="AL26" s="87">
        <v>3250</v>
      </c>
      <c r="AM26" s="26" t="s">
        <v>12668</v>
      </c>
      <c r="AN26" s="9"/>
      <c r="AO26" s="15"/>
      <c r="AP26" s="9"/>
      <c r="AQ26" s="26"/>
      <c r="AR26" s="9"/>
      <c r="AS26" s="15"/>
      <c r="AT26" s="9">
        <v>2535.42</v>
      </c>
      <c r="AU26" s="26" t="s">
        <v>13060</v>
      </c>
      <c r="AV26" s="7">
        <v>1099.01</v>
      </c>
      <c r="AW26" s="26" t="s">
        <v>12897</v>
      </c>
      <c r="AX26" s="7"/>
      <c r="AY26" s="26"/>
      <c r="AZ26" s="9"/>
      <c r="BA26" s="26"/>
      <c r="BB26" s="9">
        <v>278.61</v>
      </c>
      <c r="BC26" s="15" t="s">
        <v>13045</v>
      </c>
      <c r="BD26" s="9"/>
      <c r="BE26" s="15"/>
      <c r="BF26" s="9"/>
      <c r="BG26" s="15"/>
      <c r="BH26" s="72"/>
      <c r="BI26" s="24"/>
      <c r="BJ26" s="9"/>
      <c r="BK26" s="26"/>
      <c r="BL26" s="9"/>
      <c r="BM26" s="15"/>
      <c r="BN26" s="9"/>
      <c r="BO26" s="15"/>
      <c r="BP26" s="9"/>
      <c r="BQ26" s="15"/>
      <c r="BR26" s="9"/>
      <c r="BS26" s="15"/>
      <c r="BT26" s="9"/>
      <c r="BU26" s="15"/>
      <c r="BV26" s="9"/>
      <c r="BW26" s="15"/>
      <c r="BX26" s="9"/>
      <c r="BY26" s="15"/>
      <c r="BZ26" s="9"/>
      <c r="CA26" s="15"/>
      <c r="CB26" s="9"/>
      <c r="CC26" s="15"/>
      <c r="CD26" s="9"/>
      <c r="CE26" s="15"/>
      <c r="CF26" s="9"/>
      <c r="CG26" s="15"/>
      <c r="CH26" s="9"/>
      <c r="CI26" s="15"/>
      <c r="CJ26" s="9"/>
      <c r="CK26" s="15"/>
      <c r="CL26" s="9"/>
      <c r="CM26" s="15"/>
      <c r="CN26" s="9"/>
      <c r="CO26" s="15"/>
      <c r="CP26" s="9"/>
      <c r="CQ26" s="15"/>
      <c r="CR26" s="9"/>
    </row>
    <row r="27" spans="1:96" x14ac:dyDescent="0.25">
      <c r="A27" s="41"/>
      <c r="B27" s="15">
        <v>480.04</v>
      </c>
      <c r="C27" s="15" t="s">
        <v>11773</v>
      </c>
      <c r="D27" s="7">
        <v>1169</v>
      </c>
      <c r="E27" s="15" t="s">
        <v>11833</v>
      </c>
      <c r="F27" s="7">
        <v>2040</v>
      </c>
      <c r="G27" s="26" t="s">
        <v>11919</v>
      </c>
      <c r="H27" s="9">
        <v>1525.99</v>
      </c>
      <c r="I27" s="15" t="s">
        <v>11945</v>
      </c>
      <c r="J27" s="9"/>
      <c r="K27" s="9"/>
      <c r="L27" s="7"/>
      <c r="M27" s="26"/>
      <c r="N27" s="7"/>
      <c r="O27" s="26"/>
      <c r="P27" s="7"/>
      <c r="Q27" s="26"/>
      <c r="R27" s="7"/>
      <c r="S27" s="26"/>
      <c r="T27" s="9"/>
      <c r="U27" s="26"/>
      <c r="V27" s="7"/>
      <c r="W27" s="26"/>
      <c r="X27" s="7"/>
      <c r="Y27" s="26"/>
      <c r="Z27" s="26"/>
      <c r="AA27" s="26"/>
      <c r="AB27" s="9"/>
      <c r="AC27" s="26"/>
      <c r="AD27" s="9">
        <v>3320</v>
      </c>
      <c r="AE27" s="26" t="s">
        <v>12403</v>
      </c>
      <c r="AF27" s="72">
        <v>1970</v>
      </c>
      <c r="AG27" s="86" t="s">
        <v>12499</v>
      </c>
      <c r="AH27" s="87"/>
      <c r="AI27" s="26"/>
      <c r="AJ27" s="7"/>
      <c r="AK27" s="26"/>
      <c r="AL27" s="72">
        <v>1099.01</v>
      </c>
      <c r="AM27" s="15" t="s">
        <v>12674</v>
      </c>
      <c r="AN27" s="9"/>
      <c r="AO27" s="15"/>
      <c r="AP27" s="9"/>
      <c r="AQ27" s="26"/>
      <c r="AR27" s="9"/>
      <c r="AS27" s="26"/>
      <c r="AT27" s="7"/>
      <c r="AU27" s="26"/>
      <c r="AV27" s="7">
        <v>1099.01</v>
      </c>
      <c r="AW27" s="26" t="s">
        <v>12898</v>
      </c>
      <c r="AX27" s="7"/>
      <c r="AY27" s="26"/>
      <c r="AZ27" s="9"/>
      <c r="BA27" s="15"/>
      <c r="BB27" s="7"/>
      <c r="BC27" s="26"/>
      <c r="BD27" s="9"/>
      <c r="BE27" s="15"/>
      <c r="BF27" s="7"/>
      <c r="BG27" s="26"/>
      <c r="BH27" s="9"/>
      <c r="BI27" s="15"/>
      <c r="BJ27" s="9"/>
      <c r="BK27" s="26"/>
      <c r="BL27" s="9"/>
      <c r="BM27" s="15"/>
      <c r="BN27" s="9"/>
      <c r="BO27" s="15"/>
      <c r="BP27" s="9"/>
      <c r="BQ27" s="15"/>
      <c r="BR27" s="9"/>
      <c r="BS27" s="15"/>
      <c r="BT27" s="9"/>
      <c r="BU27" s="15"/>
      <c r="BV27" s="9"/>
      <c r="BW27" s="15"/>
      <c r="BX27" s="9"/>
      <c r="BY27" s="15"/>
      <c r="BZ27" s="9"/>
      <c r="CA27" s="15"/>
      <c r="CB27" s="9"/>
      <c r="CC27" s="15"/>
      <c r="CD27" s="9"/>
      <c r="CE27" s="15"/>
      <c r="CF27" s="9"/>
      <c r="CG27" s="15"/>
      <c r="CH27" s="9"/>
      <c r="CI27" s="15"/>
      <c r="CJ27" s="9"/>
      <c r="CK27" s="15"/>
      <c r="CL27" s="9"/>
      <c r="CM27" s="15"/>
      <c r="CN27" s="9"/>
      <c r="CO27" s="15"/>
      <c r="CP27" s="9"/>
      <c r="CQ27" s="15"/>
      <c r="CR27" s="9"/>
    </row>
    <row r="28" spans="1:96" x14ac:dyDescent="0.25">
      <c r="A28" s="41"/>
      <c r="B28" s="9"/>
      <c r="C28" s="15"/>
      <c r="D28" s="7"/>
      <c r="E28" s="26"/>
      <c r="F28" s="14">
        <v>261.73</v>
      </c>
      <c r="G28" s="13" t="s">
        <v>11883</v>
      </c>
      <c r="H28" s="9"/>
      <c r="I28" s="15"/>
      <c r="J28" s="9"/>
      <c r="K28" s="9"/>
      <c r="L28" s="7"/>
      <c r="M28" s="26"/>
      <c r="N28" s="7"/>
      <c r="O28" s="26"/>
      <c r="P28" s="7"/>
      <c r="Q28" s="26"/>
      <c r="R28" s="7"/>
      <c r="S28" s="26"/>
      <c r="T28" s="9"/>
      <c r="U28" s="15"/>
      <c r="V28" s="7"/>
      <c r="W28" s="26"/>
      <c r="X28" s="7"/>
      <c r="Y28" s="26"/>
      <c r="Z28" s="26"/>
      <c r="AA28" s="26"/>
      <c r="AB28" s="9"/>
      <c r="AC28" s="26"/>
      <c r="AD28" s="9">
        <v>3250</v>
      </c>
      <c r="AE28" s="26" t="s">
        <v>12404</v>
      </c>
      <c r="AF28" s="9">
        <v>2516.59</v>
      </c>
      <c r="AG28" s="15" t="s">
        <v>12503</v>
      </c>
      <c r="AH28" s="87"/>
      <c r="AI28" s="26"/>
      <c r="AJ28" s="7"/>
      <c r="AK28" s="26"/>
      <c r="AL28" s="87"/>
      <c r="AM28" s="15"/>
      <c r="AN28" s="9"/>
      <c r="AO28" s="15"/>
      <c r="AP28" s="9"/>
      <c r="AQ28" s="26"/>
      <c r="AR28" s="7"/>
      <c r="AS28" s="26"/>
      <c r="AT28" s="7"/>
      <c r="AU28" s="26"/>
      <c r="AV28" s="7"/>
      <c r="AW28" s="26"/>
      <c r="AX28" s="9"/>
      <c r="AY28" s="15"/>
      <c r="AZ28" s="9"/>
      <c r="BA28" s="15"/>
      <c r="BB28" s="9">
        <v>2434</v>
      </c>
      <c r="BC28" s="15" t="s">
        <v>13065</v>
      </c>
      <c r="BD28" s="9"/>
      <c r="BE28" s="15"/>
      <c r="BF28" s="7"/>
      <c r="BG28" s="26"/>
      <c r="BH28" s="9"/>
      <c r="BI28" s="15"/>
      <c r="BJ28" s="7"/>
      <c r="BK28" s="26"/>
      <c r="BL28" s="9"/>
      <c r="BM28" s="15"/>
      <c r="BN28" s="9"/>
      <c r="BO28" s="15"/>
      <c r="BP28" s="9"/>
      <c r="BQ28" s="15"/>
      <c r="BR28" s="9"/>
      <c r="BS28" s="15"/>
      <c r="BT28" s="9"/>
      <c r="BU28" s="15"/>
      <c r="BV28" s="9"/>
      <c r="BW28" s="15"/>
      <c r="BX28" s="9"/>
      <c r="BY28" s="15"/>
      <c r="BZ28" s="9"/>
      <c r="CA28" s="15"/>
      <c r="CB28" s="9"/>
      <c r="CC28" s="15"/>
      <c r="CD28" s="9"/>
      <c r="CE28" s="15"/>
      <c r="CF28" s="9"/>
      <c r="CG28" s="15"/>
      <c r="CH28" s="9"/>
      <c r="CI28" s="15"/>
      <c r="CJ28" s="9"/>
      <c r="CK28" s="15"/>
      <c r="CL28" s="9"/>
      <c r="CM28" s="15"/>
      <c r="CN28" s="9"/>
      <c r="CO28" s="15"/>
      <c r="CP28" s="9"/>
      <c r="CQ28" s="15"/>
      <c r="CR28" s="9"/>
    </row>
    <row r="29" spans="1:96" x14ac:dyDescent="0.25">
      <c r="A29" s="41"/>
      <c r="B29" s="7"/>
      <c r="C29" s="26"/>
      <c r="D29" s="7"/>
      <c r="E29" s="26"/>
      <c r="F29" s="7"/>
      <c r="G29" s="26"/>
      <c r="H29" s="9"/>
      <c r="I29" s="15"/>
      <c r="J29" s="9"/>
      <c r="K29" s="26"/>
      <c r="L29" s="7"/>
      <c r="M29" s="26"/>
      <c r="N29" s="7"/>
      <c r="O29" s="26"/>
      <c r="P29" s="7"/>
      <c r="Q29" s="26"/>
      <c r="R29" s="9"/>
      <c r="S29" s="15"/>
      <c r="T29" s="9"/>
      <c r="U29" s="15"/>
      <c r="V29" s="7"/>
      <c r="W29" s="26"/>
      <c r="X29" s="7"/>
      <c r="Y29" s="26"/>
      <c r="Z29" s="26"/>
      <c r="AA29" s="26"/>
      <c r="AB29" s="9"/>
      <c r="AC29" s="26"/>
      <c r="AD29" s="9">
        <v>1099.01</v>
      </c>
      <c r="AE29" s="26" t="s">
        <v>12409</v>
      </c>
      <c r="AF29" s="7">
        <v>1169.01</v>
      </c>
      <c r="AG29" s="26" t="s">
        <v>12505</v>
      </c>
      <c r="AH29" s="7"/>
      <c r="AI29" s="26"/>
      <c r="AJ29" s="7"/>
      <c r="AK29" s="26"/>
      <c r="AL29" s="87"/>
      <c r="AM29" s="26"/>
      <c r="AN29" s="9"/>
      <c r="AO29" s="15"/>
      <c r="AP29" s="9"/>
      <c r="AQ29" s="15"/>
      <c r="AR29" s="7"/>
      <c r="AS29" s="26"/>
      <c r="AT29" s="7"/>
      <c r="AU29" s="26"/>
      <c r="AV29" s="7"/>
      <c r="AW29" s="26"/>
      <c r="AX29" s="9"/>
      <c r="AY29" s="15"/>
      <c r="AZ29" s="9"/>
      <c r="BA29" s="15"/>
      <c r="BB29" s="7">
        <v>100</v>
      </c>
      <c r="BC29" s="26" t="s">
        <v>13070</v>
      </c>
      <c r="BD29" s="7"/>
      <c r="BE29" s="26"/>
      <c r="BF29" s="7"/>
      <c r="BG29" s="26"/>
      <c r="BH29" s="7"/>
      <c r="BI29" s="26"/>
      <c r="BJ29" s="7"/>
      <c r="BK29" s="26"/>
      <c r="BL29" s="9"/>
      <c r="BM29" s="15"/>
      <c r="BN29" s="9"/>
      <c r="BO29" s="15"/>
      <c r="BP29" s="9"/>
      <c r="BQ29" s="15"/>
      <c r="BR29" s="9"/>
      <c r="BS29" s="15"/>
      <c r="BT29" s="9"/>
      <c r="BU29" s="15"/>
      <c r="BV29" s="9"/>
      <c r="BW29" s="15"/>
      <c r="BX29" s="9"/>
      <c r="BY29" s="15"/>
      <c r="BZ29" s="9"/>
      <c r="CA29" s="15"/>
      <c r="CB29" s="9"/>
      <c r="CC29" s="15"/>
      <c r="CD29" s="9"/>
      <c r="CE29" s="15"/>
      <c r="CF29" s="9"/>
      <c r="CG29" s="15"/>
      <c r="CH29" s="9"/>
      <c r="CI29" s="15"/>
      <c r="CJ29" s="9"/>
      <c r="CK29" s="15"/>
      <c r="CL29" s="9"/>
      <c r="CM29" s="15"/>
      <c r="CN29" s="9"/>
      <c r="CO29" s="15"/>
      <c r="CP29" s="9"/>
      <c r="CQ29" s="15"/>
      <c r="CR29" s="9"/>
    </row>
    <row r="30" spans="1:96" x14ac:dyDescent="0.25">
      <c r="A30" s="41"/>
      <c r="B30" s="9"/>
      <c r="C30" s="15"/>
      <c r="D30" s="9"/>
      <c r="E30" s="15"/>
      <c r="F30" s="9"/>
      <c r="G30" s="15"/>
      <c r="H30" s="9"/>
      <c r="I30" s="15"/>
      <c r="J30" s="9"/>
      <c r="K30" s="15"/>
      <c r="L30" s="9"/>
      <c r="M30" s="15"/>
      <c r="N30" s="9"/>
      <c r="O30" s="15"/>
      <c r="P30" s="7"/>
      <c r="Q30" s="26"/>
      <c r="R30" s="10"/>
      <c r="S30" s="12"/>
      <c r="T30" s="9"/>
      <c r="U30" s="15"/>
      <c r="V30" s="9"/>
      <c r="W30" s="15"/>
      <c r="X30" s="9"/>
      <c r="Y30" s="15"/>
      <c r="Z30" s="15"/>
      <c r="AA30" s="15"/>
      <c r="AB30" s="9"/>
      <c r="AC30" s="15"/>
      <c r="AD30" s="11">
        <v>4395.01</v>
      </c>
      <c r="AE30" s="13" t="s">
        <v>12411</v>
      </c>
      <c r="AF30" s="9"/>
      <c r="AG30" s="15"/>
      <c r="AH30" s="9"/>
      <c r="AI30" s="15"/>
      <c r="AJ30" s="9"/>
      <c r="AK30" s="15"/>
      <c r="AL30" s="72"/>
      <c r="AM30" s="15"/>
      <c r="AN30" s="9"/>
      <c r="AO30" s="15"/>
      <c r="AP30" s="10"/>
      <c r="AQ30" s="12"/>
      <c r="AR30" s="9"/>
      <c r="AS30" s="15"/>
      <c r="AT30" s="9"/>
      <c r="AU30" s="15"/>
      <c r="AV30" s="9"/>
      <c r="AW30" s="15"/>
      <c r="AX30" s="9"/>
      <c r="AY30" s="15"/>
      <c r="AZ30" s="11"/>
      <c r="BA30" s="12"/>
      <c r="BB30" s="9">
        <v>58500</v>
      </c>
      <c r="BC30" s="15" t="s">
        <v>13073</v>
      </c>
      <c r="BD30" s="11"/>
      <c r="BE30" s="13"/>
      <c r="BF30" s="9"/>
      <c r="BG30" s="15"/>
      <c r="BH30" s="9"/>
      <c r="BI30" s="15"/>
      <c r="BJ30" s="9"/>
      <c r="BK30" s="15"/>
      <c r="BL30" s="9"/>
      <c r="BM30" s="15"/>
      <c r="BN30" s="9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  <c r="CO30" s="15"/>
      <c r="CP30" s="9"/>
      <c r="CQ30" s="15"/>
      <c r="CR30" s="9"/>
    </row>
    <row r="31" spans="1:96" x14ac:dyDescent="0.25">
      <c r="A31" s="43"/>
      <c r="B31" s="10"/>
      <c r="C31" s="12"/>
      <c r="D31" s="10"/>
      <c r="E31" s="12"/>
      <c r="F31" s="10"/>
      <c r="G31" s="12"/>
      <c r="H31" s="9"/>
      <c r="I31" s="15"/>
      <c r="J31" s="11"/>
      <c r="K31" s="12"/>
      <c r="L31" s="10"/>
      <c r="M31" s="12"/>
      <c r="N31" s="10"/>
      <c r="O31" s="12"/>
      <c r="P31" s="9"/>
      <c r="Q31" s="15"/>
      <c r="R31" s="7"/>
      <c r="S31" s="26"/>
      <c r="T31" s="11"/>
      <c r="U31" s="12"/>
      <c r="V31" s="10"/>
      <c r="W31" s="12"/>
      <c r="X31" s="10"/>
      <c r="Y31" s="12"/>
      <c r="Z31" s="12"/>
      <c r="AA31" s="12"/>
      <c r="AB31" s="11"/>
      <c r="AC31" s="12"/>
      <c r="AD31" s="10">
        <v>2065</v>
      </c>
      <c r="AE31" s="12" t="s">
        <v>12414</v>
      </c>
      <c r="AF31" s="10"/>
      <c r="AG31" s="12"/>
      <c r="AH31" s="10"/>
      <c r="AI31" s="12"/>
      <c r="AJ31" s="10"/>
      <c r="AK31" s="12"/>
      <c r="AL31" s="87"/>
      <c r="AM31" s="12"/>
      <c r="AN31" s="10"/>
      <c r="AO31" s="12"/>
      <c r="AP31" s="10"/>
      <c r="AQ31" s="12"/>
      <c r="AR31" s="10"/>
      <c r="AS31" s="12"/>
      <c r="AT31" s="10"/>
      <c r="AU31" s="12"/>
      <c r="AV31" s="10"/>
      <c r="AW31" s="12"/>
      <c r="AX31" s="10"/>
      <c r="AY31" s="12"/>
      <c r="AZ31" s="9"/>
      <c r="BA31" s="26"/>
      <c r="BB31" s="10">
        <v>709.02</v>
      </c>
      <c r="BC31" s="12" t="s">
        <v>13074</v>
      </c>
      <c r="BD31" s="9"/>
      <c r="BE31" s="15"/>
      <c r="BF31" s="10"/>
      <c r="BG31" s="12"/>
      <c r="BH31" s="10"/>
      <c r="BI31" s="12"/>
      <c r="BJ31" s="10"/>
      <c r="BK31" s="12"/>
      <c r="BL31" s="11"/>
      <c r="BM31" s="13"/>
      <c r="BN31" s="11"/>
      <c r="BO31" s="13"/>
      <c r="BP31" s="11"/>
      <c r="BQ31" s="13"/>
      <c r="BR31" s="11"/>
      <c r="BS31" s="13"/>
      <c r="BT31" s="11"/>
      <c r="BU31" s="13"/>
      <c r="BV31" s="11"/>
      <c r="BW31" s="13"/>
      <c r="BX31" s="11"/>
      <c r="BY31" s="13"/>
      <c r="BZ31" s="11"/>
      <c r="CA31" s="13"/>
      <c r="CB31" s="11"/>
      <c r="CC31" s="13"/>
      <c r="CD31" s="11"/>
      <c r="CE31" s="13"/>
      <c r="CF31" s="11"/>
      <c r="CG31" s="13"/>
      <c r="CH31" s="11"/>
      <c r="CI31" s="13"/>
      <c r="CJ31" s="11"/>
      <c r="CK31" s="13"/>
      <c r="CL31" s="11"/>
      <c r="CM31" s="13"/>
      <c r="CN31" s="11"/>
      <c r="CO31" s="13"/>
      <c r="CP31" s="11"/>
      <c r="CQ31" s="13"/>
      <c r="CR31" s="11"/>
    </row>
    <row r="32" spans="1:96" x14ac:dyDescent="0.25">
      <c r="A32" s="41"/>
      <c r="B32" s="7"/>
      <c r="C32" s="26"/>
      <c r="D32" s="7"/>
      <c r="E32" s="26"/>
      <c r="F32" s="7"/>
      <c r="G32" s="26"/>
      <c r="H32" s="9"/>
      <c r="I32" s="15"/>
      <c r="J32" s="9"/>
      <c r="K32" s="26"/>
      <c r="L32" s="7"/>
      <c r="M32" s="26"/>
      <c r="N32" s="7"/>
      <c r="O32" s="26"/>
      <c r="P32" s="7"/>
      <c r="Q32" s="26"/>
      <c r="R32" s="7"/>
      <c r="S32" s="26"/>
      <c r="T32" s="9"/>
      <c r="U32" s="26"/>
      <c r="V32" s="7"/>
      <c r="W32" s="26"/>
      <c r="X32" s="7"/>
      <c r="Y32" s="26"/>
      <c r="Z32" s="26"/>
      <c r="AA32" s="26"/>
      <c r="AB32" s="9"/>
      <c r="AC32" s="26"/>
      <c r="AD32" s="7">
        <v>3320</v>
      </c>
      <c r="AE32" s="26" t="s">
        <v>12421</v>
      </c>
      <c r="AF32" s="7"/>
      <c r="AG32" s="26"/>
      <c r="AH32" s="7"/>
      <c r="AI32" s="26"/>
      <c r="AJ32" s="7"/>
      <c r="AK32" s="26"/>
      <c r="AL32" s="7"/>
      <c r="AM32" s="26"/>
      <c r="AN32" s="9"/>
      <c r="AO32" s="15"/>
      <c r="AP32" s="7"/>
      <c r="AQ32" s="26"/>
      <c r="AR32" s="7"/>
      <c r="AS32" s="26"/>
      <c r="AT32" s="7"/>
      <c r="AU32" s="26"/>
      <c r="AV32" s="7"/>
      <c r="AW32" s="26"/>
      <c r="AX32" s="7"/>
      <c r="AY32" s="26"/>
      <c r="AZ32" s="7"/>
      <c r="BA32" s="26"/>
      <c r="BB32" s="7">
        <v>2320</v>
      </c>
      <c r="BC32" s="26" t="s">
        <v>13076</v>
      </c>
      <c r="BD32" s="9"/>
      <c r="BE32" s="15"/>
      <c r="BF32" s="7"/>
      <c r="BG32" s="26"/>
      <c r="BH32" s="7"/>
      <c r="BI32" s="26"/>
      <c r="BJ32" s="7"/>
      <c r="BK32" s="26"/>
      <c r="BL32" s="9"/>
      <c r="BM32" s="15"/>
      <c r="BN32" s="9"/>
      <c r="BO32" s="15"/>
      <c r="BP32" s="9"/>
      <c r="BQ32" s="15"/>
      <c r="BR32" s="9"/>
      <c r="BS32" s="15"/>
      <c r="BT32" s="9"/>
      <c r="BU32" s="15"/>
      <c r="BV32" s="9"/>
      <c r="BW32" s="15"/>
      <c r="BX32" s="9"/>
      <c r="BY32" s="15"/>
      <c r="BZ32" s="9"/>
      <c r="CA32" s="15"/>
      <c r="CB32" s="9"/>
      <c r="CC32" s="15"/>
      <c r="CD32" s="9"/>
      <c r="CE32" s="15"/>
      <c r="CF32" s="9"/>
      <c r="CG32" s="15"/>
      <c r="CH32" s="9"/>
      <c r="CI32" s="15"/>
      <c r="CJ32" s="9"/>
      <c r="CK32" s="15"/>
      <c r="CL32" s="9"/>
      <c r="CM32" s="15"/>
      <c r="CN32" s="9"/>
      <c r="CO32" s="15"/>
      <c r="CP32" s="9"/>
      <c r="CQ32" s="15"/>
      <c r="CR32" s="9"/>
    </row>
    <row r="33" spans="1:96" x14ac:dyDescent="0.25">
      <c r="A33" s="41"/>
      <c r="B33" s="7"/>
      <c r="C33" s="26"/>
      <c r="D33" s="7"/>
      <c r="E33" s="26"/>
      <c r="F33" s="7"/>
      <c r="G33" s="26"/>
      <c r="H33" s="9"/>
      <c r="I33" s="15"/>
      <c r="J33" s="9"/>
      <c r="K33" s="26"/>
      <c r="L33" s="7"/>
      <c r="M33" s="26"/>
      <c r="N33" s="7"/>
      <c r="O33" s="26"/>
      <c r="P33" s="7"/>
      <c r="Q33" s="26"/>
      <c r="R33" s="7"/>
      <c r="S33" s="26"/>
      <c r="T33" s="9"/>
      <c r="U33" s="26"/>
      <c r="V33" s="7"/>
      <c r="W33" s="26"/>
      <c r="X33" s="7"/>
      <c r="Y33" s="26"/>
      <c r="Z33" s="26"/>
      <c r="AA33" s="26"/>
      <c r="AB33" s="9"/>
      <c r="AC33" s="26"/>
      <c r="AD33" s="7">
        <v>1099.01</v>
      </c>
      <c r="AE33" s="26" t="s">
        <v>12422</v>
      </c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/>
      <c r="AQ33" s="26"/>
      <c r="AR33" s="7"/>
      <c r="AS33" s="26"/>
      <c r="AT33" s="7"/>
      <c r="AU33" s="26"/>
      <c r="AV33" s="7"/>
      <c r="AW33" s="26"/>
      <c r="AX33" s="7"/>
      <c r="AY33" s="26"/>
      <c r="AZ33" s="7"/>
      <c r="BA33" s="26"/>
      <c r="BB33" s="7">
        <v>1970</v>
      </c>
      <c r="BC33" s="26" t="s">
        <v>13077</v>
      </c>
      <c r="BD33" s="9"/>
      <c r="BE33" s="15"/>
      <c r="BF33" s="7"/>
      <c r="BG33" s="26"/>
      <c r="BH33" s="7"/>
      <c r="BI33" s="26"/>
      <c r="BJ33" s="7"/>
      <c r="BK33" s="26"/>
      <c r="BL33" s="9"/>
      <c r="BM33" s="15"/>
      <c r="BN33" s="9"/>
      <c r="BO33" s="15"/>
      <c r="BP33" s="9"/>
      <c r="BQ33" s="15"/>
      <c r="BR33" s="9"/>
      <c r="BS33" s="15"/>
      <c r="BT33" s="9"/>
      <c r="BU33" s="15"/>
      <c r="BV33" s="9"/>
      <c r="BW33" s="15"/>
      <c r="BX33" s="9"/>
      <c r="BY33" s="15"/>
      <c r="BZ33" s="9"/>
      <c r="CA33" s="15"/>
      <c r="CB33" s="9"/>
      <c r="CC33" s="15"/>
      <c r="CD33" s="9"/>
      <c r="CE33" s="15"/>
      <c r="CF33" s="9"/>
      <c r="CG33" s="15"/>
      <c r="CH33" s="9"/>
      <c r="CI33" s="15"/>
      <c r="CJ33" s="9"/>
      <c r="CK33" s="15"/>
      <c r="CL33" s="9"/>
      <c r="CM33" s="15"/>
      <c r="CN33" s="9"/>
      <c r="CO33" s="15"/>
      <c r="CP33" s="9"/>
      <c r="CQ33" s="15"/>
      <c r="CR33" s="9"/>
    </row>
    <row r="34" spans="1:96" x14ac:dyDescent="0.25">
      <c r="A34" s="41"/>
      <c r="B34" s="7"/>
      <c r="C34" s="26"/>
      <c r="D34" s="7"/>
      <c r="E34" s="26"/>
      <c r="F34" s="7"/>
      <c r="G34" s="26"/>
      <c r="H34" s="9"/>
      <c r="I34" s="15"/>
      <c r="J34" s="9"/>
      <c r="K34" s="26"/>
      <c r="L34" s="7"/>
      <c r="M34" s="26"/>
      <c r="N34" s="7"/>
      <c r="O34" s="26"/>
      <c r="P34" s="7"/>
      <c r="Q34" s="26"/>
      <c r="R34" s="7"/>
      <c r="S34" s="26"/>
      <c r="T34" s="9"/>
      <c r="U34" s="26"/>
      <c r="V34" s="7"/>
      <c r="W34" s="26"/>
      <c r="X34" s="7"/>
      <c r="Y34" s="26"/>
      <c r="Z34" s="26"/>
      <c r="AA34" s="26"/>
      <c r="AB34" s="9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/>
      <c r="AQ34" s="26"/>
      <c r="AR34" s="7"/>
      <c r="AS34" s="26"/>
      <c r="AT34" s="7"/>
      <c r="AU34" s="26"/>
      <c r="AV34" s="7"/>
      <c r="AW34" s="26"/>
      <c r="AX34" s="7"/>
      <c r="AY34" s="26"/>
      <c r="AZ34" s="7"/>
      <c r="BA34" s="26"/>
      <c r="BB34" s="7">
        <v>1099.01</v>
      </c>
      <c r="BC34" s="26" t="s">
        <v>13078</v>
      </c>
      <c r="BD34" s="9"/>
      <c r="BE34" s="15"/>
      <c r="BF34" s="7"/>
      <c r="BG34" s="26"/>
      <c r="BH34" s="7"/>
      <c r="BI34" s="26"/>
      <c r="BJ34" s="7"/>
      <c r="BK34" s="26"/>
      <c r="BL34" s="9"/>
      <c r="BM34" s="15"/>
      <c r="BN34" s="9"/>
      <c r="BO34" s="15"/>
      <c r="BP34" s="9"/>
      <c r="BQ34" s="15"/>
      <c r="BR34" s="9"/>
      <c r="BS34" s="15"/>
      <c r="BT34" s="9"/>
      <c r="BU34" s="15"/>
      <c r="BV34" s="9"/>
      <c r="BW34" s="15"/>
      <c r="BX34" s="9"/>
      <c r="BY34" s="15"/>
      <c r="BZ34" s="9"/>
      <c r="CA34" s="15"/>
      <c r="CB34" s="9"/>
      <c r="CC34" s="15"/>
      <c r="CD34" s="9"/>
      <c r="CE34" s="15"/>
      <c r="CF34" s="9"/>
      <c r="CG34" s="15"/>
      <c r="CH34" s="9"/>
      <c r="CI34" s="15"/>
      <c r="CJ34" s="9"/>
      <c r="CK34" s="15"/>
      <c r="CL34" s="9"/>
      <c r="CM34" s="15"/>
      <c r="CN34" s="9"/>
      <c r="CO34" s="15"/>
      <c r="CP34" s="9"/>
      <c r="CQ34" s="15"/>
      <c r="CR34" s="9"/>
    </row>
    <row r="35" spans="1:96" x14ac:dyDescent="0.25">
      <c r="A35" s="41"/>
      <c r="B35" s="7"/>
      <c r="C35" s="26"/>
      <c r="D35" s="7"/>
      <c r="E35" s="26"/>
      <c r="F35" s="7"/>
      <c r="G35" s="26"/>
      <c r="H35" s="9"/>
      <c r="I35" s="15"/>
      <c r="J35" s="9"/>
      <c r="K35" s="26"/>
      <c r="L35" s="7"/>
      <c r="M35" s="26"/>
      <c r="N35" s="7"/>
      <c r="O35" s="26"/>
      <c r="P35" s="7"/>
      <c r="Q35" s="26"/>
      <c r="R35" s="7"/>
      <c r="S35" s="26"/>
      <c r="T35" s="9"/>
      <c r="U35" s="26"/>
      <c r="V35" s="7"/>
      <c r="W35" s="26"/>
      <c r="X35" s="7"/>
      <c r="Y35" s="26"/>
      <c r="Z35" s="26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/>
      <c r="AQ35" s="26"/>
      <c r="AR35" s="7"/>
      <c r="AS35" s="26"/>
      <c r="AT35" s="7"/>
      <c r="AU35" s="26"/>
      <c r="AV35" s="7"/>
      <c r="AW35" s="26"/>
      <c r="AX35" s="7"/>
      <c r="AY35" s="26"/>
      <c r="AZ35" s="7"/>
      <c r="BA35" s="26"/>
      <c r="BB35" s="7">
        <v>1099.01</v>
      </c>
      <c r="BC35" s="26" t="s">
        <v>13079</v>
      </c>
      <c r="BD35" s="9"/>
      <c r="BE35" s="15"/>
      <c r="BF35" s="7"/>
      <c r="BG35" s="26"/>
      <c r="BH35" s="7"/>
      <c r="BI35" s="26"/>
      <c r="BJ35" s="7"/>
      <c r="BK35" s="26"/>
      <c r="BL35" s="9"/>
      <c r="BM35" s="15"/>
      <c r="BN35" s="9"/>
      <c r="BO35" s="15"/>
      <c r="BP35" s="9"/>
      <c r="BQ35" s="15"/>
      <c r="BR35" s="9"/>
      <c r="BS35" s="15"/>
      <c r="BT35" s="9"/>
      <c r="BU35" s="15"/>
      <c r="BV35" s="9"/>
      <c r="BW35" s="15"/>
      <c r="BX35" s="9"/>
      <c r="BY35" s="15"/>
      <c r="BZ35" s="9"/>
      <c r="CA35" s="15"/>
      <c r="CB35" s="9"/>
      <c r="CC35" s="15"/>
      <c r="CD35" s="9"/>
      <c r="CE35" s="15"/>
      <c r="CF35" s="9"/>
      <c r="CG35" s="15"/>
      <c r="CH35" s="9"/>
      <c r="CI35" s="15"/>
      <c r="CJ35" s="9"/>
      <c r="CK35" s="15"/>
      <c r="CL35" s="9"/>
      <c r="CM35" s="15"/>
      <c r="CN35" s="9"/>
      <c r="CO35" s="15"/>
      <c r="CP35" s="9"/>
      <c r="CQ35" s="15"/>
      <c r="CR35" s="9"/>
    </row>
    <row r="36" spans="1:96" x14ac:dyDescent="0.25">
      <c r="A36" s="41"/>
      <c r="B36" s="7"/>
      <c r="C36" s="26"/>
      <c r="D36" s="7"/>
      <c r="E36" s="26"/>
      <c r="F36" s="7"/>
      <c r="G36" s="26"/>
      <c r="H36" s="9"/>
      <c r="I36" s="15"/>
      <c r="J36" s="9"/>
      <c r="K36" s="26"/>
      <c r="L36" s="7"/>
      <c r="M36" s="26"/>
      <c r="N36" s="7"/>
      <c r="O36" s="26"/>
      <c r="P36" s="7"/>
      <c r="Q36" s="26"/>
      <c r="R36" s="7"/>
      <c r="S36" s="26"/>
      <c r="T36" s="9"/>
      <c r="U36" s="26"/>
      <c r="V36" s="7"/>
      <c r="W36" s="26"/>
      <c r="X36" s="7"/>
      <c r="Y36" s="26"/>
      <c r="Z36" s="26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/>
      <c r="AU36" s="26"/>
      <c r="AV36" s="7"/>
      <c r="AW36" s="26"/>
      <c r="AX36" s="7"/>
      <c r="AY36" s="26"/>
      <c r="AZ36" s="7"/>
      <c r="BA36" s="26"/>
      <c r="BB36" s="7"/>
      <c r="BC36" s="26"/>
      <c r="BD36" s="9"/>
      <c r="BE36" s="15"/>
      <c r="BF36" s="7"/>
      <c r="BG36" s="26"/>
      <c r="BH36" s="7"/>
      <c r="BI36" s="26"/>
      <c r="BJ36" s="7"/>
      <c r="BK36" s="26"/>
      <c r="BL36" s="9"/>
      <c r="BM36" s="15"/>
      <c r="BN36" s="9"/>
      <c r="BO36" s="15"/>
      <c r="BP36" s="9"/>
      <c r="BQ36" s="15"/>
      <c r="BR36" s="9"/>
      <c r="BS36" s="15"/>
      <c r="BT36" s="9"/>
      <c r="BU36" s="15"/>
      <c r="BV36" s="9"/>
      <c r="BW36" s="15"/>
      <c r="BX36" s="9"/>
      <c r="BY36" s="15"/>
      <c r="BZ36" s="9"/>
      <c r="CA36" s="15"/>
      <c r="CB36" s="9"/>
      <c r="CC36" s="15"/>
      <c r="CD36" s="9"/>
      <c r="CE36" s="15"/>
      <c r="CF36" s="9"/>
      <c r="CG36" s="15"/>
      <c r="CH36" s="9"/>
      <c r="CI36" s="15"/>
      <c r="CJ36" s="9"/>
      <c r="CK36" s="15"/>
      <c r="CL36" s="9"/>
      <c r="CM36" s="15"/>
      <c r="CN36" s="9"/>
      <c r="CO36" s="15"/>
      <c r="CP36" s="9"/>
      <c r="CQ36" s="15"/>
      <c r="CR36" s="9"/>
    </row>
    <row r="37" spans="1:96" x14ac:dyDescent="0.25">
      <c r="A37" s="41"/>
      <c r="B37" s="7"/>
      <c r="C37" s="26"/>
      <c r="D37" s="7"/>
      <c r="E37" s="26"/>
      <c r="F37" s="7"/>
      <c r="G37" s="26"/>
      <c r="H37" s="72"/>
      <c r="I37" s="24"/>
      <c r="J37" s="9"/>
      <c r="K37" s="26"/>
      <c r="L37" s="7"/>
      <c r="M37" s="26"/>
      <c r="N37" s="7"/>
      <c r="O37" s="26"/>
      <c r="P37" s="7"/>
      <c r="Q37" s="26"/>
      <c r="R37" s="7"/>
      <c r="S37" s="26"/>
      <c r="T37" s="9"/>
      <c r="U37" s="26"/>
      <c r="V37" s="7"/>
      <c r="W37" s="26"/>
      <c r="X37" s="7"/>
      <c r="Y37" s="26"/>
      <c r="Z37" s="26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/>
      <c r="AU37" s="26"/>
      <c r="AV37" s="7"/>
      <c r="AW37" s="26"/>
      <c r="AX37" s="7"/>
      <c r="AY37" s="26"/>
      <c r="AZ37" s="7"/>
      <c r="BA37" s="26"/>
      <c r="BB37" s="7"/>
      <c r="BC37" s="26"/>
      <c r="BD37" s="9"/>
      <c r="BE37" s="15"/>
      <c r="BF37" s="7"/>
      <c r="BG37" s="26"/>
      <c r="BH37" s="7"/>
      <c r="BI37" s="26"/>
      <c r="BJ37" s="7"/>
      <c r="BK37" s="26"/>
      <c r="BL37" s="9"/>
      <c r="BM37" s="15"/>
      <c r="BN37" s="9"/>
      <c r="BO37" s="15"/>
      <c r="BP37" s="9"/>
      <c r="BQ37" s="15"/>
      <c r="BR37" s="9"/>
      <c r="BS37" s="15"/>
      <c r="BT37" s="9"/>
      <c r="BU37" s="15"/>
      <c r="BV37" s="9"/>
      <c r="BW37" s="15"/>
      <c r="BX37" s="9"/>
      <c r="BY37" s="15"/>
      <c r="BZ37" s="9"/>
      <c r="CA37" s="15"/>
      <c r="CB37" s="9"/>
      <c r="CC37" s="15"/>
      <c r="CD37" s="9"/>
      <c r="CE37" s="15"/>
      <c r="CF37" s="9"/>
      <c r="CG37" s="15"/>
      <c r="CH37" s="9"/>
      <c r="CI37" s="15"/>
      <c r="CJ37" s="9"/>
      <c r="CK37" s="15"/>
      <c r="CL37" s="9"/>
      <c r="CM37" s="15"/>
      <c r="CN37" s="9"/>
      <c r="CO37" s="15"/>
      <c r="CP37" s="9"/>
      <c r="CQ37" s="15"/>
      <c r="CR37" s="9"/>
    </row>
    <row r="38" spans="1:96" x14ac:dyDescent="0.25">
      <c r="A38" s="41"/>
      <c r="B38" s="7"/>
      <c r="C38" s="26"/>
      <c r="D38" s="7"/>
      <c r="E38" s="26"/>
      <c r="F38" s="7"/>
      <c r="G38" s="26"/>
      <c r="H38" s="9"/>
      <c r="I38" s="15"/>
      <c r="J38" s="9"/>
      <c r="K38" s="26"/>
      <c r="L38" s="7"/>
      <c r="M38" s="26"/>
      <c r="N38" s="7"/>
      <c r="O38" s="26"/>
      <c r="P38" s="7"/>
      <c r="Q38" s="26"/>
      <c r="R38" s="7"/>
      <c r="S38" s="26"/>
      <c r="T38" s="9"/>
      <c r="U38" s="26"/>
      <c r="V38" s="7"/>
      <c r="W38" s="26"/>
      <c r="X38" s="7"/>
      <c r="Y38" s="26"/>
      <c r="Z38" s="26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7"/>
      <c r="BA38" s="26"/>
      <c r="BB38" s="7"/>
      <c r="BC38" s="26"/>
      <c r="BD38" s="9"/>
      <c r="BE38" s="15"/>
      <c r="BF38" s="7"/>
      <c r="BG38" s="26"/>
      <c r="BH38" s="7"/>
      <c r="BI38" s="26"/>
      <c r="BJ38" s="7"/>
      <c r="BK38" s="26"/>
      <c r="BL38" s="9"/>
      <c r="BM38" s="15"/>
      <c r="BN38" s="9"/>
      <c r="BO38" s="15"/>
      <c r="BP38" s="9"/>
      <c r="BQ38" s="15"/>
      <c r="BR38" s="9"/>
      <c r="BS38" s="15"/>
      <c r="BT38" s="9"/>
      <c r="BU38" s="15"/>
      <c r="BV38" s="9"/>
      <c r="BW38" s="15"/>
      <c r="BX38" s="9"/>
      <c r="BY38" s="15"/>
      <c r="BZ38" s="9"/>
      <c r="CA38" s="15"/>
      <c r="CB38" s="9"/>
      <c r="CC38" s="15"/>
      <c r="CD38" s="9"/>
      <c r="CE38" s="15"/>
      <c r="CF38" s="9"/>
      <c r="CG38" s="15"/>
      <c r="CH38" s="9"/>
      <c r="CI38" s="15"/>
      <c r="CJ38" s="9"/>
      <c r="CK38" s="15"/>
      <c r="CL38" s="9"/>
      <c r="CM38" s="15"/>
      <c r="CN38" s="9"/>
      <c r="CO38" s="15"/>
      <c r="CP38" s="9"/>
      <c r="CQ38" s="15"/>
      <c r="CR38" s="9"/>
    </row>
    <row r="39" spans="1:96" x14ac:dyDescent="0.25">
      <c r="A39" s="41"/>
      <c r="B39" s="7"/>
      <c r="C39" s="26"/>
      <c r="D39" s="7"/>
      <c r="E39" s="26"/>
      <c r="F39" s="7"/>
      <c r="G39" s="26"/>
      <c r="H39" s="9"/>
      <c r="I39" s="15"/>
      <c r="J39" s="9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26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7"/>
      <c r="BA39" s="26"/>
      <c r="BB39" s="7"/>
      <c r="BC39" s="26"/>
      <c r="BD39" s="9"/>
      <c r="BE39" s="15"/>
      <c r="BF39" s="7"/>
      <c r="BG39" s="26"/>
      <c r="BH39" s="7"/>
      <c r="BI39" s="26"/>
      <c r="BJ39" s="7"/>
      <c r="BK39" s="26"/>
      <c r="BL39" s="9"/>
      <c r="BM39" s="15"/>
      <c r="BN39" s="9"/>
      <c r="BO39" s="15"/>
      <c r="BP39" s="9"/>
      <c r="BQ39" s="15"/>
      <c r="BR39" s="9"/>
      <c r="BS39" s="15"/>
      <c r="BT39" s="9"/>
      <c r="BU39" s="15"/>
      <c r="BV39" s="9"/>
      <c r="BW39" s="15"/>
      <c r="BX39" s="9"/>
      <c r="BY39" s="15"/>
      <c r="BZ39" s="9"/>
      <c r="CA39" s="15"/>
      <c r="CB39" s="9"/>
      <c r="CC39" s="15"/>
      <c r="CD39" s="9"/>
      <c r="CE39" s="15"/>
      <c r="CF39" s="9"/>
      <c r="CG39" s="15"/>
      <c r="CH39" s="9"/>
      <c r="CI39" s="15"/>
      <c r="CJ39" s="9"/>
      <c r="CK39" s="15"/>
      <c r="CL39" s="9"/>
      <c r="CM39" s="15"/>
      <c r="CN39" s="9"/>
      <c r="CO39" s="15"/>
      <c r="CP39" s="9"/>
      <c r="CQ39" s="15"/>
      <c r="CR39" s="9"/>
    </row>
    <row r="40" spans="1:96" x14ac:dyDescent="0.25">
      <c r="A40" s="41"/>
      <c r="B40" s="7"/>
      <c r="C40" s="26"/>
      <c r="D40" s="7"/>
      <c r="E40" s="26"/>
      <c r="F40" s="7"/>
      <c r="G40" s="26"/>
      <c r="H40" s="9"/>
      <c r="I40" s="15"/>
      <c r="J40" s="9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26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7"/>
      <c r="BA40" s="26"/>
      <c r="BB40" s="7"/>
      <c r="BC40" s="26"/>
      <c r="BD40" s="9"/>
      <c r="BE40" s="15"/>
      <c r="BF40" s="7"/>
      <c r="BG40" s="26"/>
      <c r="BH40" s="7"/>
      <c r="BI40" s="26"/>
      <c r="BJ40" s="7"/>
      <c r="BK40" s="26"/>
      <c r="BL40" s="9"/>
      <c r="BM40" s="15"/>
      <c r="BN40" s="9"/>
      <c r="BO40" s="15"/>
      <c r="BP40" s="9"/>
      <c r="BQ40" s="15"/>
      <c r="BR40" s="9"/>
      <c r="BS40" s="15"/>
      <c r="BT40" s="9"/>
      <c r="BU40" s="15"/>
      <c r="BV40" s="9"/>
      <c r="BW40" s="15"/>
      <c r="BX40" s="9"/>
      <c r="BY40" s="15"/>
      <c r="BZ40" s="9"/>
      <c r="CA40" s="15"/>
      <c r="CB40" s="9"/>
      <c r="CC40" s="15"/>
      <c r="CD40" s="9"/>
      <c r="CE40" s="15"/>
      <c r="CF40" s="9"/>
      <c r="CG40" s="15"/>
      <c r="CH40" s="9"/>
      <c r="CI40" s="15"/>
      <c r="CJ40" s="9"/>
      <c r="CK40" s="15"/>
      <c r="CL40" s="9"/>
      <c r="CM40" s="15"/>
      <c r="CN40" s="9"/>
      <c r="CO40" s="15"/>
      <c r="CP40" s="9"/>
      <c r="CQ40" s="15"/>
      <c r="CR40" s="9"/>
    </row>
    <row r="41" spans="1:96" x14ac:dyDescent="0.25">
      <c r="A41" s="41"/>
      <c r="B41" s="7"/>
      <c r="C41" s="26"/>
      <c r="D41" s="7"/>
      <c r="E41" s="26"/>
      <c r="F41" s="7"/>
      <c r="G41" s="26"/>
      <c r="H41" s="9"/>
      <c r="I41" s="15"/>
      <c r="J41" s="9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26"/>
      <c r="AA41" s="26"/>
      <c r="AB41" s="7"/>
      <c r="AC41" s="26"/>
      <c r="AD41" s="7"/>
      <c r="AE41" s="26"/>
      <c r="AF41" s="7"/>
      <c r="AG41" s="26"/>
      <c r="AH41" s="19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7"/>
      <c r="BA41" s="26"/>
      <c r="BB41" s="7"/>
      <c r="BC41" s="26"/>
      <c r="BD41" s="9"/>
      <c r="BE41" s="15"/>
      <c r="BF41" s="7"/>
      <c r="BG41" s="26"/>
      <c r="BH41" s="7"/>
      <c r="BI41" s="26"/>
      <c r="BJ41" s="7"/>
      <c r="BK41" s="26"/>
      <c r="BL41" s="9"/>
      <c r="BM41" s="15"/>
      <c r="BN41" s="9"/>
      <c r="BO41" s="15"/>
      <c r="BP41" s="9"/>
      <c r="BQ41" s="15"/>
      <c r="BR41" s="9"/>
      <c r="BS41" s="15"/>
      <c r="BT41" s="9"/>
      <c r="BU41" s="15"/>
      <c r="BV41" s="9"/>
      <c r="BW41" s="15"/>
      <c r="BX41" s="9"/>
      <c r="BY41" s="15"/>
      <c r="BZ41" s="9"/>
      <c r="CA41" s="15"/>
      <c r="CB41" s="9"/>
      <c r="CC41" s="15"/>
      <c r="CD41" s="9"/>
      <c r="CE41" s="15"/>
      <c r="CF41" s="9"/>
      <c r="CG41" s="15"/>
      <c r="CH41" s="9"/>
      <c r="CI41" s="15"/>
      <c r="CJ41" s="9"/>
      <c r="CK41" s="15"/>
      <c r="CL41" s="9"/>
      <c r="CM41" s="15"/>
      <c r="CN41" s="9"/>
      <c r="CO41" s="15"/>
      <c r="CP41" s="9"/>
      <c r="CQ41" s="15"/>
      <c r="CR41" s="9"/>
    </row>
    <row r="42" spans="1:96" x14ac:dyDescent="0.25">
      <c r="A42" s="41"/>
      <c r="B42" s="7"/>
      <c r="C42" s="26"/>
      <c r="D42" s="7"/>
      <c r="E42" s="26"/>
      <c r="F42" s="7"/>
      <c r="G42" s="26"/>
      <c r="H42" s="9"/>
      <c r="I42" s="15"/>
      <c r="J42" s="9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26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7"/>
      <c r="BA42" s="26"/>
      <c r="BB42" s="7"/>
      <c r="BC42" s="26"/>
      <c r="BD42" s="9"/>
      <c r="BE42" s="15"/>
      <c r="BF42" s="7"/>
      <c r="BG42" s="26"/>
      <c r="BH42" s="7"/>
      <c r="BI42" s="26"/>
      <c r="BJ42" s="7"/>
      <c r="BK42" s="26"/>
      <c r="BL42" s="9"/>
      <c r="BM42" s="15"/>
      <c r="BN42" s="9"/>
      <c r="BO42" s="15"/>
      <c r="BP42" s="9"/>
      <c r="BQ42" s="15"/>
      <c r="BR42" s="9"/>
      <c r="BS42" s="15"/>
      <c r="BT42" s="9"/>
      <c r="BU42" s="15"/>
      <c r="BV42" s="9"/>
      <c r="BW42" s="15"/>
      <c r="BX42" s="9"/>
      <c r="BY42" s="15"/>
      <c r="BZ42" s="9"/>
      <c r="CA42" s="15"/>
      <c r="CB42" s="9"/>
      <c r="CC42" s="15"/>
      <c r="CD42" s="9"/>
      <c r="CE42" s="15"/>
      <c r="CF42" s="9"/>
      <c r="CG42" s="15"/>
      <c r="CH42" s="9"/>
      <c r="CI42" s="15"/>
      <c r="CJ42" s="9"/>
      <c r="CK42" s="15"/>
      <c r="CL42" s="9"/>
      <c r="CM42" s="15"/>
      <c r="CN42" s="9"/>
      <c r="CO42" s="15"/>
      <c r="CP42" s="9"/>
      <c r="CQ42" s="15"/>
      <c r="CR42" s="9"/>
    </row>
    <row r="43" spans="1:96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26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7"/>
      <c r="BA43" s="26"/>
      <c r="BB43" s="7"/>
      <c r="BC43" s="26"/>
      <c r="BD43" s="9"/>
      <c r="BE43" s="15"/>
      <c r="BF43" s="7"/>
      <c r="BG43" s="26"/>
      <c r="BH43" s="7"/>
      <c r="BI43" s="26"/>
      <c r="BJ43" s="7"/>
      <c r="BK43" s="26"/>
      <c r="BL43" s="9"/>
      <c r="BM43" s="15"/>
      <c r="BN43" s="9"/>
      <c r="BO43" s="15"/>
      <c r="BP43" s="9"/>
      <c r="BQ43" s="15"/>
      <c r="BR43" s="9"/>
      <c r="BS43" s="15"/>
      <c r="BT43" s="9"/>
      <c r="BU43" s="15"/>
      <c r="BV43" s="9"/>
      <c r="BW43" s="15"/>
      <c r="BX43" s="9"/>
      <c r="BY43" s="15"/>
      <c r="BZ43" s="9"/>
      <c r="CA43" s="15"/>
      <c r="CB43" s="9"/>
      <c r="CC43" s="15"/>
      <c r="CD43" s="9"/>
      <c r="CE43" s="15"/>
      <c r="CF43" s="9"/>
      <c r="CG43" s="15"/>
      <c r="CH43" s="9"/>
      <c r="CI43" s="15"/>
      <c r="CJ43" s="9"/>
      <c r="CK43" s="15"/>
      <c r="CL43" s="9"/>
      <c r="CM43" s="15"/>
      <c r="CN43" s="9"/>
      <c r="CO43" s="15"/>
      <c r="CP43" s="9"/>
      <c r="CQ43" s="15"/>
      <c r="CR43" s="9"/>
    </row>
    <row r="44" spans="1:96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26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7"/>
      <c r="BA44" s="26"/>
      <c r="BB44" s="7"/>
      <c r="BC44" s="26"/>
      <c r="BD44" s="9"/>
      <c r="BE44" s="15"/>
      <c r="BF44" s="7"/>
      <c r="BG44" s="26"/>
      <c r="BH44" s="7"/>
      <c r="BI44" s="26"/>
      <c r="BJ44" s="7"/>
      <c r="BK44" s="26"/>
      <c r="BL44" s="9"/>
      <c r="BM44" s="15"/>
      <c r="BN44" s="9"/>
      <c r="BO44" s="15"/>
      <c r="BP44" s="9"/>
      <c r="BQ44" s="15"/>
      <c r="BR44" s="9"/>
      <c r="BS44" s="15"/>
      <c r="BT44" s="9"/>
      <c r="BU44" s="15"/>
      <c r="BV44" s="9"/>
      <c r="BW44" s="15"/>
      <c r="BX44" s="9"/>
      <c r="BY44" s="15"/>
      <c r="BZ44" s="9"/>
      <c r="CA44" s="15"/>
      <c r="CB44" s="9"/>
      <c r="CC44" s="15"/>
      <c r="CD44" s="9"/>
      <c r="CE44" s="15"/>
      <c r="CF44" s="9"/>
      <c r="CG44" s="15"/>
      <c r="CH44" s="9"/>
      <c r="CI44" s="15"/>
      <c r="CJ44" s="9"/>
      <c r="CK44" s="15"/>
      <c r="CL44" s="9"/>
      <c r="CM44" s="15"/>
      <c r="CN44" s="9"/>
      <c r="CO44" s="15"/>
      <c r="CP44" s="9"/>
      <c r="CQ44" s="15"/>
      <c r="CR44" s="9"/>
    </row>
    <row r="45" spans="1:96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26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7"/>
      <c r="BA45" s="26"/>
      <c r="BB45" s="7"/>
      <c r="BC45" s="26"/>
      <c r="BD45" s="9"/>
      <c r="BE45" s="15"/>
      <c r="BF45" s="7"/>
      <c r="BG45" s="26"/>
      <c r="BH45" s="7"/>
      <c r="BI45" s="26"/>
      <c r="BJ45" s="7"/>
      <c r="BK45" s="26"/>
      <c r="BL45" s="9"/>
      <c r="BM45" s="15"/>
      <c r="BN45" s="9"/>
      <c r="BO45" s="15"/>
      <c r="BP45" s="9"/>
      <c r="BQ45" s="15"/>
      <c r="BR45" s="9"/>
      <c r="BS45" s="15"/>
      <c r="BT45" s="9"/>
      <c r="BU45" s="15"/>
      <c r="BV45" s="9"/>
      <c r="BW45" s="15"/>
      <c r="BX45" s="9"/>
      <c r="BY45" s="15"/>
      <c r="BZ45" s="9"/>
      <c r="CA45" s="15"/>
      <c r="CB45" s="9"/>
      <c r="CC45" s="15"/>
      <c r="CD45" s="9"/>
      <c r="CE45" s="15"/>
      <c r="CF45" s="9"/>
      <c r="CG45" s="15"/>
      <c r="CH45" s="9"/>
      <c r="CI45" s="15"/>
      <c r="CJ45" s="9"/>
      <c r="CK45" s="15"/>
      <c r="CL45" s="9"/>
      <c r="CM45" s="15"/>
      <c r="CN45" s="9"/>
      <c r="CO45" s="15"/>
      <c r="CP45" s="9"/>
      <c r="CQ45" s="15"/>
      <c r="CR45" s="9"/>
    </row>
    <row r="46" spans="1:96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26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7"/>
      <c r="BA46" s="26"/>
      <c r="BB46" s="7"/>
      <c r="BC46" s="26"/>
      <c r="BD46" s="9"/>
      <c r="BE46" s="15"/>
      <c r="BF46" s="7"/>
      <c r="BG46" s="26"/>
      <c r="BH46" s="7"/>
      <c r="BI46" s="26"/>
      <c r="BJ46" s="7"/>
      <c r="BK46" s="26"/>
      <c r="BL46" s="9"/>
      <c r="BM46" s="15"/>
      <c r="BN46" s="9"/>
      <c r="BO46" s="15"/>
      <c r="BP46" s="9"/>
      <c r="BQ46" s="15"/>
      <c r="BR46" s="9"/>
      <c r="BS46" s="15"/>
      <c r="BT46" s="9"/>
      <c r="BU46" s="15"/>
      <c r="BV46" s="9"/>
      <c r="BW46" s="15"/>
      <c r="BX46" s="9"/>
      <c r="BY46" s="15"/>
      <c r="BZ46" s="9"/>
      <c r="CA46" s="15"/>
      <c r="CB46" s="9"/>
      <c r="CC46" s="15"/>
      <c r="CD46" s="9"/>
      <c r="CE46" s="15"/>
      <c r="CF46" s="9"/>
      <c r="CG46" s="15"/>
      <c r="CH46" s="9"/>
      <c r="CI46" s="15"/>
      <c r="CJ46" s="9"/>
      <c r="CK46" s="15"/>
      <c r="CL46" s="9"/>
      <c r="CM46" s="15"/>
      <c r="CN46" s="9"/>
      <c r="CO46" s="15"/>
      <c r="CP46" s="9"/>
      <c r="CQ46" s="15"/>
      <c r="CR46" s="9"/>
    </row>
    <row r="47" spans="1:96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26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7"/>
      <c r="BA47" s="26"/>
      <c r="BB47" s="7"/>
      <c r="BC47" s="26"/>
      <c r="BD47" s="9"/>
      <c r="BE47" s="15"/>
      <c r="BF47" s="7"/>
      <c r="BG47" s="26"/>
      <c r="BH47" s="7"/>
      <c r="BI47" s="26"/>
      <c r="BJ47" s="7"/>
      <c r="BK47" s="26"/>
      <c r="BL47" s="9"/>
      <c r="BM47" s="15"/>
      <c r="BN47" s="9"/>
      <c r="BO47" s="15"/>
      <c r="BP47" s="9"/>
      <c r="BQ47" s="15"/>
      <c r="BR47" s="9"/>
      <c r="BS47" s="15"/>
      <c r="BT47" s="9"/>
      <c r="BU47" s="15"/>
      <c r="BV47" s="9"/>
      <c r="BW47" s="15"/>
      <c r="BX47" s="9"/>
      <c r="BY47" s="15"/>
      <c r="BZ47" s="9"/>
      <c r="CA47" s="15"/>
      <c r="CB47" s="9"/>
      <c r="CC47" s="15"/>
      <c r="CD47" s="9"/>
      <c r="CE47" s="15"/>
      <c r="CF47" s="9"/>
      <c r="CG47" s="15"/>
      <c r="CH47" s="9"/>
      <c r="CI47" s="15"/>
      <c r="CJ47" s="9"/>
      <c r="CK47" s="15"/>
      <c r="CL47" s="9"/>
      <c r="CM47" s="15"/>
      <c r="CN47" s="9"/>
      <c r="CO47" s="15"/>
      <c r="CP47" s="9"/>
      <c r="CQ47" s="15"/>
      <c r="CR47" s="9"/>
    </row>
    <row r="48" spans="1:96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26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7"/>
      <c r="BA48" s="26"/>
      <c r="BB48" s="7"/>
      <c r="BC48" s="26"/>
      <c r="BD48" s="9"/>
      <c r="BE48" s="15"/>
      <c r="BF48" s="7"/>
      <c r="BG48" s="26"/>
      <c r="BH48" s="7"/>
      <c r="BI48" s="26"/>
      <c r="BJ48" s="7"/>
      <c r="BK48" s="26"/>
      <c r="BL48" s="9"/>
      <c r="BM48" s="15"/>
      <c r="BN48" s="9"/>
      <c r="BO48" s="15"/>
      <c r="BP48" s="9"/>
      <c r="BQ48" s="15"/>
      <c r="BR48" s="9"/>
      <c r="BS48" s="15"/>
      <c r="BT48" s="9"/>
      <c r="BU48" s="15"/>
      <c r="BV48" s="9"/>
      <c r="BW48" s="15"/>
      <c r="BX48" s="9"/>
      <c r="BY48" s="15"/>
      <c r="BZ48" s="9"/>
      <c r="CA48" s="15"/>
      <c r="CB48" s="9"/>
      <c r="CC48" s="15"/>
      <c r="CD48" s="9"/>
      <c r="CE48" s="15"/>
      <c r="CF48" s="9"/>
      <c r="CG48" s="15"/>
      <c r="CH48" s="9"/>
      <c r="CI48" s="15"/>
      <c r="CJ48" s="9"/>
      <c r="CK48" s="15"/>
      <c r="CL48" s="9"/>
      <c r="CM48" s="15"/>
      <c r="CN48" s="9"/>
      <c r="CO48" s="15"/>
      <c r="CP48" s="9"/>
      <c r="CQ48" s="15"/>
      <c r="CR48" s="9"/>
    </row>
    <row r="49" spans="1:96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26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7"/>
      <c r="BA49" s="26"/>
      <c r="BB49" s="7"/>
      <c r="BC49" s="26"/>
      <c r="BD49" s="9"/>
      <c r="BE49" s="15"/>
      <c r="BF49" s="7"/>
      <c r="BG49" s="26"/>
      <c r="BH49" s="7"/>
      <c r="BI49" s="26"/>
      <c r="BJ49" s="7"/>
      <c r="BK49" s="26"/>
      <c r="BL49" s="9"/>
      <c r="BM49" s="15"/>
      <c r="BN49" s="9"/>
      <c r="BO49" s="15"/>
      <c r="BP49" s="9"/>
      <c r="BQ49" s="15"/>
      <c r="BR49" s="9"/>
      <c r="BS49" s="15"/>
      <c r="BT49" s="9"/>
      <c r="BU49" s="15"/>
      <c r="BV49" s="9"/>
      <c r="BW49" s="15"/>
      <c r="BX49" s="9"/>
      <c r="BY49" s="15"/>
      <c r="BZ49" s="9"/>
      <c r="CA49" s="15"/>
      <c r="CB49" s="9"/>
      <c r="CC49" s="15"/>
      <c r="CD49" s="9"/>
      <c r="CE49" s="15"/>
      <c r="CF49" s="9"/>
      <c r="CG49" s="15"/>
      <c r="CH49" s="9"/>
      <c r="CI49" s="15"/>
      <c r="CJ49" s="9"/>
      <c r="CK49" s="15"/>
      <c r="CL49" s="9"/>
      <c r="CM49" s="15"/>
      <c r="CN49" s="9"/>
      <c r="CO49" s="15"/>
      <c r="CP49" s="9"/>
      <c r="CQ49" s="15"/>
      <c r="CR49" s="9"/>
    </row>
    <row r="50" spans="1:96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26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7"/>
      <c r="BA50" s="26"/>
      <c r="BB50" s="7"/>
      <c r="BC50" s="26"/>
      <c r="BD50" s="9"/>
      <c r="BE50" s="15"/>
      <c r="BF50" s="7"/>
      <c r="BG50" s="26"/>
      <c r="BH50" s="7"/>
      <c r="BI50" s="26"/>
      <c r="BJ50" s="7"/>
      <c r="BK50" s="26"/>
      <c r="BL50" s="9"/>
      <c r="BM50" s="15"/>
      <c r="BN50" s="9"/>
      <c r="BO50" s="15"/>
      <c r="BP50" s="9"/>
      <c r="BQ50" s="15"/>
      <c r="BR50" s="9"/>
      <c r="BS50" s="15"/>
      <c r="BT50" s="9"/>
      <c r="BU50" s="15"/>
      <c r="BV50" s="9"/>
      <c r="BW50" s="15"/>
      <c r="BX50" s="9"/>
      <c r="BY50" s="15"/>
      <c r="BZ50" s="9"/>
      <c r="CA50" s="15"/>
      <c r="CB50" s="9"/>
      <c r="CC50" s="15"/>
      <c r="CD50" s="9"/>
      <c r="CE50" s="15"/>
      <c r="CF50" s="9"/>
      <c r="CG50" s="15"/>
      <c r="CH50" s="9"/>
      <c r="CI50" s="15"/>
      <c r="CJ50" s="9"/>
      <c r="CK50" s="15"/>
      <c r="CL50" s="9"/>
      <c r="CM50" s="15"/>
      <c r="CN50" s="9"/>
      <c r="CO50" s="15"/>
      <c r="CP50" s="9"/>
      <c r="CQ50" s="15"/>
      <c r="CR50" s="9"/>
    </row>
    <row r="51" spans="1:96" x14ac:dyDescent="0.25">
      <c r="A51" s="39" t="s">
        <v>1</v>
      </c>
      <c r="B51" s="7">
        <f>+B3+B4</f>
        <v>140759.88</v>
      </c>
      <c r="C51" s="26"/>
      <c r="D51" s="7">
        <f>+D3+D4</f>
        <v>283695.90000000002</v>
      </c>
      <c r="E51" s="26"/>
      <c r="F51" s="7">
        <f>+F3+F4</f>
        <v>82366.45</v>
      </c>
      <c r="G51" s="26"/>
      <c r="H51" s="7">
        <f>+H3+H4</f>
        <v>195152.94</v>
      </c>
      <c r="I51" s="26"/>
      <c r="J51" s="7">
        <f>+J3+J4</f>
        <v>65542.34</v>
      </c>
      <c r="K51" s="26"/>
      <c r="L51" s="7">
        <f>+L3+L4</f>
        <v>19471.14</v>
      </c>
      <c r="M51" s="26"/>
      <c r="N51" s="7">
        <f>+N3+N4</f>
        <v>281071.7</v>
      </c>
      <c r="O51" s="26"/>
      <c r="P51" s="7">
        <f>+P3+P4</f>
        <v>258462.30000000002</v>
      </c>
      <c r="Q51" s="26"/>
      <c r="R51" s="7">
        <f>+R3+R4</f>
        <v>151320.57</v>
      </c>
      <c r="S51" s="26"/>
      <c r="T51" s="7">
        <f>+T3+T4</f>
        <v>136376.94</v>
      </c>
      <c r="U51" s="26"/>
      <c r="V51" s="7">
        <f>+V3+V4</f>
        <v>285613.49</v>
      </c>
      <c r="W51" s="26"/>
      <c r="X51" s="7">
        <f>+X3+X4</f>
        <v>104009.51</v>
      </c>
      <c r="Y51" s="26"/>
      <c r="Z51" s="7">
        <f>+Z3+Z4</f>
        <v>500</v>
      </c>
      <c r="AA51" s="26"/>
      <c r="AB51" s="7">
        <f>+AB3+AB4</f>
        <v>38217.599999999999</v>
      </c>
      <c r="AC51" s="26"/>
      <c r="AD51" s="7">
        <f>+AD3+AD4</f>
        <v>67118.709999999992</v>
      </c>
      <c r="AE51" s="26"/>
      <c r="AF51" s="7">
        <f>+AF3+AF4</f>
        <v>59755.270000000004</v>
      </c>
      <c r="AG51" s="26"/>
      <c r="AH51" s="7">
        <f>+AH3+AH4</f>
        <v>55771.94</v>
      </c>
      <c r="AI51" s="26"/>
      <c r="AJ51" s="7">
        <f>+AJ3+AJ4</f>
        <v>119048.08</v>
      </c>
      <c r="AK51" s="26"/>
      <c r="AL51" s="7">
        <f>+AL3+AL4</f>
        <v>113034.68</v>
      </c>
      <c r="AM51" s="26"/>
      <c r="AN51" s="7">
        <f>+AN3+AN4</f>
        <v>31070.07</v>
      </c>
      <c r="AO51" s="26"/>
      <c r="AP51" s="7">
        <f>+AP3+AP4</f>
        <v>211402.51</v>
      </c>
      <c r="AQ51" s="26"/>
      <c r="AR51" s="7">
        <f>+AR3+AR4</f>
        <v>526038.80999999994</v>
      </c>
      <c r="AS51" s="26"/>
      <c r="AT51" s="7">
        <f>+AT3+AT4</f>
        <v>132760.86000000002</v>
      </c>
      <c r="AU51" s="26"/>
      <c r="AV51" s="7">
        <f>+AV3+AV4</f>
        <v>216698.2</v>
      </c>
      <c r="AW51" s="26"/>
      <c r="AX51" s="7">
        <f>+AX3+AX4</f>
        <v>122915.64</v>
      </c>
      <c r="AY51" s="26"/>
      <c r="AZ51" s="7">
        <f>+AZ3+AZ4</f>
        <v>51136.67</v>
      </c>
      <c r="BA51" s="26"/>
      <c r="BB51" s="7">
        <f>+BB3+BB4</f>
        <v>227055.45</v>
      </c>
      <c r="BC51" s="26"/>
      <c r="BD51" s="7"/>
      <c r="BE51" s="15"/>
      <c r="BF51" s="7"/>
      <c r="BG51" s="26"/>
      <c r="BH51" s="7"/>
      <c r="BI51" s="26"/>
      <c r="BJ51" s="7"/>
      <c r="BK51" s="26"/>
      <c r="BL51" s="9"/>
      <c r="BM51" s="15"/>
      <c r="BN51" s="9"/>
      <c r="BO51" s="15"/>
      <c r="BP51" s="9"/>
      <c r="BQ51" s="15"/>
      <c r="BR51" s="9"/>
      <c r="BS51" s="15"/>
      <c r="BT51" s="9"/>
      <c r="BU51" s="15"/>
      <c r="BV51" s="9"/>
      <c r="BW51" s="15"/>
      <c r="BX51" s="9"/>
      <c r="BY51" s="15"/>
      <c r="BZ51" s="9"/>
      <c r="CA51" s="15"/>
      <c r="CB51" s="9"/>
      <c r="CC51" s="15"/>
      <c r="CD51" s="9"/>
      <c r="CE51" s="15"/>
      <c r="CF51" s="9"/>
      <c r="CG51" s="15"/>
      <c r="CH51" s="66"/>
      <c r="CI51" s="60"/>
      <c r="CJ51" s="66"/>
      <c r="CK51" s="60"/>
      <c r="CL51" s="66"/>
      <c r="CM51" s="60"/>
      <c r="CN51" s="66"/>
      <c r="CO51" s="60"/>
      <c r="CP51" s="66"/>
      <c r="CQ51" s="60"/>
      <c r="CR51" s="66"/>
    </row>
    <row r="52" spans="1:96" x14ac:dyDescent="0.25">
      <c r="A52" s="39" t="s">
        <v>2</v>
      </c>
      <c r="B52" s="26">
        <f>+SUM(B6:B49)</f>
        <v>140759.87000000002</v>
      </c>
      <c r="C52" s="26"/>
      <c r="D52" s="26">
        <f>+SUM(D6:D49)</f>
        <v>283695.89000000007</v>
      </c>
      <c r="E52" s="26"/>
      <c r="F52" s="26">
        <f>+SUM(F6:F49)</f>
        <v>82366.459999999992</v>
      </c>
      <c r="G52" s="26"/>
      <c r="H52" s="26">
        <f>+SUM(H6:H49)</f>
        <v>195152.94</v>
      </c>
      <c r="I52" s="26"/>
      <c r="J52" s="26">
        <f>+SUM(J6:J49)</f>
        <v>65542.34</v>
      </c>
      <c r="K52" s="26"/>
      <c r="L52" s="26">
        <f>+SUM(L6:L49)</f>
        <v>19471.14</v>
      </c>
      <c r="M52" s="26"/>
      <c r="N52" s="26">
        <f>+SUM(N6:N49)</f>
        <v>281071.71000000002</v>
      </c>
      <c r="O52" s="26"/>
      <c r="P52" s="26">
        <f>+SUM(P6:P49)</f>
        <v>258462.29000000004</v>
      </c>
      <c r="Q52" s="26"/>
      <c r="R52" s="26">
        <f>+SUM(R6:R49)</f>
        <v>151320.54999999999</v>
      </c>
      <c r="S52" s="26"/>
      <c r="T52" s="26">
        <f>+SUM(T6:T49)</f>
        <v>136376.91999999998</v>
      </c>
      <c r="U52" s="26"/>
      <c r="V52" s="26">
        <f>+SUM(V6:V49)</f>
        <v>285613.48999999993</v>
      </c>
      <c r="W52" s="26"/>
      <c r="X52" s="26">
        <f>+SUM(X6:X49)</f>
        <v>104009.50999999998</v>
      </c>
      <c r="Y52" s="26"/>
      <c r="Z52" s="26">
        <f>+SUM(Z6:Z49)</f>
        <v>500</v>
      </c>
      <c r="AA52" s="26"/>
      <c r="AB52" s="26">
        <f>+SUM(AB6:AB49)</f>
        <v>38217.600000000006</v>
      </c>
      <c r="AC52" s="26"/>
      <c r="AD52" s="26">
        <f>+SUM(AD6:AD49)</f>
        <v>67118.710000000006</v>
      </c>
      <c r="AE52" s="26"/>
      <c r="AF52" s="26">
        <f>+SUM(AF6:AF49)</f>
        <v>59755.29</v>
      </c>
      <c r="AG52" s="26"/>
      <c r="AH52" s="26">
        <f>+SUM(AH6:AH49)</f>
        <v>55771.94000000001</v>
      </c>
      <c r="AI52" s="26"/>
      <c r="AJ52" s="26">
        <f>+SUM(AJ6:AJ49)</f>
        <v>119048.07999999999</v>
      </c>
      <c r="AK52" s="26"/>
      <c r="AL52" s="26">
        <f>+SUM(AL6:AL49)</f>
        <v>113034.66999999997</v>
      </c>
      <c r="AM52" s="26"/>
      <c r="AN52" s="26">
        <f>+SUM(AN6:AN49)</f>
        <v>31070.070000000003</v>
      </c>
      <c r="AO52" s="26"/>
      <c r="AP52" s="26">
        <f>+SUM(AP6:AP49)</f>
        <v>211402.51</v>
      </c>
      <c r="AQ52" s="26"/>
      <c r="AR52" s="26">
        <f>+SUM(AR6:AR49)</f>
        <v>526038.80999999994</v>
      </c>
      <c r="AS52" s="26"/>
      <c r="AT52" s="26">
        <f>+SUM(AT6:AT49)</f>
        <v>132760.86000000002</v>
      </c>
      <c r="AU52" s="26"/>
      <c r="AV52" s="26">
        <f>+SUM(AV6:AV49)</f>
        <v>216698.2</v>
      </c>
      <c r="AW52" s="26"/>
      <c r="AX52" s="26">
        <f>+SUM(AX6:AX49)</f>
        <v>122915.57999999999</v>
      </c>
      <c r="AY52" s="26"/>
      <c r="AZ52" s="26">
        <f>+SUM(AZ6:AZ49)</f>
        <v>51136.67</v>
      </c>
      <c r="BA52" s="26"/>
      <c r="BB52" s="26">
        <f>+SUM(BB6:BB49)</f>
        <v>227055.46100000001</v>
      </c>
      <c r="BC52" s="26"/>
      <c r="BD52" s="26"/>
      <c r="BE52" s="15"/>
      <c r="BF52" s="26"/>
      <c r="BG52" s="26"/>
      <c r="BH52" s="26"/>
      <c r="BI52" s="26"/>
      <c r="BJ52" s="26"/>
      <c r="BK52" s="26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</row>
    <row r="53" spans="1:96" x14ac:dyDescent="0.25">
      <c r="A53" s="39" t="s">
        <v>3</v>
      </c>
      <c r="B53" s="117">
        <f>+B51-B52</f>
        <v>9.9999999802093953E-3</v>
      </c>
      <c r="C53" s="117"/>
      <c r="D53" s="117">
        <f>+D51-D52</f>
        <v>9.9999999511055648E-3</v>
      </c>
      <c r="E53" s="117"/>
      <c r="F53" s="117">
        <f>+F51-F52</f>
        <v>-9.9999999947613105E-3</v>
      </c>
      <c r="G53" s="117"/>
      <c r="H53" s="117">
        <f>+H51-H52</f>
        <v>0</v>
      </c>
      <c r="I53" s="117"/>
      <c r="J53" s="117">
        <f>+J51-J52</f>
        <v>0</v>
      </c>
      <c r="K53" s="117"/>
      <c r="L53" s="117">
        <f>+L51-L52</f>
        <v>0</v>
      </c>
      <c r="M53" s="117"/>
      <c r="N53" s="117">
        <f>+N51-N52</f>
        <v>-1.0000000009313226E-2</v>
      </c>
      <c r="O53" s="117"/>
      <c r="P53" s="117">
        <f>+P51-P52</f>
        <v>9.9999999802093953E-3</v>
      </c>
      <c r="Q53" s="117"/>
      <c r="R53" s="117">
        <f>+R51-R52</f>
        <v>2.0000000018626451E-2</v>
      </c>
      <c r="S53" s="117"/>
      <c r="T53" s="117">
        <f>+T51-T52</f>
        <v>2.0000000018626451E-2</v>
      </c>
      <c r="U53" s="117"/>
      <c r="V53" s="117">
        <f>+V51-V52</f>
        <v>0</v>
      </c>
      <c r="W53" s="117"/>
      <c r="X53" s="117">
        <f>+X51-X52</f>
        <v>0</v>
      </c>
      <c r="Y53" s="117"/>
      <c r="Z53" s="117">
        <f>+Z51-Z52</f>
        <v>0</v>
      </c>
      <c r="AA53" s="117"/>
      <c r="AB53" s="117">
        <f>+AB51-AB52</f>
        <v>0</v>
      </c>
      <c r="AC53" s="117"/>
      <c r="AD53" s="117">
        <f>+AD51-AD52</f>
        <v>0</v>
      </c>
      <c r="AE53" s="117"/>
      <c r="AF53" s="117">
        <f>+AF51-AF52</f>
        <v>-1.9999999996798579E-2</v>
      </c>
      <c r="AG53" s="117"/>
      <c r="AH53" s="117">
        <f>+AH51-AH52</f>
        <v>0</v>
      </c>
      <c r="AI53" s="117"/>
      <c r="AJ53" s="117">
        <f>+AJ51-AJ52</f>
        <v>0</v>
      </c>
      <c r="AK53" s="117"/>
      <c r="AL53" s="117">
        <f>+AL51-AL52</f>
        <v>1.0000000023865141E-2</v>
      </c>
      <c r="AM53" s="117"/>
      <c r="AN53" s="117">
        <f>+AN51-AN52</f>
        <v>0</v>
      </c>
      <c r="AO53" s="117"/>
      <c r="AP53" s="117">
        <f>+AP51-AP52</f>
        <v>0</v>
      </c>
      <c r="AQ53" s="117"/>
      <c r="AR53" s="117">
        <f>+AR51-AR52</f>
        <v>0</v>
      </c>
      <c r="AS53" s="117"/>
      <c r="AT53" s="117">
        <f>+AT51-AT52</f>
        <v>0</v>
      </c>
      <c r="AU53" s="117"/>
      <c r="AV53" s="117">
        <f>+AV51-AV52</f>
        <v>0</v>
      </c>
      <c r="AW53" s="117"/>
      <c r="AX53" s="117">
        <f>+AX51-AX52</f>
        <v>6.0000000012223609E-2</v>
      </c>
      <c r="AY53" s="117"/>
      <c r="AZ53" s="117">
        <f>+AZ51-AZ52</f>
        <v>0</v>
      </c>
      <c r="BA53" s="117"/>
      <c r="BB53" s="117">
        <f>+BB51-BB52</f>
        <v>-1.0999999998603016E-2</v>
      </c>
      <c r="BC53" s="117"/>
      <c r="BD53" s="117"/>
      <c r="BE53" s="134"/>
      <c r="BF53" s="117"/>
      <c r="BG53" s="117"/>
      <c r="BH53" s="117"/>
      <c r="BI53" s="117"/>
      <c r="BJ53" s="117"/>
      <c r="BK53" s="117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</row>
    <row r="54" spans="1:96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59"/>
      <c r="AA54" s="59"/>
      <c r="AB54" s="18"/>
      <c r="AC54" s="59"/>
      <c r="AD54" s="18"/>
      <c r="AE54" s="59"/>
      <c r="AF54" s="18"/>
      <c r="AG54" s="59"/>
      <c r="AH54" s="18"/>
      <c r="AI54" s="59"/>
      <c r="AJ54" s="18"/>
      <c r="AK54" s="59"/>
      <c r="AL54" s="117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59"/>
      <c r="AX54" s="18"/>
      <c r="AY54" s="59"/>
      <c r="AZ54" s="18"/>
      <c r="BA54" s="59"/>
      <c r="BB54" s="18"/>
      <c r="BC54" s="59"/>
      <c r="BD54" s="18"/>
      <c r="BE54" s="25"/>
      <c r="BF54" s="18"/>
      <c r="BG54" s="59"/>
      <c r="BH54" s="18"/>
      <c r="BI54" s="59"/>
      <c r="BJ54" s="18"/>
      <c r="BK54" s="59"/>
      <c r="BL54" s="75"/>
      <c r="BM54" s="25"/>
      <c r="BN54" s="75"/>
      <c r="BO54" s="25"/>
      <c r="BP54" s="75"/>
      <c r="BQ54" s="25"/>
      <c r="BR54" s="75"/>
      <c r="BS54" s="25"/>
      <c r="BT54" s="75"/>
      <c r="BU54" s="25"/>
      <c r="BV54" s="75"/>
      <c r="BW54" s="25"/>
      <c r="BX54" s="75"/>
      <c r="BY54" s="25"/>
      <c r="BZ54" s="75"/>
      <c r="CA54" s="25"/>
      <c r="CB54" s="75"/>
      <c r="CC54" s="25"/>
      <c r="CD54" s="75"/>
      <c r="CE54" s="25"/>
      <c r="CF54" s="75"/>
      <c r="CG54" s="25"/>
      <c r="CH54" s="76"/>
      <c r="CI54" s="234"/>
      <c r="CJ54" s="76"/>
      <c r="CK54" s="234"/>
      <c r="CL54" s="76"/>
      <c r="CM54" s="234"/>
      <c r="CN54" s="76"/>
      <c r="CO54" s="234"/>
      <c r="CP54" s="76"/>
      <c r="CQ54" s="234"/>
      <c r="CR54" s="76"/>
    </row>
    <row r="55" spans="1:96" x14ac:dyDescent="0.25">
      <c r="A55" s="48"/>
      <c r="B55" s="163"/>
      <c r="C55" s="59"/>
      <c r="D55" s="163"/>
      <c r="E55" s="59"/>
      <c r="F55" s="163"/>
      <c r="G55" s="59"/>
      <c r="H55" s="163"/>
      <c r="I55" s="59"/>
      <c r="J55" s="163"/>
      <c r="K55" s="59"/>
      <c r="L55" s="163"/>
      <c r="M55" s="59"/>
      <c r="N55" s="163"/>
      <c r="O55" s="59"/>
      <c r="P55" s="163"/>
      <c r="Q55" s="59"/>
      <c r="R55" s="18"/>
      <c r="S55" s="59"/>
      <c r="T55" s="141"/>
      <c r="U55" s="59"/>
      <c r="V55" s="141"/>
      <c r="W55" s="59"/>
      <c r="X55" s="141"/>
      <c r="Y55" s="59"/>
      <c r="Z55" s="59"/>
      <c r="AA55" s="59"/>
      <c r="AB55" s="163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59"/>
      <c r="AX55" s="18"/>
      <c r="AY55" s="59"/>
      <c r="AZ55" s="18"/>
      <c r="BA55" s="59"/>
      <c r="BB55" s="18"/>
      <c r="BC55" s="59"/>
      <c r="BD55" s="75"/>
      <c r="BE55" s="25"/>
      <c r="BF55" s="18"/>
      <c r="BG55" s="59"/>
      <c r="BH55" s="18"/>
      <c r="BI55" s="59"/>
      <c r="BJ55" s="18"/>
      <c r="BK55" s="59"/>
      <c r="BL55" s="75"/>
      <c r="BM55" s="25"/>
      <c r="BN55" s="75"/>
      <c r="BO55" s="25"/>
      <c r="BP55" s="75"/>
      <c r="BQ55" s="25"/>
      <c r="BR55" s="75"/>
      <c r="BS55" s="25"/>
      <c r="BT55" s="75"/>
      <c r="BU55" s="25"/>
      <c r="BV55" s="75"/>
      <c r="BW55" s="25"/>
      <c r="BX55" s="75"/>
      <c r="BY55" s="25"/>
      <c r="BZ55" s="75"/>
      <c r="CA55" s="25"/>
      <c r="CB55" s="75"/>
      <c r="CC55" s="25"/>
      <c r="CD55" s="75"/>
      <c r="CE55" s="25"/>
      <c r="CF55" s="75"/>
      <c r="CG55" s="25"/>
      <c r="CH55" s="76"/>
      <c r="CI55" s="234"/>
      <c r="CJ55" s="76"/>
      <c r="CK55" s="234"/>
      <c r="CL55" s="76"/>
      <c r="CM55" s="234"/>
      <c r="CN55" s="76"/>
      <c r="CO55" s="234"/>
      <c r="CP55" s="76"/>
      <c r="CQ55" s="234"/>
      <c r="CR55" s="76"/>
    </row>
    <row r="56" spans="1:96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2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0"/>
      <c r="BA56" s="12"/>
      <c r="BB56" s="10"/>
      <c r="BC56" s="12"/>
      <c r="BD56" s="11"/>
      <c r="BE56" s="13"/>
      <c r="BF56" s="10"/>
      <c r="BG56" s="12"/>
      <c r="BH56" s="10"/>
      <c r="BI56" s="12"/>
      <c r="BJ56" s="10"/>
      <c r="BK56" s="12"/>
      <c r="BL56" s="11"/>
      <c r="BM56" s="13"/>
      <c r="BN56" s="11"/>
      <c r="BO56" s="13"/>
      <c r="BP56" s="11"/>
      <c r="BQ56" s="13"/>
      <c r="BR56" s="11"/>
      <c r="BS56" s="13"/>
      <c r="BT56" s="11"/>
      <c r="BU56" s="13"/>
      <c r="BV56" s="11"/>
      <c r="BW56" s="13"/>
      <c r="BX56" s="11"/>
      <c r="BY56" s="13"/>
      <c r="BZ56" s="11"/>
      <c r="CA56" s="13"/>
      <c r="CB56" s="11"/>
      <c r="CC56" s="13"/>
      <c r="CD56" s="11"/>
      <c r="CE56" s="13"/>
      <c r="CF56" s="11"/>
      <c r="CG56" s="13"/>
      <c r="CH56" s="11"/>
      <c r="CI56" s="13"/>
      <c r="CJ56" s="11"/>
      <c r="CK56" s="13"/>
      <c r="CL56" s="11"/>
      <c r="CM56" s="13"/>
      <c r="CN56" s="11"/>
      <c r="CO56" s="13"/>
      <c r="CP56" s="11"/>
      <c r="CQ56" s="13"/>
      <c r="CR56" s="11"/>
    </row>
    <row r="57" spans="1:96" x14ac:dyDescent="0.25">
      <c r="A57" s="40" t="s">
        <v>4</v>
      </c>
      <c r="B57" s="20">
        <v>43010</v>
      </c>
      <c r="C57" s="20"/>
      <c r="D57" s="20">
        <v>43011</v>
      </c>
      <c r="E57" s="20"/>
      <c r="F57" s="20">
        <v>43012</v>
      </c>
      <c r="G57" s="20"/>
      <c r="H57" s="20">
        <v>43013</v>
      </c>
      <c r="I57" s="20"/>
      <c r="J57" s="20">
        <v>43014</v>
      </c>
      <c r="K57" s="20"/>
      <c r="L57" s="20">
        <v>43015</v>
      </c>
      <c r="M57" s="20"/>
      <c r="N57" s="20">
        <v>43017</v>
      </c>
      <c r="O57" s="20"/>
      <c r="P57" s="20">
        <v>43018</v>
      </c>
      <c r="Q57" s="20"/>
      <c r="R57" s="20">
        <v>43019</v>
      </c>
      <c r="S57" s="20"/>
      <c r="T57" s="20">
        <v>43020</v>
      </c>
      <c r="U57" s="20"/>
      <c r="V57" s="20">
        <v>43021</v>
      </c>
      <c r="W57" s="20"/>
      <c r="X57" s="20">
        <v>43022</v>
      </c>
      <c r="Y57" s="20"/>
      <c r="Z57" s="20">
        <v>43023</v>
      </c>
      <c r="AA57" s="20"/>
      <c r="AB57" s="20">
        <v>43024</v>
      </c>
      <c r="AC57" s="20"/>
      <c r="AD57" s="20">
        <v>43025</v>
      </c>
      <c r="AE57" s="20"/>
      <c r="AF57" s="20">
        <v>43026</v>
      </c>
      <c r="AG57" s="20"/>
      <c r="AH57" s="20">
        <v>43027</v>
      </c>
      <c r="AI57" s="20"/>
      <c r="AJ57" s="20">
        <v>43028</v>
      </c>
      <c r="AK57" s="20"/>
      <c r="AL57" s="20">
        <v>43029</v>
      </c>
      <c r="AM57" s="20"/>
      <c r="AN57" s="20">
        <v>43031</v>
      </c>
      <c r="AO57" s="20"/>
      <c r="AP57" s="20">
        <v>43032</v>
      </c>
      <c r="AQ57" s="20"/>
      <c r="AR57" s="20">
        <v>43033</v>
      </c>
      <c r="AS57" s="20"/>
      <c r="AT57" s="20">
        <v>43034</v>
      </c>
      <c r="AU57" s="20"/>
      <c r="AV57" s="20">
        <v>43035</v>
      </c>
      <c r="AW57" s="20"/>
      <c r="AX57" s="20">
        <v>43036</v>
      </c>
      <c r="AY57" s="20"/>
      <c r="AZ57" s="20">
        <v>43038</v>
      </c>
      <c r="BA57" s="20"/>
      <c r="BB57" s="20">
        <v>43039</v>
      </c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</row>
    <row r="58" spans="1:96" x14ac:dyDescent="0.25">
      <c r="A58" s="49"/>
      <c r="B58" s="68"/>
      <c r="C58" s="135"/>
      <c r="D58" s="68"/>
      <c r="E58" s="135"/>
      <c r="F58" s="68"/>
      <c r="G58" s="135"/>
      <c r="H58" s="68"/>
      <c r="I58" s="135"/>
      <c r="J58" s="68"/>
      <c r="K58" s="135"/>
      <c r="L58" s="68"/>
      <c r="M58" s="135"/>
      <c r="N58" s="68"/>
      <c r="O58" s="135"/>
      <c r="P58" s="68"/>
      <c r="Q58" s="135"/>
      <c r="R58" s="19"/>
      <c r="S58" s="21"/>
      <c r="T58" s="19"/>
      <c r="U58" s="21"/>
      <c r="V58" s="19"/>
      <c r="W58" s="21"/>
      <c r="X58" s="68"/>
      <c r="Y58" s="21"/>
      <c r="Z58" s="21"/>
      <c r="AA58" s="21"/>
      <c r="AB58" s="68"/>
      <c r="AC58" s="21"/>
      <c r="AD58" s="19"/>
      <c r="AE58" s="21"/>
      <c r="AF58" s="19"/>
      <c r="AG58" s="21"/>
      <c r="AH58" s="68"/>
      <c r="AI58" s="135"/>
      <c r="AJ58" s="68"/>
      <c r="AK58" s="135"/>
      <c r="AL58" s="68"/>
      <c r="AM58" s="135"/>
      <c r="AN58" s="68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19"/>
      <c r="BA58" s="21"/>
      <c r="BB58" s="19"/>
      <c r="BC58" s="21"/>
      <c r="BD58" s="68"/>
      <c r="BE58" s="135"/>
      <c r="BF58" s="19"/>
      <c r="BG58" s="21"/>
      <c r="BH58" s="19"/>
      <c r="BI58" s="21"/>
      <c r="BJ58" s="19"/>
      <c r="BK58" s="21"/>
      <c r="BL58" s="68"/>
      <c r="BM58" s="135"/>
      <c r="BN58" s="68"/>
      <c r="BO58" s="135"/>
      <c r="BP58" s="68"/>
      <c r="BQ58" s="135"/>
      <c r="BR58" s="68"/>
      <c r="BS58" s="135"/>
      <c r="BT58" s="68"/>
      <c r="BU58" s="135"/>
      <c r="BV58" s="68"/>
      <c r="BW58" s="135"/>
      <c r="BX58" s="68"/>
      <c r="BY58" s="135"/>
      <c r="BZ58" s="68"/>
      <c r="CA58" s="135"/>
      <c r="CB58" s="68"/>
      <c r="CC58" s="135"/>
      <c r="CD58" s="68"/>
      <c r="CE58" s="135"/>
      <c r="CF58" s="68"/>
      <c r="CG58" s="135"/>
      <c r="CH58" s="68"/>
      <c r="CI58" s="135"/>
      <c r="CJ58" s="68"/>
      <c r="CK58" s="135"/>
      <c r="CL58" s="68"/>
      <c r="CM58" s="135"/>
      <c r="CN58" s="68"/>
      <c r="CO58" s="135"/>
      <c r="CP58" s="68"/>
      <c r="CQ58" s="135"/>
      <c r="CR58" s="68"/>
    </row>
    <row r="59" spans="1:96" x14ac:dyDescent="0.25">
      <c r="A59" s="41" t="s">
        <v>5</v>
      </c>
      <c r="B59" s="9">
        <v>10572.73</v>
      </c>
      <c r="C59" s="15" t="s">
        <v>11739</v>
      </c>
      <c r="D59" s="9">
        <v>1561.53</v>
      </c>
      <c r="E59" s="15" t="s">
        <v>11796</v>
      </c>
      <c r="F59" s="9">
        <v>314.16000000000003</v>
      </c>
      <c r="G59" s="15" t="s">
        <v>11881</v>
      </c>
      <c r="H59" s="9">
        <v>8500</v>
      </c>
      <c r="I59" s="15" t="s">
        <v>11852</v>
      </c>
      <c r="J59" s="9">
        <v>4910</v>
      </c>
      <c r="K59" s="15" t="s">
        <v>11948</v>
      </c>
      <c r="L59" s="9">
        <v>4355.2</v>
      </c>
      <c r="M59" s="15" t="s">
        <v>12021</v>
      </c>
      <c r="N59" s="9">
        <v>246200</v>
      </c>
      <c r="O59" s="15" t="s">
        <v>12003</v>
      </c>
      <c r="P59" s="9">
        <v>1000</v>
      </c>
      <c r="Q59" s="15" t="s">
        <v>12084</v>
      </c>
      <c r="R59" s="9">
        <v>2040.01</v>
      </c>
      <c r="S59" s="15" t="s">
        <v>12139</v>
      </c>
      <c r="T59" s="265">
        <v>6314.69</v>
      </c>
      <c r="U59" s="15" t="s">
        <v>12181</v>
      </c>
      <c r="V59" s="9">
        <v>3459.14</v>
      </c>
      <c r="W59" s="15" t="s">
        <v>12240</v>
      </c>
      <c r="X59" s="9">
        <v>5500</v>
      </c>
      <c r="Y59" s="15" t="s">
        <v>12274</v>
      </c>
      <c r="Z59" s="15"/>
      <c r="AA59" s="15"/>
      <c r="AB59" s="9">
        <v>13065.98</v>
      </c>
      <c r="AC59" s="15" t="s">
        <v>12313</v>
      </c>
      <c r="AD59" s="9">
        <v>917.47</v>
      </c>
      <c r="AE59" s="15" t="s">
        <v>12357</v>
      </c>
      <c r="AF59" s="9">
        <v>23424.31</v>
      </c>
      <c r="AG59" s="15" t="s">
        <v>12424</v>
      </c>
      <c r="AH59" s="72">
        <v>666.33</v>
      </c>
      <c r="AI59" s="15" t="s">
        <v>12437</v>
      </c>
      <c r="AJ59" s="9">
        <v>200</v>
      </c>
      <c r="AK59" s="15" t="s">
        <v>12544</v>
      </c>
      <c r="AL59" s="9">
        <v>3211.47</v>
      </c>
      <c r="AM59" s="15" t="s">
        <v>12632</v>
      </c>
      <c r="AN59" s="9">
        <v>1169.01</v>
      </c>
      <c r="AO59" s="15" t="s">
        <v>12605</v>
      </c>
      <c r="AP59" s="9">
        <v>15700</v>
      </c>
      <c r="AQ59" s="15" t="s">
        <v>12702</v>
      </c>
      <c r="AR59" s="9">
        <v>1000</v>
      </c>
      <c r="AS59" s="9" t="s">
        <v>12770</v>
      </c>
      <c r="AT59" s="9">
        <v>5000</v>
      </c>
      <c r="AU59" s="15" t="s">
        <v>12856</v>
      </c>
      <c r="AV59" s="9">
        <v>3255</v>
      </c>
      <c r="AW59" s="15" t="s">
        <v>12810</v>
      </c>
      <c r="AX59" s="9">
        <v>10000</v>
      </c>
      <c r="AY59" s="15" t="s">
        <v>12945</v>
      </c>
      <c r="AZ59" s="9">
        <v>5000</v>
      </c>
      <c r="BA59" s="15" t="s">
        <v>12902</v>
      </c>
      <c r="BB59" s="9">
        <v>1995</v>
      </c>
      <c r="BC59" s="15" t="s">
        <v>13002</v>
      </c>
      <c r="BD59" s="10"/>
      <c r="BE59" s="12"/>
      <c r="BF59" s="9"/>
      <c r="BG59" s="15"/>
      <c r="BH59" s="9"/>
      <c r="BI59" s="15"/>
      <c r="BJ59" s="120"/>
      <c r="BK59" s="120"/>
      <c r="BL59" s="9"/>
      <c r="BM59" s="9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  <c r="CO59" s="15"/>
      <c r="CP59" s="9"/>
      <c r="CQ59" s="15"/>
      <c r="CR59" s="9"/>
    </row>
    <row r="60" spans="1:96" x14ac:dyDescent="0.25">
      <c r="A60" s="41"/>
      <c r="B60" s="9">
        <v>5000</v>
      </c>
      <c r="C60" s="15" t="s">
        <v>11742</v>
      </c>
      <c r="D60" s="9">
        <v>957</v>
      </c>
      <c r="E60" s="15" t="s">
        <v>11798</v>
      </c>
      <c r="F60" s="9">
        <v>8000</v>
      </c>
      <c r="G60" s="15" t="s">
        <v>11882</v>
      </c>
      <c r="H60" s="9">
        <v>20000</v>
      </c>
      <c r="I60" s="13" t="s">
        <v>11853</v>
      </c>
      <c r="J60" s="72">
        <v>11084.16</v>
      </c>
      <c r="K60" s="24" t="s">
        <v>11949</v>
      </c>
      <c r="L60" s="9">
        <v>2350</v>
      </c>
      <c r="M60" s="15" t="s">
        <v>12025</v>
      </c>
      <c r="N60" s="9">
        <v>20000</v>
      </c>
      <c r="O60" s="15" t="s">
        <v>12005</v>
      </c>
      <c r="P60" s="9">
        <v>539.27</v>
      </c>
      <c r="Q60" s="15" t="s">
        <v>12085</v>
      </c>
      <c r="R60" s="9"/>
      <c r="S60" s="15"/>
      <c r="T60" s="265">
        <v>1407.51</v>
      </c>
      <c r="U60" s="15" t="s">
        <v>12182</v>
      </c>
      <c r="V60" s="9">
        <v>1575.58</v>
      </c>
      <c r="W60" s="15" t="s">
        <v>12248</v>
      </c>
      <c r="X60" s="11">
        <v>2280</v>
      </c>
      <c r="Y60" s="12" t="s">
        <v>12276</v>
      </c>
      <c r="Z60" s="12"/>
      <c r="AA60" s="12"/>
      <c r="AB60" s="9">
        <v>2900</v>
      </c>
      <c r="AC60" s="15" t="s">
        <v>12314</v>
      </c>
      <c r="AD60" s="9">
        <v>2656.12</v>
      </c>
      <c r="AE60" s="15" t="s">
        <v>12358</v>
      </c>
      <c r="AF60" s="72">
        <v>1099.01</v>
      </c>
      <c r="AG60" s="15" t="s">
        <v>12430</v>
      </c>
      <c r="AH60" s="24">
        <v>2150</v>
      </c>
      <c r="AI60" s="15" t="s">
        <v>12444</v>
      </c>
      <c r="AJ60" s="272">
        <f>25300.01-13000</f>
        <v>12300.009999999998</v>
      </c>
      <c r="AK60" s="108" t="s">
        <v>12558</v>
      </c>
      <c r="AL60" s="72">
        <v>1000</v>
      </c>
      <c r="AM60" s="15" t="s">
        <v>12634</v>
      </c>
      <c r="AN60" s="9">
        <v>1169.01</v>
      </c>
      <c r="AO60" s="15" t="s">
        <v>12607</v>
      </c>
      <c r="AP60" s="9">
        <v>1970</v>
      </c>
      <c r="AQ60" s="15" t="s">
        <v>12724</v>
      </c>
      <c r="AR60" s="9">
        <v>1176.58</v>
      </c>
      <c r="AS60" s="15" t="s">
        <v>12772</v>
      </c>
      <c r="AT60" s="9">
        <v>1445.57</v>
      </c>
      <c r="AU60" s="15" t="s">
        <v>12861</v>
      </c>
      <c r="AV60" s="9">
        <v>3000</v>
      </c>
      <c r="AW60" s="15" t="s">
        <v>12811</v>
      </c>
      <c r="AX60" s="9">
        <v>1619.2</v>
      </c>
      <c r="AY60" s="15" t="s">
        <v>12946</v>
      </c>
      <c r="AZ60" s="9">
        <v>6704.56</v>
      </c>
      <c r="BA60" s="15" t="s">
        <v>12904</v>
      </c>
      <c r="BB60" s="11">
        <v>5500</v>
      </c>
      <c r="BC60" s="12" t="s">
        <v>13009</v>
      </c>
      <c r="BD60" s="7"/>
      <c r="BE60" s="26"/>
      <c r="BF60" s="72"/>
      <c r="BG60" s="24"/>
      <c r="BH60" s="72"/>
      <c r="BI60" s="24"/>
      <c r="BJ60" s="120"/>
      <c r="BK60" s="120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  <c r="CO60" s="15"/>
      <c r="CP60" s="9"/>
      <c r="CQ60" s="15"/>
      <c r="CR60" s="9"/>
    </row>
    <row r="61" spans="1:96" x14ac:dyDescent="0.25">
      <c r="A61" s="43"/>
      <c r="B61" s="9">
        <v>5000</v>
      </c>
      <c r="C61" s="15" t="s">
        <v>11744</v>
      </c>
      <c r="D61" s="95">
        <f>+D60+D59</f>
        <v>2518.5299999999997</v>
      </c>
      <c r="E61" s="15"/>
      <c r="F61" s="9">
        <v>1999.64</v>
      </c>
      <c r="G61" s="15" t="s">
        <v>11884</v>
      </c>
      <c r="H61" s="9">
        <v>20000</v>
      </c>
      <c r="I61" s="15" t="s">
        <v>11854</v>
      </c>
      <c r="J61" s="72">
        <v>1052.53</v>
      </c>
      <c r="K61" s="24" t="s">
        <v>11950</v>
      </c>
      <c r="L61" s="11">
        <v>8142.86</v>
      </c>
      <c r="M61" s="13" t="s">
        <v>12029</v>
      </c>
      <c r="N61" s="9">
        <v>10000</v>
      </c>
      <c r="O61" s="15" t="s">
        <v>12009</v>
      </c>
      <c r="P61" s="11">
        <v>986.7</v>
      </c>
      <c r="Q61" s="13" t="s">
        <v>12087</v>
      </c>
      <c r="R61" s="14">
        <v>254.92</v>
      </c>
      <c r="S61" s="12" t="s">
        <v>12143</v>
      </c>
      <c r="T61" s="265">
        <v>3101.56</v>
      </c>
      <c r="U61" s="15" t="s">
        <v>12183</v>
      </c>
      <c r="V61" s="10">
        <v>1995</v>
      </c>
      <c r="W61" s="12" t="s">
        <v>12249</v>
      </c>
      <c r="X61" s="9">
        <v>1064.33</v>
      </c>
      <c r="Y61" s="15" t="s">
        <v>12278</v>
      </c>
      <c r="Z61" s="15"/>
      <c r="AA61" s="15"/>
      <c r="AB61" s="9">
        <v>1970</v>
      </c>
      <c r="AC61" s="15" t="s">
        <v>12320</v>
      </c>
      <c r="AD61" s="11">
        <v>5000</v>
      </c>
      <c r="AE61" s="12" t="s">
        <v>12360</v>
      </c>
      <c r="AF61" s="127">
        <v>1099.01</v>
      </c>
      <c r="AG61" s="120" t="s">
        <v>12432</v>
      </c>
      <c r="AH61" s="72">
        <v>3544.84</v>
      </c>
      <c r="AI61" s="15" t="s">
        <v>12449</v>
      </c>
      <c r="AJ61" s="9">
        <v>322.76</v>
      </c>
      <c r="AK61" s="15" t="s">
        <v>12560</v>
      </c>
      <c r="AL61" s="72">
        <v>9403.4599999999991</v>
      </c>
      <c r="AM61" s="13" t="s">
        <v>12635</v>
      </c>
      <c r="AN61" s="9">
        <v>2960.73</v>
      </c>
      <c r="AO61" s="15" t="s">
        <v>12608</v>
      </c>
      <c r="AP61" s="9">
        <v>5097.01</v>
      </c>
      <c r="AQ61" s="15" t="s">
        <v>12725</v>
      </c>
      <c r="AR61" s="9">
        <v>81.83</v>
      </c>
      <c r="AS61" s="15" t="s">
        <v>12773</v>
      </c>
      <c r="AT61" s="10">
        <v>2676.14</v>
      </c>
      <c r="AU61" s="12" t="s">
        <v>12863</v>
      </c>
      <c r="AV61" s="7">
        <v>479.12</v>
      </c>
      <c r="AW61" s="26" t="s">
        <v>12815</v>
      </c>
      <c r="AX61" s="14">
        <v>1392</v>
      </c>
      <c r="AY61" s="12" t="s">
        <v>12950</v>
      </c>
      <c r="AZ61" s="9">
        <v>9597.86</v>
      </c>
      <c r="BA61" s="15" t="s">
        <v>12910</v>
      </c>
      <c r="BB61" s="9">
        <v>4226.88</v>
      </c>
      <c r="BC61" s="26" t="s">
        <v>13031</v>
      </c>
      <c r="BD61" s="9"/>
      <c r="BE61" s="15"/>
      <c r="BF61" s="10"/>
      <c r="BG61" s="12"/>
      <c r="BH61" s="10"/>
      <c r="BI61" s="12"/>
      <c r="BJ61" s="15"/>
      <c r="BK61" s="15"/>
      <c r="BL61" s="11"/>
      <c r="BM61" s="13"/>
      <c r="BN61" s="23"/>
      <c r="BO61" s="13"/>
      <c r="BP61" s="11"/>
      <c r="BQ61" s="13"/>
      <c r="BR61" s="11"/>
      <c r="BS61" s="13"/>
      <c r="BT61" s="11"/>
      <c r="BU61" s="13"/>
      <c r="BV61" s="11"/>
      <c r="BW61" s="13"/>
      <c r="BX61" s="11"/>
      <c r="BY61" s="13"/>
      <c r="BZ61" s="11"/>
      <c r="CA61" s="13"/>
      <c r="CB61" s="11"/>
      <c r="CC61" s="13"/>
      <c r="CD61" s="11"/>
      <c r="CE61" s="13"/>
      <c r="CF61" s="11"/>
      <c r="CG61" s="13"/>
      <c r="CH61" s="11"/>
      <c r="CI61" s="13"/>
      <c r="CJ61" s="11"/>
      <c r="CK61" s="13"/>
      <c r="CL61" s="11"/>
      <c r="CM61" s="13"/>
      <c r="CN61" s="11"/>
      <c r="CO61" s="13"/>
      <c r="CP61" s="11"/>
      <c r="CQ61" s="13"/>
      <c r="CR61" s="11"/>
    </row>
    <row r="62" spans="1:96" x14ac:dyDescent="0.25">
      <c r="A62" s="41"/>
      <c r="B62" s="193">
        <v>1099.01</v>
      </c>
      <c r="C62" s="15" t="s">
        <v>11746</v>
      </c>
      <c r="D62" s="11"/>
      <c r="E62" s="13"/>
      <c r="F62" s="15">
        <v>66654.89</v>
      </c>
      <c r="G62" s="15" t="s">
        <v>11885</v>
      </c>
      <c r="H62" s="9">
        <v>20000</v>
      </c>
      <c r="I62" s="15" t="s">
        <v>11855</v>
      </c>
      <c r="J62" s="9">
        <v>21218.400000000001</v>
      </c>
      <c r="K62" s="15" t="s">
        <v>11951</v>
      </c>
      <c r="L62" s="9">
        <v>4146</v>
      </c>
      <c r="M62" s="15" t="s">
        <v>12031</v>
      </c>
      <c r="N62" s="95">
        <f>+SUM(N59:N61)</f>
        <v>276200</v>
      </c>
      <c r="O62" s="15"/>
      <c r="P62" s="9">
        <v>150</v>
      </c>
      <c r="Q62" s="15" t="s">
        <v>12090</v>
      </c>
      <c r="R62" s="9">
        <v>2065</v>
      </c>
      <c r="S62" s="26" t="s">
        <v>12148</v>
      </c>
      <c r="T62" s="268">
        <v>3320</v>
      </c>
      <c r="U62" s="269" t="s">
        <v>12184</v>
      </c>
      <c r="V62" s="9">
        <v>5105</v>
      </c>
      <c r="W62" s="15" t="s">
        <v>12259</v>
      </c>
      <c r="X62" s="9">
        <v>20000</v>
      </c>
      <c r="Y62" s="15" t="s">
        <v>12280</v>
      </c>
      <c r="Z62" s="15"/>
      <c r="AA62" s="15"/>
      <c r="AB62" s="9">
        <v>1970</v>
      </c>
      <c r="AC62" s="15" t="s">
        <v>12322</v>
      </c>
      <c r="AD62" s="9">
        <v>1712.87</v>
      </c>
      <c r="AE62" s="26" t="s">
        <v>12369</v>
      </c>
      <c r="AF62" s="99">
        <f>+SUM(AF59:AF61)</f>
        <v>25622.329999999998</v>
      </c>
      <c r="AG62" s="26"/>
      <c r="AH62" s="72">
        <v>1995</v>
      </c>
      <c r="AI62" s="13" t="s">
        <v>12450</v>
      </c>
      <c r="AJ62" s="9">
        <v>1936.83</v>
      </c>
      <c r="AK62" s="15" t="s">
        <v>12561</v>
      </c>
      <c r="AL62" s="72">
        <v>1118.76</v>
      </c>
      <c r="AM62" s="15" t="s">
        <v>12646</v>
      </c>
      <c r="AN62" s="9">
        <v>3319.99</v>
      </c>
      <c r="AO62" s="15" t="s">
        <v>12610</v>
      </c>
      <c r="AP62" s="11">
        <v>1970</v>
      </c>
      <c r="AQ62" s="13" t="s">
        <v>12729</v>
      </c>
      <c r="AR62" s="9">
        <v>13914.12</v>
      </c>
      <c r="AS62" s="15" t="s">
        <v>12774</v>
      </c>
      <c r="AT62" s="9">
        <v>966</v>
      </c>
      <c r="AU62" s="15" t="s">
        <v>12865</v>
      </c>
      <c r="AV62" s="9">
        <v>6662.52</v>
      </c>
      <c r="AW62" s="15" t="s">
        <v>12822</v>
      </c>
      <c r="AX62" s="9">
        <v>4395.01</v>
      </c>
      <c r="AY62" s="15" t="s">
        <v>12957</v>
      </c>
      <c r="AZ62" s="11">
        <v>449</v>
      </c>
      <c r="BA62" s="13" t="s">
        <v>12915</v>
      </c>
      <c r="BB62" s="9">
        <v>1099</v>
      </c>
      <c r="BC62" s="15" t="s">
        <v>13043</v>
      </c>
      <c r="BD62" s="15"/>
      <c r="BE62" s="15"/>
      <c r="BF62" s="9"/>
      <c r="BG62" s="15"/>
      <c r="BH62" s="9"/>
      <c r="BI62" s="15"/>
      <c r="BJ62" s="7"/>
      <c r="BK62" s="26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  <c r="CO62" s="15"/>
      <c r="CP62" s="9"/>
      <c r="CQ62" s="15"/>
      <c r="CR62" s="9"/>
    </row>
    <row r="63" spans="1:96" x14ac:dyDescent="0.25">
      <c r="A63" s="41"/>
      <c r="B63" s="9">
        <v>3065</v>
      </c>
      <c r="C63" s="15" t="s">
        <v>11752</v>
      </c>
      <c r="D63" s="121">
        <v>107.06</v>
      </c>
      <c r="E63" s="15" t="s">
        <v>11816</v>
      </c>
      <c r="F63" s="9">
        <v>40000</v>
      </c>
      <c r="G63" s="15" t="s">
        <v>11886</v>
      </c>
      <c r="H63" s="9">
        <v>32000</v>
      </c>
      <c r="I63" s="15" t="s">
        <v>11856</v>
      </c>
      <c r="J63" s="9">
        <v>510</v>
      </c>
      <c r="K63" s="15" t="s">
        <v>11955</v>
      </c>
      <c r="L63" s="9">
        <v>1169</v>
      </c>
      <c r="M63" s="15" t="s">
        <v>12041</v>
      </c>
      <c r="N63" s="9"/>
      <c r="O63" s="15"/>
      <c r="P63" s="9">
        <v>964.28</v>
      </c>
      <c r="Q63" s="15" t="s">
        <v>12092</v>
      </c>
      <c r="R63" s="9">
        <v>2936.01</v>
      </c>
      <c r="S63" s="26" t="s">
        <v>12154</v>
      </c>
      <c r="T63" s="265">
        <v>2040</v>
      </c>
      <c r="U63" s="15" t="s">
        <v>12189</v>
      </c>
      <c r="V63" s="9">
        <v>3239.01</v>
      </c>
      <c r="W63" s="15" t="s">
        <v>12261</v>
      </c>
      <c r="X63" s="9">
        <v>5719.89</v>
      </c>
      <c r="Y63" s="15" t="s">
        <v>12284</v>
      </c>
      <c r="Z63" s="15"/>
      <c r="AA63" s="15"/>
      <c r="AB63" s="95">
        <f>+SUM(AB59:AB62)</f>
        <v>19905.98</v>
      </c>
      <c r="AC63" s="15"/>
      <c r="AD63" s="9">
        <v>1331.01</v>
      </c>
      <c r="AE63" s="26" t="s">
        <v>12373</v>
      </c>
      <c r="AF63" s="72"/>
      <c r="AH63" s="72">
        <v>2040.01</v>
      </c>
      <c r="AI63" s="26" t="s">
        <v>12453</v>
      </c>
      <c r="AJ63" s="9">
        <v>1169</v>
      </c>
      <c r="AK63" s="15" t="s">
        <v>12565</v>
      </c>
      <c r="AL63" s="72">
        <v>2097.0100000000002</v>
      </c>
      <c r="AM63" s="15" t="s">
        <v>12651</v>
      </c>
      <c r="AN63" s="9">
        <v>1995</v>
      </c>
      <c r="AO63" s="26" t="s">
        <v>12616</v>
      </c>
      <c r="AP63" s="15">
        <v>5906.75</v>
      </c>
      <c r="AQ63" s="26" t="s">
        <v>12730</v>
      </c>
      <c r="AR63" s="9">
        <v>3364</v>
      </c>
      <c r="AS63" s="15" t="s">
        <v>12782</v>
      </c>
      <c r="AT63" s="7">
        <v>1970</v>
      </c>
      <c r="AU63" s="26" t="s">
        <v>12866</v>
      </c>
      <c r="AV63" s="9">
        <v>12254.37</v>
      </c>
      <c r="AW63" s="15" t="s">
        <v>12825</v>
      </c>
      <c r="AX63" s="11">
        <v>1099</v>
      </c>
      <c r="AY63" s="13" t="s">
        <v>12958</v>
      </c>
      <c r="AZ63" s="9">
        <v>3319.99</v>
      </c>
      <c r="BA63" s="26" t="s">
        <v>12924</v>
      </c>
      <c r="BB63" s="95">
        <f>+SUM(BB59:BB62)</f>
        <v>12820.880000000001</v>
      </c>
      <c r="BC63" s="15"/>
      <c r="BD63" s="9"/>
      <c r="BE63" s="15"/>
      <c r="BF63" s="7"/>
      <c r="BG63" s="26"/>
      <c r="BH63" s="7"/>
      <c r="BI63" s="26"/>
      <c r="BJ63" s="9"/>
      <c r="BK63" s="15"/>
      <c r="BL63" s="15"/>
      <c r="BM63" s="15"/>
      <c r="BN63" s="9"/>
      <c r="BO63" s="15"/>
      <c r="BP63" s="9"/>
      <c r="BQ63" s="15"/>
      <c r="BR63" s="9"/>
      <c r="BS63" s="15"/>
      <c r="BT63" s="9"/>
      <c r="BU63" s="15"/>
      <c r="BV63" s="9"/>
      <c r="BW63" s="15"/>
      <c r="BX63" s="9"/>
      <c r="BY63" s="15"/>
      <c r="BZ63" s="9"/>
      <c r="CA63" s="15"/>
      <c r="CB63" s="9"/>
      <c r="CC63" s="15"/>
      <c r="CD63" s="9"/>
      <c r="CE63" s="15"/>
      <c r="CF63" s="9"/>
      <c r="CG63" s="15"/>
      <c r="CH63" s="9"/>
      <c r="CI63" s="15"/>
      <c r="CJ63" s="9"/>
      <c r="CK63" s="15"/>
      <c r="CL63" s="9"/>
      <c r="CM63" s="15"/>
      <c r="CN63" s="9"/>
      <c r="CO63" s="15"/>
      <c r="CP63" s="9"/>
      <c r="CQ63" s="15"/>
      <c r="CR63" s="9"/>
    </row>
    <row r="64" spans="1:96" x14ac:dyDescent="0.25">
      <c r="A64" s="41"/>
      <c r="B64" s="9">
        <v>259.83999999999997</v>
      </c>
      <c r="C64" s="15" t="s">
        <v>11754</v>
      </c>
      <c r="D64" s="9">
        <v>746.94</v>
      </c>
      <c r="E64" s="15" t="s">
        <v>11817</v>
      </c>
      <c r="F64" s="9">
        <v>9360</v>
      </c>
      <c r="G64" s="15" t="s">
        <v>11895</v>
      </c>
      <c r="H64" s="9">
        <v>175</v>
      </c>
      <c r="I64" s="15" t="s">
        <v>11858</v>
      </c>
      <c r="J64" s="9">
        <v>2040</v>
      </c>
      <c r="K64" s="15" t="s">
        <v>11962</v>
      </c>
      <c r="L64" s="9">
        <v>1169</v>
      </c>
      <c r="M64" s="15" t="s">
        <v>12042</v>
      </c>
      <c r="N64" s="14">
        <v>2513.86</v>
      </c>
      <c r="O64" s="13" t="s">
        <v>12060</v>
      </c>
      <c r="P64" s="9">
        <v>1169</v>
      </c>
      <c r="Q64" s="15" t="s">
        <v>12095</v>
      </c>
      <c r="R64" s="9">
        <v>1169</v>
      </c>
      <c r="S64" s="15" t="s">
        <v>12155</v>
      </c>
      <c r="T64" s="265">
        <v>464</v>
      </c>
      <c r="U64" s="15" t="s">
        <v>12190</v>
      </c>
      <c r="V64" s="9">
        <v>1401.01</v>
      </c>
      <c r="W64" s="15" t="s">
        <v>12263</v>
      </c>
      <c r="X64" s="15">
        <v>1099.01</v>
      </c>
      <c r="Y64" s="26" t="s">
        <v>12288</v>
      </c>
      <c r="Z64" s="26"/>
      <c r="AA64" s="26"/>
      <c r="AB64" s="9"/>
      <c r="AC64" s="15"/>
      <c r="AD64" s="9">
        <v>3169</v>
      </c>
      <c r="AE64" s="15" t="s">
        <v>12375</v>
      </c>
      <c r="AF64" s="72">
        <v>3500</v>
      </c>
      <c r="AG64" s="15" t="s">
        <v>12473</v>
      </c>
      <c r="AH64" s="72">
        <v>1943.48</v>
      </c>
      <c r="AI64" s="15" t="s">
        <v>12454</v>
      </c>
      <c r="AJ64" s="9">
        <v>1970</v>
      </c>
      <c r="AK64" s="15" t="s">
        <v>12581</v>
      </c>
      <c r="AL64" s="72">
        <v>4465</v>
      </c>
      <c r="AM64" s="15" t="s">
        <v>12652</v>
      </c>
      <c r="AN64" s="9">
        <v>1969.99</v>
      </c>
      <c r="AO64" s="9" t="s">
        <v>12621</v>
      </c>
      <c r="AP64" s="9">
        <v>1169.01</v>
      </c>
      <c r="AQ64" s="15" t="s">
        <v>12731</v>
      </c>
      <c r="AR64" s="9">
        <v>5239</v>
      </c>
      <c r="AS64" s="15" t="s">
        <v>12787</v>
      </c>
      <c r="AT64" s="9">
        <v>1099</v>
      </c>
      <c r="AU64" s="15" t="s">
        <v>12869</v>
      </c>
      <c r="AV64" s="193">
        <v>4743</v>
      </c>
      <c r="AW64" s="15" t="s">
        <v>12827</v>
      </c>
      <c r="AX64" s="9">
        <v>1099.01</v>
      </c>
      <c r="AY64" s="26" t="s">
        <v>12959</v>
      </c>
      <c r="AZ64" s="9">
        <f>8054.53-6662.52</f>
        <v>1392.0099999999993</v>
      </c>
      <c r="BA64" s="26" t="s">
        <v>12925</v>
      </c>
      <c r="BB64" s="9"/>
      <c r="BC64" s="15"/>
      <c r="BD64" s="11"/>
      <c r="BE64" s="13"/>
      <c r="BF64" s="9"/>
      <c r="BG64" s="15"/>
      <c r="BH64" s="15"/>
      <c r="BI64" s="15"/>
      <c r="BJ64" s="15"/>
      <c r="BK64" s="15"/>
      <c r="BL64" s="9"/>
      <c r="BM64" s="15"/>
      <c r="BN64" s="9"/>
      <c r="BO64" s="15"/>
      <c r="BP64" s="15"/>
      <c r="BQ64" s="15"/>
      <c r="BR64" s="9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25">
      <c r="A65" s="41"/>
      <c r="B65" s="9">
        <v>2250.0100000000002</v>
      </c>
      <c r="C65" s="15" t="s">
        <v>11758</v>
      </c>
      <c r="D65" s="9">
        <v>4395</v>
      </c>
      <c r="E65" s="15" t="s">
        <v>11820</v>
      </c>
      <c r="F65" s="9">
        <v>14367.02</v>
      </c>
      <c r="G65" s="15" t="s">
        <v>11896</v>
      </c>
      <c r="H65" s="11">
        <v>471.84</v>
      </c>
      <c r="I65" s="13" t="s">
        <v>11860</v>
      </c>
      <c r="J65" s="72">
        <v>3320</v>
      </c>
      <c r="K65" s="24" t="s">
        <v>11963</v>
      </c>
      <c r="L65" s="14">
        <v>3320</v>
      </c>
      <c r="M65" s="13" t="s">
        <v>12044</v>
      </c>
      <c r="N65" s="9">
        <v>4169</v>
      </c>
      <c r="O65" s="15" t="s">
        <v>12064</v>
      </c>
      <c r="P65" s="111">
        <f>+SUM(P59:P64)</f>
        <v>4809.25</v>
      </c>
      <c r="Q65" s="13"/>
      <c r="R65" s="9">
        <v>3250</v>
      </c>
      <c r="S65" s="15" t="s">
        <v>12157</v>
      </c>
      <c r="T65" s="265">
        <v>1169.01</v>
      </c>
      <c r="U65" s="15" t="s">
        <v>12192</v>
      </c>
      <c r="V65" s="7">
        <v>1169.01</v>
      </c>
      <c r="W65" s="26" t="s">
        <v>12264</v>
      </c>
      <c r="X65" s="9">
        <v>2966.25</v>
      </c>
      <c r="Y65" s="26" t="s">
        <v>12292</v>
      </c>
      <c r="Z65" s="26"/>
      <c r="AA65" s="26"/>
      <c r="AB65" s="9">
        <v>1463.75</v>
      </c>
      <c r="AC65" s="15" t="s">
        <v>12332</v>
      </c>
      <c r="AD65" s="9">
        <v>107.23</v>
      </c>
      <c r="AE65" s="26" t="s">
        <v>12380</v>
      </c>
      <c r="AF65" s="72">
        <v>13000</v>
      </c>
      <c r="AG65" s="15" t="s">
        <v>12475</v>
      </c>
      <c r="AH65" s="72">
        <v>696</v>
      </c>
      <c r="AI65" s="85" t="s">
        <v>12459</v>
      </c>
      <c r="AJ65" s="9">
        <v>1099.01</v>
      </c>
      <c r="AK65" s="15" t="s">
        <v>12568</v>
      </c>
      <c r="AL65" s="72">
        <v>464</v>
      </c>
      <c r="AM65" s="15" t="s">
        <v>12657</v>
      </c>
      <c r="AN65" s="9">
        <v>2489.5500000000002</v>
      </c>
      <c r="AO65" s="15" t="s">
        <v>12622</v>
      </c>
      <c r="AP65" s="9">
        <v>1994.99</v>
      </c>
      <c r="AQ65" s="15" t="s">
        <v>12732</v>
      </c>
      <c r="AR65" s="9">
        <v>519.67999999999995</v>
      </c>
      <c r="AS65" s="15" t="s">
        <v>12789</v>
      </c>
      <c r="AT65" s="9">
        <v>3169.02</v>
      </c>
      <c r="AU65" s="15" t="s">
        <v>12872</v>
      </c>
      <c r="AV65" s="9">
        <v>1059.51</v>
      </c>
      <c r="AW65" s="15" t="s">
        <v>12833</v>
      </c>
      <c r="AX65" s="9">
        <v>1970</v>
      </c>
      <c r="AY65" s="26" t="s">
        <v>12961</v>
      </c>
      <c r="AZ65" s="9">
        <v>232</v>
      </c>
      <c r="BA65" s="26" t="s">
        <v>12926</v>
      </c>
      <c r="BB65" s="9">
        <v>4037.01</v>
      </c>
      <c r="BC65" s="26" t="s">
        <v>13062</v>
      </c>
      <c r="BD65" s="11"/>
      <c r="BE65" s="13"/>
      <c r="BF65" s="9"/>
      <c r="BG65" s="15"/>
      <c r="BH65" s="9"/>
      <c r="BI65" s="15"/>
      <c r="BJ65" s="9"/>
      <c r="BK65" s="15"/>
      <c r="BL65" s="9"/>
      <c r="BM65" s="15"/>
      <c r="BN65" s="9"/>
      <c r="BO65" s="15"/>
      <c r="BP65" s="15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  <c r="CO65" s="15"/>
      <c r="CP65" s="9"/>
      <c r="CQ65" s="15"/>
      <c r="CR65" s="9"/>
    </row>
    <row r="66" spans="1:96" x14ac:dyDescent="0.25">
      <c r="A66" s="41"/>
      <c r="B66" s="95">
        <f>+SUM(B59:B65)</f>
        <v>27246.589999999997</v>
      </c>
      <c r="C66" s="15"/>
      <c r="D66" s="9">
        <v>1169.01</v>
      </c>
      <c r="E66" s="15" t="s">
        <v>11826</v>
      </c>
      <c r="F66" s="11">
        <v>11377.44</v>
      </c>
      <c r="G66" s="13" t="s">
        <v>11898</v>
      </c>
      <c r="H66" s="9">
        <v>1453.17</v>
      </c>
      <c r="I66" s="15" t="s">
        <v>11862</v>
      </c>
      <c r="J66" s="95">
        <f>+SUM(J59:J65)</f>
        <v>44135.09</v>
      </c>
      <c r="K66" s="15"/>
      <c r="L66" s="9">
        <v>2040</v>
      </c>
      <c r="M66" s="15" t="s">
        <v>12048</v>
      </c>
      <c r="N66" s="9">
        <v>8449.6299999999992</v>
      </c>
      <c r="O66" s="15" t="s">
        <v>12066</v>
      </c>
      <c r="P66" s="9"/>
      <c r="Q66" s="15"/>
      <c r="R66" s="193">
        <v>6335</v>
      </c>
      <c r="S66" s="15" t="s">
        <v>12159</v>
      </c>
      <c r="T66" s="265">
        <v>4465</v>
      </c>
      <c r="U66" s="15" t="s">
        <v>12195</v>
      </c>
      <c r="V66" s="9">
        <v>1099.01</v>
      </c>
      <c r="W66" s="15" t="s">
        <v>12265</v>
      </c>
      <c r="X66" s="9">
        <v>1099.01</v>
      </c>
      <c r="Y66" s="15" t="s">
        <v>12298</v>
      </c>
      <c r="Z66" s="15"/>
      <c r="AA66" s="15"/>
      <c r="AB66" s="9">
        <v>1099</v>
      </c>
      <c r="AC66" s="15" t="s">
        <v>12334</v>
      </c>
      <c r="AD66" s="95">
        <f>+SUM(AD59:AD65)</f>
        <v>14893.699999999999</v>
      </c>
      <c r="AE66" s="26"/>
      <c r="AF66" s="72">
        <v>1468.75</v>
      </c>
      <c r="AG66" s="15" t="s">
        <v>12476</v>
      </c>
      <c r="AH66" s="72">
        <v>92.87</v>
      </c>
      <c r="AI66" s="15" t="s">
        <v>12462</v>
      </c>
      <c r="AJ66" s="9">
        <v>3250</v>
      </c>
      <c r="AK66" s="15" t="s">
        <v>12571</v>
      </c>
      <c r="AL66" s="72">
        <v>2040.01</v>
      </c>
      <c r="AM66" s="15" t="s">
        <v>12658</v>
      </c>
      <c r="AN66" s="9">
        <v>2040.01</v>
      </c>
      <c r="AO66" s="15" t="s">
        <v>12623</v>
      </c>
      <c r="AP66" s="95">
        <f>+SUM(AP59:AP65)</f>
        <v>33807.760000000002</v>
      </c>
      <c r="AQ66" s="15"/>
      <c r="AR66" s="9">
        <v>17235.400000000001</v>
      </c>
      <c r="AS66" s="15" t="s">
        <v>12790</v>
      </c>
      <c r="AT66" s="9">
        <v>1970</v>
      </c>
      <c r="AU66" s="15" t="s">
        <v>12875</v>
      </c>
      <c r="AV66" s="9">
        <v>3459</v>
      </c>
      <c r="AW66" s="15" t="s">
        <v>12837</v>
      </c>
      <c r="AX66" s="9">
        <v>1099.01</v>
      </c>
      <c r="AY66" s="15" t="s">
        <v>12962</v>
      </c>
      <c r="AZ66" s="9">
        <v>2065</v>
      </c>
      <c r="BA66" s="15" t="s">
        <v>12927</v>
      </c>
      <c r="BB66" s="9">
        <v>30000</v>
      </c>
      <c r="BC66" s="15" t="s">
        <v>13066</v>
      </c>
      <c r="BD66" s="9"/>
      <c r="BE66" s="15"/>
      <c r="BF66" s="9"/>
      <c r="BG66" s="15"/>
      <c r="BH66" s="14"/>
      <c r="BI66" s="13"/>
      <c r="BJ66" s="15"/>
      <c r="BK66" s="13"/>
      <c r="BL66" s="11"/>
      <c r="BM66" s="13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  <c r="CO66" s="15"/>
      <c r="CP66" s="9"/>
      <c r="CQ66" s="15"/>
      <c r="CR66" s="9"/>
    </row>
    <row r="67" spans="1:96" x14ac:dyDescent="0.25">
      <c r="A67" s="43"/>
      <c r="B67" s="9"/>
      <c r="C67" s="15"/>
      <c r="D67" s="11">
        <v>742.4</v>
      </c>
      <c r="E67" s="13" t="s">
        <v>11828</v>
      </c>
      <c r="F67" s="9">
        <v>2455.16</v>
      </c>
      <c r="G67" s="15" t="s">
        <v>11903</v>
      </c>
      <c r="H67" s="15">
        <v>6265</v>
      </c>
      <c r="I67" s="15" t="s">
        <v>11863</v>
      </c>
      <c r="J67" s="9"/>
      <c r="K67" s="13"/>
      <c r="L67" s="9">
        <v>1099.01</v>
      </c>
      <c r="M67" s="15" t="s">
        <v>12049</v>
      </c>
      <c r="N67" s="9">
        <v>1169</v>
      </c>
      <c r="O67" s="15" t="s">
        <v>12068</v>
      </c>
      <c r="P67" s="72">
        <v>20000</v>
      </c>
      <c r="Q67" s="15" t="s">
        <v>12102</v>
      </c>
      <c r="R67" s="11">
        <v>2040</v>
      </c>
      <c r="S67" s="13" t="s">
        <v>12161</v>
      </c>
      <c r="T67" s="266">
        <v>3320</v>
      </c>
      <c r="U67" s="13" t="s">
        <v>12197</v>
      </c>
      <c r="V67" s="9">
        <v>1099.01</v>
      </c>
      <c r="W67" s="15" t="s">
        <v>12267</v>
      </c>
      <c r="X67" s="9">
        <v>232</v>
      </c>
      <c r="Y67" s="15" t="s">
        <v>12301</v>
      </c>
      <c r="Z67" s="15"/>
      <c r="AA67" s="15"/>
      <c r="AB67" s="9">
        <v>208.8</v>
      </c>
      <c r="AC67" s="15" t="s">
        <v>12336</v>
      </c>
      <c r="AD67" s="11"/>
      <c r="AE67" s="13"/>
      <c r="AF67" s="72">
        <v>5000</v>
      </c>
      <c r="AG67" s="13" t="s">
        <v>12477</v>
      </c>
      <c r="AH67" s="9">
        <v>1069.69</v>
      </c>
      <c r="AI67" s="15" t="s">
        <v>12466</v>
      </c>
      <c r="AJ67" s="23">
        <v>1391.54</v>
      </c>
      <c r="AK67" s="15" t="s">
        <v>12572</v>
      </c>
      <c r="AL67" s="72">
        <v>4395</v>
      </c>
      <c r="AM67" s="13" t="s">
        <v>12661</v>
      </c>
      <c r="AN67" s="11">
        <v>406.41</v>
      </c>
      <c r="AO67" s="13" t="s">
        <v>12625</v>
      </c>
      <c r="AP67" s="9"/>
      <c r="AQ67" s="15"/>
      <c r="AR67" s="14">
        <v>1970</v>
      </c>
      <c r="AS67" s="13" t="s">
        <v>12791</v>
      </c>
      <c r="AT67" s="9">
        <v>2040.01</v>
      </c>
      <c r="AU67" s="15" t="s">
        <v>12877</v>
      </c>
      <c r="AV67" s="11">
        <v>3250</v>
      </c>
      <c r="AW67" s="13" t="s">
        <v>12839</v>
      </c>
      <c r="AX67" s="72">
        <v>1513</v>
      </c>
      <c r="AY67" s="15" t="s">
        <v>12963</v>
      </c>
      <c r="AZ67" s="9">
        <v>1625</v>
      </c>
      <c r="BA67" s="15" t="s">
        <v>12928</v>
      </c>
      <c r="BB67" s="9">
        <v>840.83</v>
      </c>
      <c r="BC67" s="15" t="s">
        <v>13075</v>
      </c>
      <c r="BD67" s="9"/>
      <c r="BE67" s="15"/>
      <c r="BF67" s="11"/>
      <c r="BG67" s="13"/>
      <c r="BH67" s="7"/>
      <c r="BI67" s="26"/>
      <c r="BJ67" s="9"/>
      <c r="BK67" s="26"/>
      <c r="BL67" s="9"/>
      <c r="BM67" s="15"/>
      <c r="BN67" s="9"/>
      <c r="BO67" s="15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  <c r="CO67" s="13"/>
      <c r="CP67" s="11"/>
      <c r="CQ67" s="13"/>
      <c r="CR67" s="11"/>
    </row>
    <row r="68" spans="1:96" x14ac:dyDescent="0.25">
      <c r="A68" s="41"/>
      <c r="B68" s="9">
        <v>5500</v>
      </c>
      <c r="C68" s="15" t="s">
        <v>11760</v>
      </c>
      <c r="D68" s="72">
        <v>4465.01</v>
      </c>
      <c r="E68" s="15" t="s">
        <v>11831</v>
      </c>
      <c r="F68" s="9">
        <v>1169.01</v>
      </c>
      <c r="G68" s="15" t="s">
        <v>11906</v>
      </c>
      <c r="H68" s="9">
        <v>4395</v>
      </c>
      <c r="I68" s="15" t="s">
        <v>11868</v>
      </c>
      <c r="J68" s="9">
        <v>3320</v>
      </c>
      <c r="K68" s="15" t="s">
        <v>11971</v>
      </c>
      <c r="L68" s="95">
        <f>+SUM(L58:L67)</f>
        <v>27791.069999999996</v>
      </c>
      <c r="M68" s="15"/>
      <c r="N68" s="9">
        <v>1970</v>
      </c>
      <c r="O68" s="15" t="s">
        <v>12071</v>
      </c>
      <c r="P68" s="72">
        <v>1970</v>
      </c>
      <c r="Q68" s="15" t="s">
        <v>12104</v>
      </c>
      <c r="R68" s="9">
        <v>1169.01</v>
      </c>
      <c r="S68" s="26" t="s">
        <v>12163</v>
      </c>
      <c r="T68" s="265">
        <v>3250.01</v>
      </c>
      <c r="U68" s="26" t="s">
        <v>12200</v>
      </c>
      <c r="V68" s="9">
        <v>1169</v>
      </c>
      <c r="W68" s="15" t="s">
        <v>12268</v>
      </c>
      <c r="X68" s="9">
        <v>92.87</v>
      </c>
      <c r="Y68" s="15" t="s">
        <v>12306</v>
      </c>
      <c r="Z68" s="15"/>
      <c r="AA68" s="15"/>
      <c r="AB68" s="9">
        <v>10276.02</v>
      </c>
      <c r="AC68" s="15" t="s">
        <v>12337</v>
      </c>
      <c r="AD68" s="9">
        <v>1000</v>
      </c>
      <c r="AE68" s="26" t="s">
        <v>12393</v>
      </c>
      <c r="AF68" s="72">
        <v>709.95</v>
      </c>
      <c r="AG68" s="26" t="s">
        <v>12482</v>
      </c>
      <c r="AH68" s="95">
        <f>+SUM(AH59:AH67)</f>
        <v>14198.220000000001</v>
      </c>
      <c r="AI68" s="15"/>
      <c r="AJ68" s="9">
        <v>1099.01</v>
      </c>
      <c r="AK68" s="15" t="s">
        <v>12574</v>
      </c>
      <c r="AL68" s="72">
        <v>2527.9899999999998</v>
      </c>
      <c r="AM68" s="85" t="s">
        <v>12665</v>
      </c>
      <c r="AN68" s="9">
        <v>619.53</v>
      </c>
      <c r="AO68" s="26" t="s">
        <v>12626</v>
      </c>
      <c r="AP68" s="15">
        <v>900</v>
      </c>
      <c r="AQ68" s="15" t="s">
        <v>12760</v>
      </c>
      <c r="AR68" s="9">
        <v>1099.01</v>
      </c>
      <c r="AS68" s="26" t="s">
        <v>12792</v>
      </c>
      <c r="AT68" s="9">
        <v>2539.21</v>
      </c>
      <c r="AU68" s="26" t="s">
        <v>12880</v>
      </c>
      <c r="AV68" s="9">
        <v>2018.57</v>
      </c>
      <c r="AW68" s="15" t="s">
        <v>12841</v>
      </c>
      <c r="AX68" s="9">
        <v>3250</v>
      </c>
      <c r="AY68" s="15" t="s">
        <v>12965</v>
      </c>
      <c r="AZ68" s="9">
        <v>1625</v>
      </c>
      <c r="BA68" s="15" t="s">
        <v>12929</v>
      </c>
      <c r="BB68" s="9">
        <v>1683.59</v>
      </c>
      <c r="BC68" s="15" t="s">
        <v>13080</v>
      </c>
      <c r="BD68" s="9"/>
      <c r="BE68" s="15"/>
      <c r="BF68" s="7"/>
      <c r="BG68" s="26"/>
      <c r="BH68" s="9"/>
      <c r="BI68" s="15"/>
      <c r="BJ68" s="9"/>
      <c r="BK68" s="15"/>
      <c r="BL68" s="9"/>
      <c r="BM68" s="15"/>
      <c r="BN68" s="9"/>
      <c r="BO68" s="15"/>
      <c r="BP68" s="9"/>
      <c r="BQ68" s="15"/>
      <c r="BR68" s="9"/>
      <c r="BS68" s="15"/>
      <c r="BT68" s="9"/>
      <c r="BU68" s="15"/>
      <c r="BV68" s="9"/>
      <c r="BW68" s="15"/>
      <c r="BX68" s="9"/>
      <c r="BY68" s="15"/>
      <c r="BZ68" s="9"/>
      <c r="CA68" s="15"/>
      <c r="CB68" s="9"/>
      <c r="CC68" s="15"/>
      <c r="CD68" s="9"/>
      <c r="CE68" s="15"/>
      <c r="CF68" s="9"/>
      <c r="CG68" s="15"/>
      <c r="CH68" s="9"/>
      <c r="CI68" s="15"/>
      <c r="CJ68" s="9"/>
      <c r="CK68" s="15"/>
      <c r="CL68" s="9"/>
      <c r="CM68" s="15"/>
      <c r="CN68" s="9"/>
      <c r="CO68" s="15"/>
      <c r="CP68" s="9"/>
      <c r="CQ68" s="15"/>
      <c r="CR68" s="9"/>
    </row>
    <row r="69" spans="1:96" x14ac:dyDescent="0.25">
      <c r="A69" s="41"/>
      <c r="B69" s="9">
        <v>19904</v>
      </c>
      <c r="C69" s="15" t="s">
        <v>11770</v>
      </c>
      <c r="D69" s="95">
        <f>+SUM(D63:D68)</f>
        <v>11625.42</v>
      </c>
      <c r="E69" s="15"/>
      <c r="F69" s="9">
        <v>1169.01</v>
      </c>
      <c r="G69" s="15" t="s">
        <v>11914</v>
      </c>
      <c r="H69" s="9">
        <v>2040.01</v>
      </c>
      <c r="I69" s="15" t="s">
        <v>11873</v>
      </c>
      <c r="J69" s="9">
        <v>1630.8119999999999</v>
      </c>
      <c r="K69" s="15" t="s">
        <v>11970</v>
      </c>
      <c r="L69" s="95"/>
      <c r="M69" s="15"/>
      <c r="N69" s="9">
        <v>1169</v>
      </c>
      <c r="O69" s="15" t="s">
        <v>12072</v>
      </c>
      <c r="P69" s="72">
        <v>1169.01</v>
      </c>
      <c r="Q69" s="15" t="s">
        <v>12105</v>
      </c>
      <c r="R69" s="9">
        <v>5680.01</v>
      </c>
      <c r="S69" s="26" t="s">
        <v>12164</v>
      </c>
      <c r="T69" s="265">
        <v>567.6</v>
      </c>
      <c r="U69" s="15" t="s">
        <v>12201</v>
      </c>
      <c r="V69" s="95">
        <f>+SUM(V59:V68)</f>
        <v>21310.769999999993</v>
      </c>
      <c r="W69" s="15"/>
      <c r="X69" s="95">
        <f>+SUM(X59:X68)</f>
        <v>40053.360000000008</v>
      </c>
      <c r="Y69" s="15"/>
      <c r="Z69" s="15"/>
      <c r="AA69" s="15"/>
      <c r="AB69" s="9">
        <v>1169</v>
      </c>
      <c r="AC69" s="15" t="s">
        <v>12344</v>
      </c>
      <c r="AD69" s="9">
        <v>2065</v>
      </c>
      <c r="AE69" s="15" t="s">
        <v>12400</v>
      </c>
      <c r="AF69" s="72">
        <v>628.51</v>
      </c>
      <c r="AG69" s="15" t="s">
        <v>12487</v>
      </c>
      <c r="AH69" s="9"/>
      <c r="AI69" s="15"/>
      <c r="AJ69" s="9">
        <v>1169.01</v>
      </c>
      <c r="AK69" s="15" t="s">
        <v>12576</v>
      </c>
      <c r="AL69" s="9">
        <v>1970</v>
      </c>
      <c r="AM69" s="15" t="s">
        <v>12669</v>
      </c>
      <c r="AN69" s="9">
        <v>628.54</v>
      </c>
      <c r="AO69" s="15" t="s">
        <v>12629</v>
      </c>
      <c r="AP69" s="15">
        <v>30000</v>
      </c>
      <c r="AQ69" s="15" t="s">
        <v>12762</v>
      </c>
      <c r="AR69" s="9">
        <v>1369</v>
      </c>
      <c r="AS69" s="15" t="s">
        <v>12793</v>
      </c>
      <c r="AT69" s="95">
        <f>+SUM(AT59:AT68)</f>
        <v>22874.949999999997</v>
      </c>
      <c r="AU69" s="15"/>
      <c r="AV69" s="9">
        <v>3321.56</v>
      </c>
      <c r="AW69" s="15" t="s">
        <v>12842</v>
      </c>
      <c r="AX69" s="72">
        <v>3250.01</v>
      </c>
      <c r="AY69" s="15" t="s">
        <v>12966</v>
      </c>
      <c r="AZ69" s="72">
        <v>1392</v>
      </c>
      <c r="BA69" s="15" t="s">
        <v>12930</v>
      </c>
      <c r="BB69" s="9">
        <v>1970</v>
      </c>
      <c r="BC69" s="15" t="s">
        <v>13081</v>
      </c>
      <c r="BD69" s="9"/>
      <c r="BE69" s="15"/>
      <c r="BF69" s="95"/>
      <c r="BG69" s="15"/>
      <c r="BH69" s="9"/>
      <c r="BI69" s="15"/>
      <c r="BJ69" s="9"/>
      <c r="BK69" s="15"/>
      <c r="BL69" s="9"/>
      <c r="BM69" s="15"/>
      <c r="BN69" s="9"/>
      <c r="BO69" s="15"/>
      <c r="BP69" s="15"/>
      <c r="BQ69" s="15"/>
      <c r="BR69" s="9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25">
      <c r="A70" s="41"/>
      <c r="B70" s="9">
        <v>1970</v>
      </c>
      <c r="C70" s="15" t="s">
        <v>11771</v>
      </c>
      <c r="D70" s="15"/>
      <c r="E70" s="15"/>
      <c r="F70" s="95">
        <f>+SUM(F59:F69)</f>
        <v>156866.33000000002</v>
      </c>
      <c r="G70" s="15"/>
      <c r="H70" s="9">
        <v>1169</v>
      </c>
      <c r="I70" s="15" t="s">
        <v>11878</v>
      </c>
      <c r="J70" s="72">
        <v>2360</v>
      </c>
      <c r="K70" s="24" t="s">
        <v>11973</v>
      </c>
      <c r="L70" s="9"/>
      <c r="M70" s="15"/>
      <c r="N70" s="72">
        <v>1169.01</v>
      </c>
      <c r="O70" s="15" t="s">
        <v>12073</v>
      </c>
      <c r="P70" s="9">
        <v>3250</v>
      </c>
      <c r="Q70" s="15" t="s">
        <v>12107</v>
      </c>
      <c r="R70" s="9">
        <v>232</v>
      </c>
      <c r="S70" s="26" t="s">
        <v>12166</v>
      </c>
      <c r="T70" s="95">
        <f>+SUM(T59:T69)</f>
        <v>29419.379999999997</v>
      </c>
      <c r="U70" s="15"/>
      <c r="V70" s="9"/>
      <c r="W70" s="15"/>
      <c r="X70" s="9"/>
      <c r="Y70" s="15"/>
      <c r="Z70" s="15"/>
      <c r="AA70" s="15"/>
      <c r="AB70" s="95">
        <f>+SUM(AB65:AB69)</f>
        <v>14216.57</v>
      </c>
      <c r="AC70" s="15"/>
      <c r="AD70" s="15">
        <v>232</v>
      </c>
      <c r="AE70" s="15" t="s">
        <v>12405</v>
      </c>
      <c r="AF70" s="72">
        <v>4169.01</v>
      </c>
      <c r="AG70" s="85" t="s">
        <v>12490</v>
      </c>
      <c r="AH70" s="9">
        <v>3000</v>
      </c>
      <c r="AI70" s="15" t="s">
        <v>12524</v>
      </c>
      <c r="AJ70" s="9">
        <v>4395</v>
      </c>
      <c r="AK70" s="15" t="s">
        <v>12577</v>
      </c>
      <c r="AL70" s="72">
        <v>1169</v>
      </c>
      <c r="AM70" s="15" t="s">
        <v>12670</v>
      </c>
      <c r="AN70" s="95">
        <f>+SUM(AN59:AN69)</f>
        <v>18767.769999999997</v>
      </c>
      <c r="AO70" s="15"/>
      <c r="AP70" s="9">
        <v>2349.66</v>
      </c>
      <c r="AQ70" s="15" t="s">
        <v>12763</v>
      </c>
      <c r="AR70" s="9">
        <v>3169</v>
      </c>
      <c r="AS70" s="15" t="s">
        <v>12794</v>
      </c>
      <c r="AT70" s="7"/>
      <c r="AU70" s="26"/>
      <c r="AV70" s="9">
        <v>1633.01</v>
      </c>
      <c r="AW70" s="15" t="s">
        <v>12844</v>
      </c>
      <c r="AX70" s="9">
        <v>1099.01</v>
      </c>
      <c r="AY70" s="15" t="s">
        <v>12968</v>
      </c>
      <c r="AZ70" s="9">
        <v>5050.03</v>
      </c>
      <c r="BA70" s="15" t="s">
        <v>12932</v>
      </c>
      <c r="BB70" s="9">
        <v>2298.9899999999998</v>
      </c>
      <c r="BC70" s="15" t="s">
        <v>13082</v>
      </c>
      <c r="BD70" s="15"/>
      <c r="BE70" s="15"/>
      <c r="BF70" s="9"/>
      <c r="BG70" s="15"/>
      <c r="BH70" s="9"/>
      <c r="BI70" s="15"/>
      <c r="BJ70" s="72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  <c r="CO70" s="15"/>
      <c r="CP70" s="9"/>
      <c r="CQ70" s="15"/>
      <c r="CR70" s="9"/>
    </row>
    <row r="71" spans="1:96" x14ac:dyDescent="0.25">
      <c r="A71" s="41"/>
      <c r="B71" s="228">
        <v>1099.01</v>
      </c>
      <c r="C71" s="15" t="s">
        <v>11775</v>
      </c>
      <c r="D71" s="9"/>
      <c r="E71" s="15"/>
      <c r="F71" s="9"/>
      <c r="G71" s="15"/>
      <c r="H71" s="95">
        <f>+SUM(H59:H70)</f>
        <v>116469.01999999999</v>
      </c>
      <c r="I71" s="15"/>
      <c r="J71" s="9">
        <v>4465</v>
      </c>
      <c r="K71" s="15" t="s">
        <v>11981</v>
      </c>
      <c r="L71" s="72"/>
      <c r="M71" s="15"/>
      <c r="N71" s="72">
        <v>3320</v>
      </c>
      <c r="O71" s="15" t="s">
        <v>12074</v>
      </c>
      <c r="P71" s="9">
        <v>3319.99</v>
      </c>
      <c r="Q71" s="15" t="s">
        <v>12108</v>
      </c>
      <c r="R71" s="9">
        <v>1099.01</v>
      </c>
      <c r="S71" s="15" t="s">
        <v>12170</v>
      </c>
      <c r="T71" s="9"/>
      <c r="U71" s="15"/>
      <c r="V71" s="9"/>
      <c r="W71" s="15"/>
      <c r="X71" s="9"/>
      <c r="Y71" s="15"/>
      <c r="Z71" s="15"/>
      <c r="AA71" s="15"/>
      <c r="AB71" s="9"/>
      <c r="AC71" s="15"/>
      <c r="AD71" s="9">
        <v>1002</v>
      </c>
      <c r="AE71" s="15" t="s">
        <v>12407</v>
      </c>
      <c r="AF71" s="72">
        <v>2040.01</v>
      </c>
      <c r="AG71" s="15" t="s">
        <v>12492</v>
      </c>
      <c r="AH71" s="9">
        <v>1324.51</v>
      </c>
      <c r="AI71" s="15" t="s">
        <v>12529</v>
      </c>
      <c r="AJ71" s="72">
        <v>4395</v>
      </c>
      <c r="AK71" s="24" t="s">
        <v>12580</v>
      </c>
      <c r="AL71" s="72">
        <v>1099.01</v>
      </c>
      <c r="AM71" s="15" t="s">
        <v>12671</v>
      </c>
      <c r="AN71" s="9"/>
      <c r="AO71" s="15"/>
      <c r="AP71" s="72">
        <v>1089.75</v>
      </c>
      <c r="AQ71" s="15" t="s">
        <v>12764</v>
      </c>
      <c r="AR71" s="9">
        <v>2349.9899999999998</v>
      </c>
      <c r="AS71" s="15" t="s">
        <v>12795</v>
      </c>
      <c r="AT71" s="9">
        <v>284.94</v>
      </c>
      <c r="AU71" s="15" t="s">
        <v>13047</v>
      </c>
      <c r="AV71" s="9">
        <v>4065</v>
      </c>
      <c r="AW71" s="15" t="s">
        <v>12845</v>
      </c>
      <c r="AX71" s="9">
        <v>1099.01</v>
      </c>
      <c r="AY71" s="15" t="s">
        <v>12971</v>
      </c>
      <c r="AZ71" s="9">
        <v>5290.99</v>
      </c>
      <c r="BA71" s="15" t="s">
        <v>12936</v>
      </c>
      <c r="BB71" s="95">
        <f>+SUM(BB65:BB70)</f>
        <v>40830.42</v>
      </c>
      <c r="BC71" s="15"/>
      <c r="BD71" s="15"/>
      <c r="BE71" s="15"/>
      <c r="BF71" s="137"/>
      <c r="BG71" s="15"/>
      <c r="BH71" s="9"/>
      <c r="BI71" s="15"/>
      <c r="BJ71" s="72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  <c r="CO71" s="15"/>
      <c r="CP71" s="9"/>
      <c r="CQ71" s="15"/>
      <c r="CR71" s="9"/>
    </row>
    <row r="72" spans="1:96" x14ac:dyDescent="0.25">
      <c r="A72" s="41"/>
      <c r="B72" s="9">
        <v>2765</v>
      </c>
      <c r="C72" s="15" t="s">
        <v>11778</v>
      </c>
      <c r="D72" s="15"/>
      <c r="E72" s="15"/>
      <c r="F72" s="9"/>
      <c r="G72" s="15"/>
      <c r="H72" s="9"/>
      <c r="I72" s="15"/>
      <c r="J72" s="9">
        <v>3320</v>
      </c>
      <c r="K72" s="15" t="s">
        <v>11985</v>
      </c>
      <c r="L72" s="15"/>
      <c r="M72" s="15"/>
      <c r="N72" s="72">
        <v>464</v>
      </c>
      <c r="O72" s="15" t="s">
        <v>12076</v>
      </c>
      <c r="P72" s="9">
        <v>2039.99</v>
      </c>
      <c r="Q72" s="15" t="s">
        <v>12113</v>
      </c>
      <c r="R72" s="9">
        <v>2099.9899999999998</v>
      </c>
      <c r="S72" s="15" t="s">
        <v>12171</v>
      </c>
      <c r="T72" s="9">
        <v>336.17</v>
      </c>
      <c r="U72" s="15" t="s">
        <v>12213</v>
      </c>
      <c r="V72" s="9"/>
      <c r="W72" s="15"/>
      <c r="X72" s="9"/>
      <c r="Y72" s="15"/>
      <c r="Z72" s="15"/>
      <c r="AA72" s="15"/>
      <c r="AB72" s="9"/>
      <c r="AC72" s="15"/>
      <c r="AD72" s="9">
        <v>1970</v>
      </c>
      <c r="AE72" s="15" t="s">
        <v>12410</v>
      </c>
      <c r="AF72" s="9">
        <v>4233.32</v>
      </c>
      <c r="AG72" s="15" t="s">
        <v>12493</v>
      </c>
      <c r="AH72" s="9">
        <v>4145.99</v>
      </c>
      <c r="AI72" s="15" t="s">
        <v>12533</v>
      </c>
      <c r="AJ72" s="9">
        <v>2040</v>
      </c>
      <c r="AK72" s="15" t="s">
        <v>12582</v>
      </c>
      <c r="AL72" s="9">
        <v>1169</v>
      </c>
      <c r="AM72" s="15" t="s">
        <v>12672</v>
      </c>
      <c r="AN72" s="9">
        <v>66.040000000000006</v>
      </c>
      <c r="AO72" s="15" t="s">
        <v>12677</v>
      </c>
      <c r="AP72" s="95">
        <f>+SUM(AP68:AP71)</f>
        <v>34339.410000000003</v>
      </c>
      <c r="AQ72" s="15"/>
      <c r="AR72" s="15">
        <v>1970</v>
      </c>
      <c r="AS72" s="15" t="s">
        <v>12799</v>
      </c>
      <c r="AT72" s="9">
        <v>2853.6</v>
      </c>
      <c r="AU72" s="15" t="s">
        <v>13057</v>
      </c>
      <c r="AV72" s="9">
        <v>1995</v>
      </c>
      <c r="AW72" s="15" t="s">
        <v>12847</v>
      </c>
      <c r="AX72" s="14">
        <v>1099.01</v>
      </c>
      <c r="AY72" s="13" t="s">
        <v>12973</v>
      </c>
      <c r="AZ72" s="9">
        <v>1569.9</v>
      </c>
      <c r="BA72" s="15" t="s">
        <v>12937</v>
      </c>
      <c r="BB72" s="15"/>
      <c r="BC72" s="15"/>
      <c r="BD72" s="9"/>
      <c r="BE72" s="15"/>
      <c r="BF72" s="137"/>
      <c r="BG72" s="15"/>
      <c r="BH72" s="9"/>
      <c r="BI72" s="15"/>
      <c r="BJ72" s="9"/>
      <c r="BK72" s="15"/>
      <c r="BL72" s="9"/>
      <c r="BM72" s="15"/>
      <c r="BN72" s="9"/>
      <c r="BO72" s="15"/>
      <c r="BP72" s="15"/>
      <c r="BQ72" s="15"/>
      <c r="BR72" s="9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25">
      <c r="A73" s="41"/>
      <c r="B73" s="9">
        <v>3169</v>
      </c>
      <c r="C73" s="15" t="s">
        <v>11781</v>
      </c>
      <c r="D73" s="9"/>
      <c r="E73" s="15"/>
      <c r="F73" s="9"/>
      <c r="G73" s="15"/>
      <c r="H73" s="15">
        <v>1099</v>
      </c>
      <c r="I73" s="15" t="s">
        <v>11924</v>
      </c>
      <c r="J73" s="9">
        <v>1970</v>
      </c>
      <c r="K73" s="15" t="s">
        <v>11986</v>
      </c>
      <c r="L73" s="9"/>
      <c r="M73" s="15"/>
      <c r="N73" s="9">
        <v>1169</v>
      </c>
      <c r="O73" s="15" t="s">
        <v>12078</v>
      </c>
      <c r="P73" s="9">
        <v>1169.01</v>
      </c>
      <c r="Q73" s="15" t="s">
        <v>12121</v>
      </c>
      <c r="R73" s="9">
        <f>2099.99-500</f>
        <v>1599.9899999999998</v>
      </c>
      <c r="S73" s="15" t="s">
        <v>12172</v>
      </c>
      <c r="T73" s="9">
        <v>2065.0100000000002</v>
      </c>
      <c r="U73" s="15" t="s">
        <v>12216</v>
      </c>
      <c r="V73" s="9"/>
      <c r="W73" s="15"/>
      <c r="X73" s="9"/>
      <c r="Y73" s="15"/>
      <c r="Z73" s="15"/>
      <c r="AA73" s="15"/>
      <c r="AB73" s="9"/>
      <c r="AC73" s="15"/>
      <c r="AD73" s="9">
        <v>1549.01</v>
      </c>
      <c r="AE73" s="15" t="s">
        <v>12412</v>
      </c>
      <c r="AF73" s="9">
        <v>505.01</v>
      </c>
      <c r="AG73" s="15" t="s">
        <v>12494</v>
      </c>
      <c r="AH73" s="95">
        <f>+SUM(AH70:AH72)</f>
        <v>8470.5</v>
      </c>
      <c r="AI73" s="15"/>
      <c r="AJ73" s="95">
        <f>+SUM(AJ59:AJ72)</f>
        <v>36737.17</v>
      </c>
      <c r="AK73" s="15"/>
      <c r="AL73" s="72">
        <v>1099.01</v>
      </c>
      <c r="AM73" s="15" t="s">
        <v>12673</v>
      </c>
      <c r="AN73" s="9">
        <v>16000</v>
      </c>
      <c r="AO73" s="15" t="s">
        <v>12679</v>
      </c>
      <c r="AP73" s="15"/>
      <c r="AQ73" s="15"/>
      <c r="AR73" s="9">
        <v>3320</v>
      </c>
      <c r="AS73" s="15" t="s">
        <v>12800</v>
      </c>
      <c r="AT73" s="9">
        <v>2431.5300000000002</v>
      </c>
      <c r="AU73" s="15" t="s">
        <v>13058</v>
      </c>
      <c r="AV73" s="9">
        <v>3250</v>
      </c>
      <c r="AW73" s="15" t="s">
        <v>12848</v>
      </c>
      <c r="AX73" s="9">
        <v>3320.01</v>
      </c>
      <c r="AY73" s="15" t="s">
        <v>12974</v>
      </c>
      <c r="AZ73" s="9">
        <v>1970</v>
      </c>
      <c r="BA73" s="15" t="s">
        <v>12938</v>
      </c>
      <c r="BB73" s="15"/>
      <c r="BC73" s="15"/>
      <c r="BD73" s="9"/>
      <c r="BE73" s="15"/>
      <c r="BF73" s="9"/>
      <c r="BG73" s="15"/>
      <c r="BH73" s="9"/>
      <c r="BI73" s="15"/>
      <c r="BJ73" s="9"/>
      <c r="BK73" s="15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  <c r="CO73" s="15"/>
      <c r="CP73" s="9"/>
      <c r="CQ73" s="15"/>
      <c r="CR73" s="9"/>
    </row>
    <row r="74" spans="1:96" x14ac:dyDescent="0.25">
      <c r="A74" s="41"/>
      <c r="B74" s="9">
        <v>5290.99</v>
      </c>
      <c r="C74" s="15" t="s">
        <v>11782</v>
      </c>
      <c r="D74" s="9"/>
      <c r="E74" s="15"/>
      <c r="F74" s="15"/>
      <c r="G74" s="15"/>
      <c r="H74" s="15">
        <v>150</v>
      </c>
      <c r="I74" s="15" t="s">
        <v>11927</v>
      </c>
      <c r="J74" s="9">
        <v>1099.01</v>
      </c>
      <c r="K74" s="15" t="s">
        <v>11988</v>
      </c>
      <c r="L74" s="9"/>
      <c r="M74" s="15"/>
      <c r="N74" s="95">
        <f>+SUM(N64:N73)</f>
        <v>25562.499999999996</v>
      </c>
      <c r="O74" s="15"/>
      <c r="P74" s="95">
        <f>+SUM(P67:P73)</f>
        <v>32918</v>
      </c>
      <c r="Q74" s="15"/>
      <c r="R74" s="95">
        <f>+SUM(R61:R73)</f>
        <v>29929.939999999995</v>
      </c>
      <c r="S74" s="15"/>
      <c r="T74" s="9">
        <v>1099.01</v>
      </c>
      <c r="U74" s="15" t="s">
        <v>12219</v>
      </c>
      <c r="V74" s="9"/>
      <c r="W74" s="15"/>
      <c r="X74" s="9"/>
      <c r="Y74" s="15"/>
      <c r="Z74" s="15"/>
      <c r="AA74" s="15"/>
      <c r="AB74" s="15"/>
      <c r="AC74" s="15"/>
      <c r="AD74" s="9">
        <v>3250.01</v>
      </c>
      <c r="AE74" s="15" t="s">
        <v>12415</v>
      </c>
      <c r="AF74" s="9">
        <v>1169</v>
      </c>
      <c r="AG74" s="15" t="s">
        <v>12506</v>
      </c>
      <c r="AH74" s="9"/>
      <c r="AI74" s="15"/>
      <c r="AJ74" s="9"/>
      <c r="AK74" s="15"/>
      <c r="AL74" s="72">
        <v>2100.5700000000002</v>
      </c>
      <c r="AM74" s="15" t="s">
        <v>11319</v>
      </c>
      <c r="AN74" s="9">
        <v>211.04</v>
      </c>
      <c r="AO74" s="15" t="s">
        <v>12688</v>
      </c>
      <c r="AP74" s="9"/>
      <c r="AQ74" s="15"/>
      <c r="AR74" s="15">
        <v>1392</v>
      </c>
      <c r="AS74" s="15" t="s">
        <v>12798</v>
      </c>
      <c r="AT74" s="9">
        <v>2304</v>
      </c>
      <c r="AU74" s="15" t="s">
        <v>13059</v>
      </c>
      <c r="AV74" s="9">
        <v>10000</v>
      </c>
      <c r="AW74" s="15" t="s">
        <v>12851</v>
      </c>
      <c r="AX74" s="9">
        <v>2460</v>
      </c>
      <c r="AY74" s="15" t="s">
        <v>12977</v>
      </c>
      <c r="AZ74" s="9">
        <v>1970</v>
      </c>
      <c r="BA74" s="15" t="s">
        <v>12940</v>
      </c>
      <c r="BB74" s="9"/>
      <c r="BC74" s="15"/>
      <c r="BD74" s="9"/>
      <c r="BE74" s="15"/>
      <c r="BF74" s="9"/>
      <c r="BG74" s="15"/>
      <c r="BH74" s="15"/>
      <c r="BI74" s="15"/>
      <c r="BJ74" s="9"/>
      <c r="BK74" s="15"/>
      <c r="BL74" s="9"/>
      <c r="BM74" s="15"/>
      <c r="BN74" s="9"/>
      <c r="BO74" s="15"/>
      <c r="BP74" s="9"/>
      <c r="BQ74" s="15"/>
      <c r="BR74" s="15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  <c r="CO74" s="15"/>
      <c r="CP74" s="9"/>
      <c r="CQ74" s="15"/>
      <c r="CR74" s="9"/>
    </row>
    <row r="75" spans="1:96" x14ac:dyDescent="0.25">
      <c r="A75" s="41"/>
      <c r="B75" s="95">
        <f>+SUM(B68:B74)</f>
        <v>39697.999999999993</v>
      </c>
      <c r="C75" s="15"/>
      <c r="D75" s="9"/>
      <c r="E75" s="15"/>
      <c r="F75" s="9"/>
      <c r="G75" s="15"/>
      <c r="H75" s="9">
        <v>3250.01</v>
      </c>
      <c r="I75" s="15" t="s">
        <v>11933</v>
      </c>
      <c r="J75" s="9">
        <v>464</v>
      </c>
      <c r="K75" s="15" t="s">
        <v>11992</v>
      </c>
      <c r="L75" s="9"/>
      <c r="M75" s="15"/>
      <c r="N75" s="9"/>
      <c r="O75" s="15"/>
      <c r="P75" s="9"/>
      <c r="Q75" s="15"/>
      <c r="R75" s="15"/>
      <c r="S75" s="15"/>
      <c r="T75" s="95">
        <f>+SUM(T72:T74)</f>
        <v>3500.1900000000005</v>
      </c>
      <c r="U75" s="15"/>
      <c r="V75" s="252"/>
      <c r="W75" s="15"/>
      <c r="X75" s="137"/>
      <c r="Y75" s="15"/>
      <c r="Z75" s="15"/>
      <c r="AA75" s="15"/>
      <c r="AB75" s="9"/>
      <c r="AC75" s="9"/>
      <c r="AD75" s="9">
        <v>1099.01</v>
      </c>
      <c r="AE75" s="15" t="s">
        <v>12423</v>
      </c>
      <c r="AF75" s="9">
        <v>1099.01</v>
      </c>
      <c r="AG75" s="15" t="s">
        <v>12507</v>
      </c>
      <c r="AH75" s="9"/>
      <c r="AI75" s="15"/>
      <c r="AJ75" s="9">
        <v>224.11</v>
      </c>
      <c r="AK75" s="15" t="s">
        <v>12590</v>
      </c>
      <c r="AL75" s="72">
        <v>1099.01</v>
      </c>
      <c r="AM75" s="15" t="s">
        <v>12675</v>
      </c>
      <c r="AN75" s="9">
        <v>299.55</v>
      </c>
      <c r="AO75" s="15" t="s">
        <v>12692</v>
      </c>
      <c r="AP75" s="9"/>
      <c r="AQ75" s="15"/>
      <c r="AR75" s="15">
        <v>1995</v>
      </c>
      <c r="AS75" s="15" t="s">
        <v>12802</v>
      </c>
      <c r="AT75" s="99">
        <f>+SUM(AT71:AT74)</f>
        <v>7874.07</v>
      </c>
      <c r="AU75" s="15"/>
      <c r="AV75" s="9">
        <v>1099</v>
      </c>
      <c r="AW75" s="15" t="s">
        <v>12828</v>
      </c>
      <c r="AX75" s="9">
        <v>1169.01</v>
      </c>
      <c r="AY75" s="15" t="s">
        <v>12979</v>
      </c>
      <c r="AZ75" s="9">
        <v>4146</v>
      </c>
      <c r="BA75" s="15" t="s">
        <v>12941</v>
      </c>
      <c r="BB75" s="15"/>
      <c r="BC75" s="15"/>
      <c r="BD75" s="9"/>
      <c r="BE75" s="15"/>
      <c r="BF75" s="9"/>
      <c r="BG75" s="15"/>
      <c r="BH75" s="7"/>
      <c r="BI75" s="26"/>
      <c r="BJ75" s="9"/>
      <c r="BK75" s="15"/>
      <c r="BL75" s="9"/>
      <c r="BM75" s="15"/>
      <c r="BN75" s="9"/>
      <c r="BO75" s="15"/>
      <c r="BP75" s="9"/>
      <c r="BQ75" s="15"/>
      <c r="BR75" s="15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  <c r="CO75" s="15"/>
      <c r="CP75" s="9"/>
      <c r="CQ75" s="15"/>
      <c r="CR75" s="9"/>
    </row>
    <row r="76" spans="1:96" x14ac:dyDescent="0.25">
      <c r="A76" s="41"/>
      <c r="B76" s="9"/>
      <c r="C76" s="15"/>
      <c r="D76" s="9"/>
      <c r="E76" s="15"/>
      <c r="F76" s="15"/>
      <c r="G76" s="15"/>
      <c r="H76" s="15">
        <v>1099.01</v>
      </c>
      <c r="I76" s="15" t="s">
        <v>11937</v>
      </c>
      <c r="J76" s="9">
        <v>1099.01</v>
      </c>
      <c r="K76" s="9" t="s">
        <v>11993</v>
      </c>
      <c r="L76" s="9"/>
      <c r="M76" s="15"/>
      <c r="N76" s="15"/>
      <c r="O76" s="15"/>
      <c r="P76" s="9"/>
      <c r="Q76" s="15"/>
      <c r="R76" s="9"/>
      <c r="S76" s="15"/>
      <c r="T76" s="9"/>
      <c r="U76" s="15"/>
      <c r="V76" s="137"/>
      <c r="W76" s="15"/>
      <c r="X76" s="137"/>
      <c r="Y76" s="15"/>
      <c r="Z76" s="15"/>
      <c r="AA76" s="15"/>
      <c r="AB76" s="9"/>
      <c r="AC76" s="15"/>
      <c r="AD76" s="9">
        <v>1995</v>
      </c>
      <c r="AE76" s="15" t="s">
        <v>12406</v>
      </c>
      <c r="AF76" s="95">
        <f>+SUM(AF64:AF75)</f>
        <v>37522.570000000007</v>
      </c>
      <c r="AG76" s="15"/>
      <c r="AH76" s="9"/>
      <c r="AI76" s="15"/>
      <c r="AJ76" s="9">
        <v>1009.71</v>
      </c>
      <c r="AK76" s="15" t="s">
        <v>12591</v>
      </c>
      <c r="AL76" s="99">
        <f>+SUM(AL59:AL75)</f>
        <v>40428.300000000003</v>
      </c>
      <c r="AM76" s="15"/>
      <c r="AN76" s="72">
        <v>1099.01</v>
      </c>
      <c r="AO76" s="15" t="s">
        <v>12695</v>
      </c>
      <c r="AP76" s="9"/>
      <c r="AQ76" s="15"/>
      <c r="AR76" s="15">
        <v>1099</v>
      </c>
      <c r="AS76" s="15" t="s">
        <v>12803</v>
      </c>
      <c r="AT76" s="15"/>
      <c r="AU76" s="15"/>
      <c r="AV76" s="99">
        <f>+SUM(AV58:AV75)</f>
        <v>65544.66</v>
      </c>
      <c r="AW76" s="15"/>
      <c r="AX76" s="9">
        <v>85.84</v>
      </c>
      <c r="AY76" s="15" t="s">
        <v>12982</v>
      </c>
      <c r="AZ76" s="9">
        <v>1970</v>
      </c>
      <c r="BA76" s="15" t="s">
        <v>12942</v>
      </c>
      <c r="BB76" s="9"/>
      <c r="BC76" s="15"/>
      <c r="BD76" s="9"/>
      <c r="BE76" s="26"/>
      <c r="BF76" s="9"/>
      <c r="BG76" s="15"/>
      <c r="BH76" s="72"/>
      <c r="BI76" s="15"/>
      <c r="BJ76" s="9"/>
      <c r="BK76" s="15"/>
      <c r="BL76" s="9"/>
      <c r="BM76" s="15"/>
      <c r="BN76" s="15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  <c r="CO76" s="15"/>
      <c r="CP76" s="9"/>
      <c r="CQ76" s="15"/>
      <c r="CR76" s="9"/>
    </row>
    <row r="77" spans="1:96" x14ac:dyDescent="0.25">
      <c r="A77" s="41"/>
      <c r="B77" s="9"/>
      <c r="C77" s="15"/>
      <c r="D77" s="9"/>
      <c r="E77" s="15"/>
      <c r="F77" s="15"/>
      <c r="G77" s="15"/>
      <c r="H77" s="9">
        <v>1099.01</v>
      </c>
      <c r="I77" s="15" t="s">
        <v>11939</v>
      </c>
      <c r="J77" s="95">
        <f>+SUM(J68:J76)</f>
        <v>19727.831999999995</v>
      </c>
      <c r="K77" s="9"/>
      <c r="L77" s="9"/>
      <c r="M77" s="15"/>
      <c r="N77" s="9"/>
      <c r="O77" s="15"/>
      <c r="P77" s="9"/>
      <c r="Q77" s="15"/>
      <c r="R77" s="9"/>
      <c r="S77" s="15"/>
      <c r="T77" s="9"/>
      <c r="U77" s="15"/>
      <c r="V77" s="9"/>
      <c r="W77" s="15"/>
      <c r="X77" s="9"/>
      <c r="Y77" s="15"/>
      <c r="Z77" s="15"/>
      <c r="AA77" s="15"/>
      <c r="AB77" s="9"/>
      <c r="AC77" s="15"/>
      <c r="AD77" s="95">
        <f>+SUM(AD68:AD76)</f>
        <v>14162.03</v>
      </c>
      <c r="AE77" s="15"/>
      <c r="AF77" s="15"/>
      <c r="AG77" s="15"/>
      <c r="AH77" s="15"/>
      <c r="AI77" s="15"/>
      <c r="AJ77" s="95">
        <f>+AJ75+AJ76</f>
        <v>1233.8200000000002</v>
      </c>
      <c r="AK77" s="15"/>
      <c r="AL77" s="72"/>
      <c r="AM77" s="15"/>
      <c r="AN77" s="9">
        <v>1970</v>
      </c>
      <c r="AO77" s="15" t="s">
        <v>12699</v>
      </c>
      <c r="AP77" s="9"/>
      <c r="AQ77" s="15"/>
      <c r="AR77" s="9">
        <v>1099.01</v>
      </c>
      <c r="AS77" s="15" t="s">
        <v>12805</v>
      </c>
      <c r="AT77" s="9"/>
      <c r="AU77" s="15"/>
      <c r="AV77" s="99"/>
      <c r="AW77" s="15"/>
      <c r="AX77" s="95">
        <f>+SUM(AX59:AX76)</f>
        <v>41018.129999999997</v>
      </c>
      <c r="AY77" s="15"/>
      <c r="AZ77" s="9">
        <v>696</v>
      </c>
      <c r="BA77" s="15" t="s">
        <v>12944</v>
      </c>
      <c r="BB77" s="9"/>
      <c r="BC77" s="15"/>
      <c r="BD77" s="9"/>
      <c r="BE77" s="15"/>
      <c r="BF77" s="9"/>
      <c r="BG77" s="15"/>
      <c r="BH77" s="72"/>
      <c r="BI77" s="15"/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  <c r="CO77" s="15"/>
      <c r="CP77" s="9"/>
      <c r="CQ77" s="15"/>
      <c r="CR77" s="9"/>
    </row>
    <row r="78" spans="1:96" x14ac:dyDescent="0.25">
      <c r="A78" s="41"/>
      <c r="B78" s="9"/>
      <c r="C78" s="15"/>
      <c r="D78" s="9"/>
      <c r="E78" s="15"/>
      <c r="F78" s="9"/>
      <c r="G78" s="15"/>
      <c r="H78" s="9">
        <v>1099.01</v>
      </c>
      <c r="I78" s="15" t="s">
        <v>11940</v>
      </c>
      <c r="J78" s="9"/>
      <c r="K78" s="15"/>
      <c r="L78" s="9"/>
      <c r="M78" s="15"/>
      <c r="N78" s="72"/>
      <c r="O78" s="15"/>
      <c r="P78" s="9"/>
      <c r="Q78" s="15"/>
      <c r="R78" s="9"/>
      <c r="S78" s="15"/>
      <c r="T78" s="15"/>
      <c r="U78" s="15"/>
      <c r="V78" s="9"/>
      <c r="W78" s="15"/>
      <c r="X78" s="15"/>
      <c r="Y78" s="15"/>
      <c r="Z78" s="15"/>
      <c r="AA78" s="15"/>
      <c r="AB78" s="9"/>
      <c r="AC78" s="15"/>
      <c r="AD78" s="9"/>
      <c r="AE78" s="15"/>
      <c r="AF78" s="9"/>
      <c r="AG78" s="15"/>
      <c r="AH78" s="9"/>
      <c r="AI78" s="15"/>
      <c r="AJ78" s="9"/>
      <c r="AK78" s="15"/>
      <c r="AL78" s="72"/>
      <c r="AM78" s="15"/>
      <c r="AN78" s="95">
        <f>+SUM(AN72:AN77)</f>
        <v>19645.64</v>
      </c>
      <c r="AO78" s="15"/>
      <c r="AP78" s="9"/>
      <c r="AQ78" s="15"/>
      <c r="AR78" s="15">
        <v>4395</v>
      </c>
      <c r="AS78" s="15" t="s">
        <v>12806</v>
      </c>
      <c r="AT78" s="9"/>
      <c r="AU78" s="15"/>
      <c r="AV78" s="9">
        <v>2782.7</v>
      </c>
      <c r="AW78" s="15" t="s">
        <v>3594</v>
      </c>
      <c r="AX78" s="229"/>
      <c r="AY78" s="15"/>
      <c r="AZ78" s="132">
        <f>+SUM(AZ59:AZ77)</f>
        <v>56065.34</v>
      </c>
      <c r="BA78" s="15"/>
      <c r="BB78" s="9"/>
      <c r="BC78" s="15"/>
      <c r="BD78" s="137"/>
      <c r="BE78" s="15"/>
      <c r="BF78" s="15"/>
      <c r="BG78" s="15"/>
      <c r="BH78" s="9"/>
      <c r="BI78" s="15"/>
      <c r="BJ78" s="15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  <c r="CO78" s="15"/>
      <c r="CP78" s="9"/>
      <c r="CQ78" s="15"/>
      <c r="CR78" s="9"/>
    </row>
    <row r="79" spans="1:96" x14ac:dyDescent="0.25">
      <c r="A79" s="41"/>
      <c r="B79" s="9"/>
      <c r="C79" s="15"/>
      <c r="D79" s="9"/>
      <c r="E79" s="15"/>
      <c r="F79" s="9"/>
      <c r="G79" s="15"/>
      <c r="H79" s="9">
        <v>1044</v>
      </c>
      <c r="I79" s="15" t="s">
        <v>11941</v>
      </c>
      <c r="J79" s="9"/>
      <c r="K79" s="15"/>
      <c r="L79" s="9"/>
      <c r="M79" s="15"/>
      <c r="N79" s="15"/>
      <c r="O79" s="15"/>
      <c r="P79" s="9"/>
      <c r="Q79" s="15"/>
      <c r="R79" s="9"/>
      <c r="S79" s="15"/>
      <c r="T79" s="9"/>
      <c r="U79" s="15"/>
      <c r="V79" s="9"/>
      <c r="W79" s="15"/>
      <c r="X79" s="15"/>
      <c r="Y79" s="15"/>
      <c r="Z79" s="15"/>
      <c r="AA79" s="15"/>
      <c r="AB79" s="9"/>
      <c r="AC79" s="15"/>
      <c r="AD79" s="9"/>
      <c r="AE79" s="15"/>
      <c r="AF79" s="9"/>
      <c r="AG79" s="15"/>
      <c r="AH79" s="9"/>
      <c r="AI79" s="15"/>
      <c r="AJ79" s="9"/>
      <c r="AK79" s="15"/>
      <c r="AL79" s="72"/>
      <c r="AM79" s="15"/>
      <c r="AN79" s="15"/>
      <c r="AO79" s="15"/>
      <c r="AP79" s="9"/>
      <c r="AQ79" s="15"/>
      <c r="AR79" s="9">
        <v>1599</v>
      </c>
      <c r="AS79" s="15" t="s">
        <v>12808</v>
      </c>
      <c r="AT79" s="9"/>
      <c r="AU79" s="15"/>
      <c r="AV79" s="149"/>
      <c r="AW79" s="15"/>
      <c r="AX79" s="9"/>
      <c r="AY79" s="15"/>
      <c r="AZ79" s="9"/>
      <c r="BA79" s="15"/>
      <c r="BB79" s="9"/>
      <c r="BC79" s="15"/>
      <c r="BD79" s="72"/>
      <c r="BE79" s="15"/>
      <c r="BF79" s="9"/>
      <c r="BG79" s="15"/>
      <c r="BH79" s="9"/>
      <c r="BI79" s="15"/>
      <c r="BJ79" s="15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  <c r="CO79" s="15"/>
      <c r="CP79" s="9"/>
      <c r="CQ79" s="15"/>
      <c r="CR79" s="9"/>
    </row>
    <row r="80" spans="1:96" x14ac:dyDescent="0.25">
      <c r="A80" s="41"/>
      <c r="B80" s="9"/>
      <c r="C80" s="15"/>
      <c r="D80" s="9"/>
      <c r="E80" s="15"/>
      <c r="F80" s="24"/>
      <c r="G80" s="15"/>
      <c r="H80" s="9">
        <v>1537.53</v>
      </c>
      <c r="I80" s="15" t="s">
        <v>11944</v>
      </c>
      <c r="J80" s="9"/>
      <c r="K80" s="15"/>
      <c r="L80" s="9"/>
      <c r="M80" s="15"/>
      <c r="N80" s="9"/>
      <c r="O80" s="15"/>
      <c r="P80" s="9"/>
      <c r="Q80" s="15"/>
      <c r="R80" s="9"/>
      <c r="S80" s="15"/>
      <c r="T80" s="9"/>
      <c r="U80" s="15"/>
      <c r="V80" s="9"/>
      <c r="W80" s="15"/>
      <c r="X80" s="9"/>
      <c r="Y80" s="15"/>
      <c r="Z80" s="15"/>
      <c r="AA80" s="15"/>
      <c r="AB80" s="9"/>
      <c r="AC80" s="15"/>
      <c r="AD80" s="9"/>
      <c r="AE80" s="15"/>
      <c r="AF80" s="15"/>
      <c r="AG80" s="15"/>
      <c r="AH80" s="9"/>
      <c r="AI80" s="15"/>
      <c r="AJ80" s="229"/>
      <c r="AK80" s="15"/>
      <c r="AL80" s="72"/>
      <c r="AM80" s="15"/>
      <c r="AN80" s="15"/>
      <c r="AO80" s="15"/>
      <c r="AP80" s="9"/>
      <c r="AQ80" s="15"/>
      <c r="AR80" s="9">
        <f>10277.99-5400</f>
        <v>4877.99</v>
      </c>
      <c r="AS80" s="15" t="s">
        <v>12809</v>
      </c>
      <c r="AT80" s="9"/>
      <c r="AU80" s="15"/>
      <c r="AV80" s="9"/>
      <c r="AW80" s="15"/>
      <c r="AX80" s="133"/>
      <c r="AY80" s="15"/>
      <c r="AZ80" s="137">
        <v>1864.76</v>
      </c>
      <c r="BA80" s="15" t="s">
        <v>12991</v>
      </c>
      <c r="BB80" s="9"/>
      <c r="BC80" s="15"/>
      <c r="BD80" s="9"/>
      <c r="BE80" s="9"/>
      <c r="BF80" s="9"/>
      <c r="BG80" s="15"/>
      <c r="BH80" s="9"/>
      <c r="BI80" s="15"/>
      <c r="BJ80" s="9"/>
      <c r="BK80" s="15"/>
      <c r="BL80" s="9"/>
      <c r="BM80" s="15"/>
      <c r="BN80" s="9"/>
      <c r="BO80" s="15"/>
      <c r="BP80" s="9"/>
      <c r="BQ80" s="15"/>
      <c r="BR80" s="15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  <c r="CO80" s="15"/>
      <c r="CP80" s="9"/>
      <c r="CQ80" s="15"/>
      <c r="CR80" s="9"/>
    </row>
    <row r="81" spans="1:96" x14ac:dyDescent="0.25">
      <c r="A81" s="41"/>
      <c r="B81" s="9"/>
      <c r="C81" s="15"/>
      <c r="D81" s="9"/>
      <c r="E81" s="15"/>
      <c r="F81" s="9"/>
      <c r="G81" s="15"/>
      <c r="H81" s="95">
        <f>+SUM(H73:H80)</f>
        <v>10377.570000000002</v>
      </c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15"/>
      <c r="W81" s="15"/>
      <c r="X81" s="9"/>
      <c r="Y81" s="15"/>
      <c r="Z81" s="15"/>
      <c r="AA81" s="15"/>
      <c r="AB81" s="15"/>
      <c r="AC81" s="15"/>
      <c r="AD81" s="9"/>
      <c r="AE81" s="15"/>
      <c r="AF81" s="9"/>
      <c r="AG81" s="15"/>
      <c r="AH81" s="15"/>
      <c r="AI81" s="15"/>
      <c r="AJ81" s="9"/>
      <c r="AK81" s="15"/>
      <c r="AL81" s="72"/>
      <c r="AM81" s="15"/>
      <c r="AN81" s="9"/>
      <c r="AO81" s="15"/>
      <c r="AP81" s="9"/>
      <c r="AQ81" s="15"/>
      <c r="AR81" s="95">
        <f>+SUM(AR59:AR80)</f>
        <v>74234.61</v>
      </c>
      <c r="AS81" s="15"/>
      <c r="AT81" s="9"/>
      <c r="AU81" s="15"/>
      <c r="AV81" s="15"/>
      <c r="AW81" s="15"/>
      <c r="AX81" s="9"/>
      <c r="AY81" s="15"/>
      <c r="AZ81" s="9">
        <v>17406.169999999998</v>
      </c>
      <c r="BA81" s="15" t="s">
        <v>12993</v>
      </c>
      <c r="BB81" s="9"/>
      <c r="BC81" s="15"/>
      <c r="BD81" s="15"/>
      <c r="BE81" s="15"/>
      <c r="BF81" s="9"/>
      <c r="BG81" s="15"/>
      <c r="BH81" s="9"/>
      <c r="BI81" s="15"/>
      <c r="BJ81" s="9"/>
      <c r="BK81" s="15"/>
      <c r="BL81" s="15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  <c r="CO81" s="15"/>
      <c r="CP81" s="9"/>
      <c r="CQ81" s="15"/>
      <c r="CR81" s="9"/>
    </row>
    <row r="82" spans="1:96" x14ac:dyDescent="0.25">
      <c r="A82" s="42"/>
      <c r="B82" s="23"/>
      <c r="C82" s="23"/>
      <c r="D82" s="23"/>
      <c r="E82" s="23"/>
      <c r="F82" s="23"/>
      <c r="G82" s="23"/>
      <c r="H82" s="14"/>
      <c r="I82" s="23"/>
      <c r="J82" s="23"/>
      <c r="K82" s="23"/>
      <c r="L82" s="14"/>
      <c r="M82" s="23"/>
      <c r="N82" s="23"/>
      <c r="O82" s="23"/>
      <c r="P82" s="14"/>
      <c r="Q82" s="23"/>
      <c r="R82" s="23"/>
      <c r="S82" s="23"/>
      <c r="T82" s="14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4"/>
      <c r="AM82" s="23"/>
      <c r="AN82" s="23"/>
      <c r="AO82" s="23"/>
      <c r="AP82" s="14"/>
      <c r="AQ82" s="23"/>
      <c r="AR82" s="23"/>
      <c r="AS82" s="23"/>
      <c r="AT82" s="23"/>
      <c r="AU82" s="23"/>
      <c r="AV82" s="23"/>
      <c r="AW82" s="23"/>
      <c r="AX82" s="23"/>
      <c r="AY82" s="23"/>
      <c r="AZ82" s="14">
        <v>1995</v>
      </c>
      <c r="BA82" s="23" t="s">
        <v>12996</v>
      </c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</row>
    <row r="83" spans="1:96" x14ac:dyDescent="0.25">
      <c r="A83" s="41"/>
      <c r="B83" s="9"/>
      <c r="C83" s="15"/>
      <c r="D83" s="9"/>
      <c r="E83" s="15"/>
      <c r="F83" s="9"/>
      <c r="G83" s="9"/>
      <c r="H83" s="15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15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9"/>
      <c r="AM83" s="15"/>
      <c r="AN83" s="9"/>
      <c r="AO83" s="15"/>
      <c r="AP83" s="14"/>
      <c r="AQ83" s="23"/>
      <c r="AR83" s="9"/>
      <c r="AS83" s="15"/>
      <c r="AT83" s="9"/>
      <c r="AU83" s="15"/>
      <c r="AV83" s="9"/>
      <c r="AW83" s="15"/>
      <c r="AX83" s="9"/>
      <c r="AY83" s="15"/>
      <c r="AZ83" s="9">
        <v>1099</v>
      </c>
      <c r="BA83" s="15" t="s">
        <v>12997</v>
      </c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  <c r="CO83" s="15"/>
      <c r="CP83" s="9"/>
      <c r="CQ83" s="15"/>
      <c r="CR83" s="9"/>
    </row>
    <row r="84" spans="1:96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15"/>
      <c r="Q84" s="15"/>
      <c r="R84" s="9"/>
      <c r="S84" s="15"/>
      <c r="T84" s="9"/>
      <c r="U84" s="15"/>
      <c r="V84" s="9"/>
      <c r="W84" s="15"/>
      <c r="X84" s="9"/>
      <c r="Y84" s="15"/>
      <c r="Z84" s="15"/>
      <c r="AA84" s="15"/>
      <c r="AB84" s="9"/>
      <c r="AC84" s="15"/>
      <c r="AD84" s="9"/>
      <c r="AE84" s="15"/>
      <c r="AF84" s="120"/>
      <c r="AG84" s="120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5">
        <f>+SUM(AZ80:AZ83)</f>
        <v>22364.929999999997</v>
      </c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  <c r="CO84" s="15"/>
      <c r="CP84" s="9"/>
      <c r="CQ84" s="15"/>
      <c r="CR84" s="9"/>
    </row>
    <row r="85" spans="1:96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15"/>
      <c r="M85" s="15"/>
      <c r="N85" s="9"/>
      <c r="O85" s="15"/>
      <c r="P85" s="9"/>
      <c r="Q85" s="15"/>
      <c r="R85" s="9"/>
      <c r="S85" s="15"/>
      <c r="T85" s="15"/>
      <c r="U85" s="15"/>
      <c r="V85" s="9"/>
      <c r="W85" s="15"/>
      <c r="X85" s="9"/>
      <c r="Y85" s="15"/>
      <c r="Z85" s="15"/>
      <c r="AA85" s="15"/>
      <c r="AB85" s="9"/>
      <c r="AC85" s="15"/>
      <c r="AD85" s="9"/>
      <c r="AE85" s="15"/>
      <c r="AF85" s="120"/>
      <c r="AG85" s="120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  <c r="CO85" s="15"/>
      <c r="CP85" s="9"/>
      <c r="CQ85" s="15"/>
      <c r="CR85" s="9"/>
    </row>
    <row r="86" spans="1:96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15"/>
      <c r="AA86" s="15"/>
      <c r="AB86" s="9"/>
      <c r="AC86" s="15"/>
      <c r="AD86" s="9"/>
      <c r="AE86" s="15"/>
      <c r="AF86" s="120"/>
      <c r="AG86" s="120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  <c r="CO86" s="15"/>
      <c r="CP86" s="9"/>
      <c r="CQ86" s="15"/>
      <c r="CR86" s="9"/>
    </row>
    <row r="87" spans="1:96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3"/>
      <c r="AA87" s="13"/>
      <c r="AB87" s="11"/>
      <c r="AC87" s="13"/>
      <c r="AD87" s="11"/>
      <c r="AE87" s="13"/>
      <c r="AF87" s="120"/>
      <c r="AG87" s="120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  <c r="CO87" s="13"/>
      <c r="CP87" s="11"/>
      <c r="CQ87" s="13"/>
      <c r="CR87" s="11"/>
    </row>
    <row r="88" spans="1:96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23"/>
      <c r="AC88" s="13"/>
      <c r="AD88" s="13"/>
      <c r="AE88" s="13"/>
      <c r="AF88" s="120"/>
      <c r="AG88" s="120"/>
      <c r="AH88" s="13"/>
      <c r="AI88" s="13"/>
      <c r="AJ88" s="13"/>
      <c r="AK88" s="13"/>
      <c r="AL88" s="13"/>
      <c r="AM88" s="13"/>
      <c r="AN88" s="13"/>
      <c r="AO88" s="13"/>
      <c r="AP88" s="2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</row>
    <row r="89" spans="1:96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2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</row>
    <row r="90" spans="1:96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</row>
    <row r="91" spans="1:96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</row>
    <row r="92" spans="1:96" x14ac:dyDescent="0.25">
      <c r="A92" s="41" t="s">
        <v>6</v>
      </c>
      <c r="B92" s="9">
        <v>321.95999999999998</v>
      </c>
      <c r="C92" s="15" t="s">
        <v>11761</v>
      </c>
      <c r="D92" s="9">
        <v>5079.1400000000003</v>
      </c>
      <c r="E92" s="15" t="s">
        <v>11787</v>
      </c>
      <c r="F92" s="9">
        <v>553.48</v>
      </c>
      <c r="G92" s="15" t="s">
        <v>11834</v>
      </c>
      <c r="H92" s="9">
        <v>150</v>
      </c>
      <c r="I92" s="15" t="s">
        <v>11851</v>
      </c>
      <c r="J92" s="9">
        <v>12341.14</v>
      </c>
      <c r="K92" s="15" t="s">
        <v>11952</v>
      </c>
      <c r="L92" s="9">
        <v>1815</v>
      </c>
      <c r="M92" s="15" t="s">
        <v>12022</v>
      </c>
      <c r="N92" s="9">
        <v>2040.01</v>
      </c>
      <c r="O92" s="15" t="s">
        <v>12016</v>
      </c>
      <c r="P92" s="9">
        <v>871.44</v>
      </c>
      <c r="Q92" s="15" t="s">
        <v>12088</v>
      </c>
      <c r="R92" s="9">
        <v>1970</v>
      </c>
      <c r="S92" s="15" t="s">
        <v>12127</v>
      </c>
      <c r="T92" s="9">
        <v>4239</v>
      </c>
      <c r="U92" s="15" t="s">
        <v>12191</v>
      </c>
      <c r="V92" s="9">
        <v>255.93</v>
      </c>
      <c r="W92" s="15" t="s">
        <v>12221</v>
      </c>
      <c r="X92" s="9">
        <v>3969.14</v>
      </c>
      <c r="Y92" s="15" t="s">
        <v>12277</v>
      </c>
      <c r="Z92" s="15"/>
      <c r="AA92" s="15"/>
      <c r="AB92" s="9">
        <v>3500</v>
      </c>
      <c r="AC92" s="15" t="s">
        <v>12331</v>
      </c>
      <c r="AD92" s="9">
        <v>5000</v>
      </c>
      <c r="AE92" s="15" t="s">
        <v>12390</v>
      </c>
      <c r="AF92" s="15">
        <v>190.69</v>
      </c>
      <c r="AG92" s="15" t="s">
        <v>12468</v>
      </c>
      <c r="AH92" s="9">
        <v>10762.86</v>
      </c>
      <c r="AI92" s="15" t="s">
        <v>12510</v>
      </c>
      <c r="AJ92" s="9">
        <v>3319.99</v>
      </c>
      <c r="AK92" s="15" t="s">
        <v>12579</v>
      </c>
      <c r="AL92" s="9"/>
      <c r="AM92" s="15"/>
      <c r="AN92" s="9">
        <v>635</v>
      </c>
      <c r="AO92" s="9" t="s">
        <v>12609</v>
      </c>
      <c r="AP92" s="9">
        <v>4674.74</v>
      </c>
      <c r="AQ92" s="9" t="s">
        <v>12718</v>
      </c>
      <c r="AR92" s="9">
        <v>1962.77</v>
      </c>
      <c r="AS92" s="15" t="s">
        <v>12734</v>
      </c>
      <c r="AT92" s="9">
        <v>14500</v>
      </c>
      <c r="AU92" s="15" t="s">
        <v>12854</v>
      </c>
      <c r="AV92" s="9">
        <v>1500</v>
      </c>
      <c r="AW92" s="15" t="s">
        <v>12812</v>
      </c>
      <c r="AX92" s="9">
        <v>100</v>
      </c>
      <c r="AY92" s="15" t="s">
        <v>12954</v>
      </c>
      <c r="AZ92" s="9">
        <v>402.2</v>
      </c>
      <c r="BA92" s="15" t="s">
        <v>12922</v>
      </c>
      <c r="BB92" s="9">
        <v>5000</v>
      </c>
      <c r="BC92" s="15" t="s">
        <v>13006</v>
      </c>
      <c r="BD92" s="9"/>
      <c r="BE92" s="15"/>
      <c r="BF92" s="9"/>
      <c r="BG92" s="15"/>
      <c r="BH92" s="9"/>
      <c r="BI92" s="15"/>
      <c r="BJ92" s="9"/>
      <c r="BK92" s="15"/>
      <c r="BL92" s="9"/>
      <c r="BM92" s="15"/>
      <c r="BN92" s="9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  <c r="CO92" s="15"/>
      <c r="CP92" s="9"/>
      <c r="CQ92" s="15"/>
      <c r="CR92" s="9"/>
    </row>
    <row r="93" spans="1:96" x14ac:dyDescent="0.25">
      <c r="A93" s="41"/>
      <c r="B93" s="9">
        <v>1500</v>
      </c>
      <c r="C93" s="15" t="s">
        <v>11769</v>
      </c>
      <c r="D93" s="121">
        <v>1169.01</v>
      </c>
      <c r="E93" s="15" t="s">
        <v>11791</v>
      </c>
      <c r="F93" s="9">
        <v>15000</v>
      </c>
      <c r="G93" s="15" t="s">
        <v>11835</v>
      </c>
      <c r="H93" s="9">
        <v>1287.3699999999999</v>
      </c>
      <c r="I93" s="15" t="s">
        <v>11870</v>
      </c>
      <c r="J93" s="9">
        <v>3112.15</v>
      </c>
      <c r="K93" s="15" t="s">
        <v>11953</v>
      </c>
      <c r="L93" s="9">
        <v>232</v>
      </c>
      <c r="M93" s="15" t="s">
        <v>12024</v>
      </c>
      <c r="N93" s="9">
        <v>1169</v>
      </c>
      <c r="O93" s="15" t="s">
        <v>12017</v>
      </c>
      <c r="P93" s="9">
        <v>4465.01</v>
      </c>
      <c r="Q93" s="15" t="s">
        <v>12094</v>
      </c>
      <c r="R93" s="9">
        <v>3558.33</v>
      </c>
      <c r="S93" s="15" t="s">
        <v>12128</v>
      </c>
      <c r="T93" s="11">
        <v>1169</v>
      </c>
      <c r="U93" s="12" t="s">
        <v>12199</v>
      </c>
      <c r="V93" s="9">
        <v>760.87</v>
      </c>
      <c r="W93" s="15" t="s">
        <v>12228</v>
      </c>
      <c r="X93" s="9">
        <v>4395</v>
      </c>
      <c r="Y93" s="15" t="s">
        <v>12285</v>
      </c>
      <c r="Z93" s="15"/>
      <c r="AA93" s="15"/>
      <c r="AB93" s="9">
        <v>2528</v>
      </c>
      <c r="AC93" s="15" t="s">
        <v>12338</v>
      </c>
      <c r="AD93" s="9">
        <v>7555.66</v>
      </c>
      <c r="AE93" s="15" t="s">
        <v>12391</v>
      </c>
      <c r="AF93" s="72">
        <v>1099.01</v>
      </c>
      <c r="AG93" s="15" t="s">
        <v>12497</v>
      </c>
      <c r="AH93" s="9">
        <v>482.05</v>
      </c>
      <c r="AI93" s="9" t="s">
        <v>12522</v>
      </c>
      <c r="AJ93" s="9"/>
      <c r="AK93" s="15"/>
      <c r="AL93" s="9"/>
      <c r="AM93" s="15"/>
      <c r="AN93" s="9">
        <v>3320</v>
      </c>
      <c r="AO93" s="15" t="s">
        <v>12614</v>
      </c>
      <c r="AP93" s="9">
        <v>1588.98</v>
      </c>
      <c r="AQ93" s="15" t="s">
        <v>12722</v>
      </c>
      <c r="AR93" s="9">
        <v>3480</v>
      </c>
      <c r="AS93" s="15" t="s">
        <v>12739</v>
      </c>
      <c r="AT93" s="9">
        <v>3250.01</v>
      </c>
      <c r="AU93" s="15" t="s">
        <v>12870</v>
      </c>
      <c r="AV93" s="9">
        <v>502.05</v>
      </c>
      <c r="AW93" s="15" t="s">
        <v>12817</v>
      </c>
      <c r="AX93" s="9"/>
      <c r="AY93" s="15"/>
      <c r="AZ93" s="9"/>
      <c r="BA93" s="15"/>
      <c r="BB93" s="11">
        <v>1267</v>
      </c>
      <c r="BC93" s="13" t="s">
        <v>13028</v>
      </c>
      <c r="BD93" s="9"/>
      <c r="BE93" s="15"/>
      <c r="BF93" s="9"/>
      <c r="BG93" s="15"/>
      <c r="BH93" s="9"/>
      <c r="BI93" s="15"/>
      <c r="BJ93" s="9"/>
      <c r="BK93" s="15"/>
      <c r="BL93" s="9"/>
      <c r="BM93" s="15"/>
      <c r="BN93" s="9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  <c r="CO93" s="15"/>
      <c r="CP93" s="9"/>
      <c r="CQ93" s="15"/>
      <c r="CR93" s="9"/>
    </row>
    <row r="94" spans="1:96" x14ac:dyDescent="0.25">
      <c r="A94" s="41"/>
      <c r="B94" s="95">
        <f>+B93+B92</f>
        <v>1821.96</v>
      </c>
      <c r="C94" s="15"/>
      <c r="D94" s="121">
        <v>1169.01</v>
      </c>
      <c r="E94" s="15" t="s">
        <v>5339</v>
      </c>
      <c r="F94" s="9">
        <v>2611</v>
      </c>
      <c r="G94" s="15" t="s">
        <v>11839</v>
      </c>
      <c r="H94" s="9">
        <v>1423.54</v>
      </c>
      <c r="I94" s="15" t="s">
        <v>11871</v>
      </c>
      <c r="J94" s="9">
        <v>3250.01</v>
      </c>
      <c r="K94" s="15" t="s">
        <v>11960</v>
      </c>
      <c r="L94" s="9">
        <v>2935.99</v>
      </c>
      <c r="M94" s="15" t="s">
        <v>12034</v>
      </c>
      <c r="N94" s="9">
        <v>1169</v>
      </c>
      <c r="O94" s="15" t="s">
        <v>12018</v>
      </c>
      <c r="P94" s="95">
        <f>+P93+P92</f>
        <v>5336.4500000000007</v>
      </c>
      <c r="Q94" s="15"/>
      <c r="R94" s="9">
        <v>1303.25</v>
      </c>
      <c r="S94" s="15" t="s">
        <v>12130</v>
      </c>
      <c r="T94" s="95">
        <f>+T92+T93</f>
        <v>5408</v>
      </c>
      <c r="U94" s="15"/>
      <c r="V94" s="95">
        <f>+V92+V93</f>
        <v>1016.8</v>
      </c>
      <c r="W94" s="15"/>
      <c r="X94" s="9">
        <f>4726.26-2134.26</f>
        <v>2592</v>
      </c>
      <c r="Y94" s="15" t="s">
        <v>12287</v>
      </c>
      <c r="Z94" s="15"/>
      <c r="AA94" s="15"/>
      <c r="AB94" s="15">
        <v>1169</v>
      </c>
      <c r="AC94" s="15" t="s">
        <v>12340</v>
      </c>
      <c r="AD94" s="9">
        <v>5500</v>
      </c>
      <c r="AE94" s="15" t="s">
        <v>12399</v>
      </c>
      <c r="AF94" s="9">
        <v>3320</v>
      </c>
      <c r="AG94" s="15" t="s">
        <v>12500</v>
      </c>
      <c r="AH94" s="9">
        <v>3169</v>
      </c>
      <c r="AI94" s="15" t="s">
        <v>12528</v>
      </c>
      <c r="AJ94" s="15">
        <v>6020.7</v>
      </c>
      <c r="AK94" s="15" t="s">
        <v>12583</v>
      </c>
      <c r="AL94" s="9"/>
      <c r="AM94" s="15"/>
      <c r="AN94" s="9">
        <v>1099.01</v>
      </c>
      <c r="AO94" s="15" t="s">
        <v>12615</v>
      </c>
      <c r="AP94" s="95">
        <f>+AP92+AP93</f>
        <v>6263.7199999999993</v>
      </c>
      <c r="AQ94" s="15"/>
      <c r="AR94" s="120">
        <v>1099.01</v>
      </c>
      <c r="AS94" s="120" t="s">
        <v>12746</v>
      </c>
      <c r="AT94" s="9">
        <v>1169.01</v>
      </c>
      <c r="AU94" s="15" t="s">
        <v>12874</v>
      </c>
      <c r="AV94" s="9">
        <v>150</v>
      </c>
      <c r="AW94" s="15" t="s">
        <v>11639</v>
      </c>
      <c r="AX94" s="9"/>
      <c r="AY94" s="15"/>
      <c r="AZ94" s="9"/>
      <c r="BA94" s="15"/>
      <c r="BB94" s="14">
        <v>4065</v>
      </c>
      <c r="BC94" s="13" t="s">
        <v>13035</v>
      </c>
      <c r="BD94" s="9"/>
      <c r="BE94" s="15"/>
      <c r="BF94" s="9"/>
      <c r="BG94" s="15"/>
      <c r="BH94" s="9"/>
      <c r="BI94" s="15"/>
      <c r="BJ94" s="15"/>
      <c r="BK94" s="15"/>
      <c r="BL94" s="9"/>
      <c r="BM94" s="15"/>
      <c r="BN94" s="9"/>
      <c r="BO94" s="15"/>
      <c r="BP94" s="15"/>
      <c r="BQ94" s="15"/>
      <c r="BR94" s="9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25">
      <c r="A95" s="41"/>
      <c r="B95" s="9"/>
      <c r="C95" s="15"/>
      <c r="D95" s="121">
        <v>1947.84</v>
      </c>
      <c r="E95" s="15" t="s">
        <v>11793</v>
      </c>
      <c r="F95" s="9">
        <v>522</v>
      </c>
      <c r="G95" s="15" t="s">
        <v>11842</v>
      </c>
      <c r="H95" s="9">
        <v>6410.01</v>
      </c>
      <c r="I95" s="15" t="s">
        <v>11876</v>
      </c>
      <c r="J95" s="9">
        <v>3319.99</v>
      </c>
      <c r="K95" s="15" t="s">
        <v>11961</v>
      </c>
      <c r="L95" s="9">
        <v>2040.01</v>
      </c>
      <c r="M95" s="15" t="s">
        <v>12035</v>
      </c>
      <c r="N95" s="95">
        <f>+SUM(N92:N94)</f>
        <v>4378.01</v>
      </c>
      <c r="O95" s="15"/>
      <c r="P95" s="9"/>
      <c r="Q95" s="15"/>
      <c r="R95" s="9">
        <v>3320</v>
      </c>
      <c r="S95" s="15" t="s">
        <v>12135</v>
      </c>
      <c r="T95" s="9"/>
      <c r="U95" s="15"/>
      <c r="V95" s="9"/>
      <c r="W95" s="15"/>
      <c r="X95" s="9">
        <v>1099.01</v>
      </c>
      <c r="Y95" s="15" t="s">
        <v>12289</v>
      </c>
      <c r="Z95" s="15"/>
      <c r="AA95" s="15"/>
      <c r="AB95" s="9">
        <v>6928.99</v>
      </c>
      <c r="AC95" s="15" t="s">
        <v>12341</v>
      </c>
      <c r="AD95" s="9">
        <v>1969.99</v>
      </c>
      <c r="AE95" s="15" t="s">
        <v>12416</v>
      </c>
      <c r="AF95" s="15">
        <v>3320</v>
      </c>
      <c r="AG95" s="15" t="s">
        <v>12501</v>
      </c>
      <c r="AH95" s="9">
        <v>504.99</v>
      </c>
      <c r="AI95" s="15" t="s">
        <v>12531</v>
      </c>
      <c r="AJ95" s="9"/>
      <c r="AK95" s="15"/>
      <c r="AL95" s="15"/>
      <c r="AM95" s="15"/>
      <c r="AN95" s="9">
        <v>3320</v>
      </c>
      <c r="AO95" s="15" t="s">
        <v>12620</v>
      </c>
      <c r="AP95" s="15"/>
      <c r="AQ95" s="15"/>
      <c r="AR95" s="9">
        <v>1970</v>
      </c>
      <c r="AS95" s="15" t="s">
        <v>12747</v>
      </c>
      <c r="AT95" s="95">
        <f>+SUM(AT92:AT94)</f>
        <v>18919.02</v>
      </c>
      <c r="AU95" s="15"/>
      <c r="AV95" s="95">
        <f>+SUM(AV92:AV94)</f>
        <v>2152.0500000000002</v>
      </c>
      <c r="AW95" s="15"/>
      <c r="AX95" s="193"/>
      <c r="AY95" s="15"/>
      <c r="AZ95" s="9"/>
      <c r="BA95" s="15"/>
      <c r="BB95" s="9">
        <v>1561.53</v>
      </c>
      <c r="BC95" s="15" t="s">
        <v>13038</v>
      </c>
      <c r="BD95" s="9"/>
      <c r="BE95" s="15"/>
      <c r="BF95" s="95"/>
      <c r="BG95" s="15"/>
      <c r="BH95" s="15"/>
      <c r="BI95" s="15"/>
      <c r="BJ95" s="9"/>
      <c r="BK95" s="15"/>
      <c r="BL95" s="9"/>
      <c r="BM95" s="15"/>
      <c r="BN95" s="15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  <c r="CO95" s="15"/>
      <c r="CP95" s="9"/>
      <c r="CQ95" s="15"/>
      <c r="CR95" s="9"/>
    </row>
    <row r="96" spans="1:96" x14ac:dyDescent="0.25">
      <c r="A96" s="41"/>
      <c r="B96" s="15"/>
      <c r="C96" s="15"/>
      <c r="D96" s="9">
        <v>1534</v>
      </c>
      <c r="E96" s="15" t="s">
        <v>11794</v>
      </c>
      <c r="F96" s="9">
        <v>6909.12</v>
      </c>
      <c r="G96" s="15" t="s">
        <v>11844</v>
      </c>
      <c r="H96" s="95">
        <f>+SUM(H92:H95)</f>
        <v>9270.92</v>
      </c>
      <c r="I96" s="15"/>
      <c r="J96" s="9">
        <v>659.54</v>
      </c>
      <c r="K96" s="15" t="s">
        <v>11964</v>
      </c>
      <c r="L96" s="9">
        <v>1169</v>
      </c>
      <c r="M96" s="15" t="s">
        <v>12040</v>
      </c>
      <c r="N96" s="15"/>
      <c r="O96" s="15"/>
      <c r="P96" s="9">
        <v>1946.14</v>
      </c>
      <c r="Q96" s="15" t="s">
        <v>12120</v>
      </c>
      <c r="R96" s="95">
        <f>+SUM(R92:R95)</f>
        <v>10151.58</v>
      </c>
      <c r="S96" s="15"/>
      <c r="T96" s="9"/>
      <c r="U96" s="9"/>
      <c r="V96" s="9">
        <v>3480</v>
      </c>
      <c r="W96" s="15" t="s">
        <v>12234</v>
      </c>
      <c r="X96" s="9">
        <v>1099.01</v>
      </c>
      <c r="Y96" s="15" t="s">
        <v>12290</v>
      </c>
      <c r="Z96" s="15"/>
      <c r="AA96" s="15"/>
      <c r="AB96" s="15">
        <v>5640</v>
      </c>
      <c r="AC96" s="15" t="s">
        <v>12343</v>
      </c>
      <c r="AD96" s="9">
        <v>3319.99</v>
      </c>
      <c r="AE96" s="15" t="s">
        <v>12419</v>
      </c>
      <c r="AF96" s="9">
        <v>3459.02</v>
      </c>
      <c r="AG96" s="13" t="s">
        <v>12504</v>
      </c>
      <c r="AH96" s="9">
        <v>4465.01</v>
      </c>
      <c r="AI96" s="15" t="s">
        <v>12532</v>
      </c>
      <c r="AJ96" s="9"/>
      <c r="AK96" s="15"/>
      <c r="AL96" s="9"/>
      <c r="AM96" s="15"/>
      <c r="AN96" s="9">
        <v>2040</v>
      </c>
      <c r="AO96" s="15" t="s">
        <v>12624</v>
      </c>
      <c r="AP96" s="9">
        <v>750</v>
      </c>
      <c r="AQ96" s="15" t="s">
        <v>12759</v>
      </c>
      <c r="AR96" s="9">
        <v>2339.15</v>
      </c>
      <c r="AS96" s="15" t="s">
        <v>12749</v>
      </c>
      <c r="AT96" s="137"/>
      <c r="AU96" s="15"/>
      <c r="AV96" s="9"/>
      <c r="AW96" s="15"/>
      <c r="AX96" s="9"/>
      <c r="AY96" s="15"/>
      <c r="AZ96" s="193"/>
      <c r="BA96" s="15"/>
      <c r="BB96" s="9">
        <v>2460.19</v>
      </c>
      <c r="BC96" s="26" t="s">
        <v>13030</v>
      </c>
      <c r="BD96" s="9"/>
      <c r="BE96" s="15"/>
      <c r="BF96" s="9"/>
      <c r="BG96" s="15"/>
      <c r="BH96" s="9"/>
      <c r="BI96" s="15"/>
      <c r="BJ96" s="9"/>
      <c r="BK96" s="15"/>
      <c r="BL96" s="9"/>
      <c r="BM96" s="15"/>
      <c r="BN96" s="15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  <c r="CO96" s="15"/>
      <c r="CP96" s="9"/>
      <c r="CQ96" s="15"/>
      <c r="CR96" s="9"/>
    </row>
    <row r="97" spans="1:96" x14ac:dyDescent="0.25">
      <c r="A97" s="41"/>
      <c r="B97" s="9"/>
      <c r="C97" s="15"/>
      <c r="D97" s="9">
        <v>4395</v>
      </c>
      <c r="E97" s="15" t="s">
        <v>11799</v>
      </c>
      <c r="F97" s="9">
        <v>4395</v>
      </c>
      <c r="G97" s="15" t="s">
        <v>11845</v>
      </c>
      <c r="H97" s="9"/>
      <c r="I97" s="15"/>
      <c r="J97" s="95">
        <f>+SUM(J92:J96)</f>
        <v>22682.83</v>
      </c>
      <c r="K97" s="15"/>
      <c r="L97" s="9">
        <v>3320</v>
      </c>
      <c r="M97" s="15" t="s">
        <v>12047</v>
      </c>
      <c r="N97" s="9">
        <v>1795.01</v>
      </c>
      <c r="O97" s="15" t="s">
        <v>12070</v>
      </c>
      <c r="P97" s="9"/>
      <c r="Q97" s="15"/>
      <c r="R97" s="9"/>
      <c r="S97" s="15"/>
      <c r="T97" s="11"/>
      <c r="U97" s="13"/>
      <c r="V97" s="137">
        <v>3250.01</v>
      </c>
      <c r="W97" s="15" t="s">
        <v>12250</v>
      </c>
      <c r="X97" s="193">
        <v>1969.99</v>
      </c>
      <c r="Y97" s="15" t="s">
        <v>12295</v>
      </c>
      <c r="Z97" s="15"/>
      <c r="AA97" s="15"/>
      <c r="AB97" s="9">
        <v>1970</v>
      </c>
      <c r="AC97" s="15" t="s">
        <v>12349</v>
      </c>
      <c r="AD97" s="9">
        <v>200.67</v>
      </c>
      <c r="AE97" s="15" t="s">
        <v>12420</v>
      </c>
      <c r="AF97" s="111">
        <f>+SUM(AF92:AF96)</f>
        <v>11388.72</v>
      </c>
      <c r="AG97" s="13"/>
      <c r="AH97" s="9">
        <v>635</v>
      </c>
      <c r="AI97" s="15" t="s">
        <v>12538</v>
      </c>
      <c r="AJ97" s="133"/>
      <c r="AK97" s="15"/>
      <c r="AL97" s="9"/>
      <c r="AM97" s="15"/>
      <c r="AN97" s="95">
        <f>+SUM(AN92:AN96)</f>
        <v>10414.01</v>
      </c>
      <c r="AO97" s="15"/>
      <c r="AP97" s="9">
        <v>25000</v>
      </c>
      <c r="AQ97" s="15" t="s">
        <v>12761</v>
      </c>
      <c r="AR97" s="9">
        <v>1099.01</v>
      </c>
      <c r="AS97" s="15" t="s">
        <v>12751</v>
      </c>
      <c r="AT97" s="9"/>
      <c r="AU97" s="15"/>
      <c r="AV97" s="9">
        <v>175</v>
      </c>
      <c r="AW97" s="15" t="s">
        <v>12889</v>
      </c>
      <c r="AX97" s="15"/>
      <c r="AY97" s="15"/>
      <c r="AZ97" s="15"/>
      <c r="BA97" s="15"/>
      <c r="BB97" s="95">
        <f>+SUM(BB92:BB96)</f>
        <v>14353.720000000001</v>
      </c>
      <c r="BC97" s="15"/>
      <c r="BD97" s="9"/>
      <c r="BE97" s="15"/>
      <c r="BF97" s="9"/>
      <c r="BG97" s="15"/>
      <c r="BH97" s="9"/>
      <c r="BI97" s="15"/>
      <c r="BJ97" s="229"/>
      <c r="BK97" s="127"/>
      <c r="BL97" s="9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25">
      <c r="A98" s="41"/>
      <c r="B98" s="9"/>
      <c r="C98" s="15"/>
      <c r="D98" s="9">
        <v>654.07000000000005</v>
      </c>
      <c r="E98" s="15" t="s">
        <v>11803</v>
      </c>
      <c r="F98" s="95">
        <f>+SUM(F92:F97)</f>
        <v>29990.6</v>
      </c>
      <c r="G98" s="15"/>
      <c r="H98" s="9">
        <v>2392.6799999999998</v>
      </c>
      <c r="I98" s="15" t="s">
        <v>11928</v>
      </c>
      <c r="J98" s="9"/>
      <c r="K98" s="15"/>
      <c r="L98" s="9">
        <v>3552</v>
      </c>
      <c r="M98" s="15" t="s">
        <v>12039</v>
      </c>
      <c r="N98" s="9">
        <v>948.47</v>
      </c>
      <c r="O98" s="15" t="s">
        <v>12081</v>
      </c>
      <c r="P98" s="15"/>
      <c r="Q98" s="15"/>
      <c r="R98" s="9">
        <v>2134.2600000000002</v>
      </c>
      <c r="S98" s="15" t="s">
        <v>12144</v>
      </c>
      <c r="T98" s="9"/>
      <c r="U98" s="15"/>
      <c r="V98" s="9">
        <v>1169</v>
      </c>
      <c r="W98" s="15" t="s">
        <v>12253</v>
      </c>
      <c r="X98" s="230">
        <f>+SUM(X92:X97)</f>
        <v>15124.15</v>
      </c>
      <c r="Y98" s="15"/>
      <c r="Z98" s="15"/>
      <c r="AA98" s="15"/>
      <c r="AB98" s="9">
        <v>1589</v>
      </c>
      <c r="AC98" s="15" t="s">
        <v>12350</v>
      </c>
      <c r="AD98" s="95">
        <f>+SUM(AD91:AD97)</f>
        <v>23546.309999999998</v>
      </c>
      <c r="AE98" s="15"/>
      <c r="AF98" s="15"/>
      <c r="AG98" s="15"/>
      <c r="AH98" s="95">
        <f>+SUM(AH92:AH97)</f>
        <v>20018.91</v>
      </c>
      <c r="AI98" s="15"/>
      <c r="AJ98" s="9"/>
      <c r="AK98" s="15"/>
      <c r="AL98" s="9"/>
      <c r="AM98" s="15"/>
      <c r="AN98" s="9"/>
      <c r="AO98" s="15"/>
      <c r="AP98" s="95">
        <f>+AP97+AP95+AP96</f>
        <v>25750</v>
      </c>
      <c r="AQ98" s="15"/>
      <c r="AR98" s="9">
        <v>3250</v>
      </c>
      <c r="AS98" s="15" t="s">
        <v>12752</v>
      </c>
      <c r="AT98" s="9"/>
      <c r="AU98" s="15"/>
      <c r="AV98" s="9">
        <v>6899.25</v>
      </c>
      <c r="AW98" s="15" t="s">
        <v>12891</v>
      </c>
      <c r="AX98" s="15"/>
      <c r="AY98" s="15"/>
      <c r="AZ98" s="15"/>
      <c r="BA98" s="15"/>
      <c r="BB98" s="9"/>
      <c r="BC98" s="15"/>
      <c r="BD98" s="9"/>
      <c r="BE98" s="15"/>
      <c r="BF98" s="15"/>
      <c r="BG98" s="15"/>
      <c r="BH98" s="9"/>
      <c r="BI98" s="15"/>
      <c r="BJ98" s="127"/>
      <c r="BK98" s="127"/>
      <c r="BL98" s="9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25">
      <c r="A99" s="41"/>
      <c r="B99" s="9"/>
      <c r="C99" s="15"/>
      <c r="D99" s="95">
        <f>+SUM(D92:D98)</f>
        <v>15948.07</v>
      </c>
      <c r="E99" s="15"/>
      <c r="F99" s="9"/>
      <c r="G99" s="15"/>
      <c r="H99" s="9">
        <v>1169.01</v>
      </c>
      <c r="I99" s="15" t="s">
        <v>11934</v>
      </c>
      <c r="J99" s="9">
        <v>1099</v>
      </c>
      <c r="K99" s="15" t="s">
        <v>11972</v>
      </c>
      <c r="L99" s="95">
        <f>+SUM(L92:L98)</f>
        <v>15064</v>
      </c>
      <c r="M99" s="15"/>
      <c r="N99" s="95">
        <f>+N97+N98</f>
        <v>2743.48</v>
      </c>
      <c r="O99" s="15"/>
      <c r="P99" s="9"/>
      <c r="Q99" s="15"/>
      <c r="R99" s="9">
        <v>5400</v>
      </c>
      <c r="S99" s="15" t="s">
        <v>12150</v>
      </c>
      <c r="T99" s="9"/>
      <c r="U99" s="15"/>
      <c r="V99" s="9">
        <v>2360.0100000000002</v>
      </c>
      <c r="W99" s="15" t="s">
        <v>12255</v>
      </c>
      <c r="X99" s="9"/>
      <c r="Y99" s="15"/>
      <c r="Z99" s="15"/>
      <c r="AA99" s="15"/>
      <c r="AB99" s="95">
        <f>+SUM(AB92:AB98)</f>
        <v>23324.989999999998</v>
      </c>
      <c r="AC99" s="15"/>
      <c r="AD99" s="95"/>
      <c r="AE99" s="15"/>
      <c r="AF99" s="9"/>
      <c r="AG99" s="15"/>
      <c r="AH99" s="9"/>
      <c r="AI99" s="15"/>
      <c r="AJ99" s="15"/>
      <c r="AK99" s="15"/>
      <c r="AL99" s="9"/>
      <c r="AM99" s="15"/>
      <c r="AN99" s="9">
        <v>257.52999999999997</v>
      </c>
      <c r="AO99" s="15" t="s">
        <v>12684</v>
      </c>
      <c r="AP99" s="15"/>
      <c r="AQ99" s="15"/>
      <c r="AR99" s="9">
        <v>628.51</v>
      </c>
      <c r="AS99" s="15" t="s">
        <v>12733</v>
      </c>
      <c r="AT99" s="15"/>
      <c r="AU99" s="15"/>
      <c r="AV99" s="15">
        <v>3980.01</v>
      </c>
      <c r="AW99" s="15" t="s">
        <v>12893</v>
      </c>
      <c r="AX99" s="9"/>
      <c r="AY99" s="15"/>
      <c r="AZ99" s="15"/>
      <c r="BA99" s="15"/>
      <c r="BB99" s="9"/>
      <c r="BC99" s="15"/>
      <c r="BD99" s="15"/>
      <c r="BE99" s="15"/>
      <c r="BF99" s="127"/>
      <c r="BG99" s="24"/>
      <c r="BH99" s="15"/>
      <c r="BI99" s="15"/>
      <c r="BJ99" s="127"/>
      <c r="BK99" s="127"/>
      <c r="BL99" s="15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  <c r="CO99" s="15"/>
      <c r="CP99" s="9"/>
      <c r="CQ99" s="15"/>
      <c r="CR99" s="9"/>
    </row>
    <row r="100" spans="1:96" x14ac:dyDescent="0.25">
      <c r="A100" s="41"/>
      <c r="B100" s="9"/>
      <c r="C100" s="15"/>
      <c r="D100" s="9"/>
      <c r="E100" s="15"/>
      <c r="F100" s="9">
        <v>2395.1999999999998</v>
      </c>
      <c r="G100" s="15" t="s">
        <v>11894</v>
      </c>
      <c r="H100" s="9">
        <v>2448.38</v>
      </c>
      <c r="I100" s="15" t="s">
        <v>11938</v>
      </c>
      <c r="J100" s="9">
        <v>821.77</v>
      </c>
      <c r="K100" s="15" t="s">
        <v>11983</v>
      </c>
      <c r="L100" s="9"/>
      <c r="M100" s="15"/>
      <c r="N100" s="9"/>
      <c r="O100" s="15"/>
      <c r="P100" s="9"/>
      <c r="Q100" s="15"/>
      <c r="R100" s="9">
        <v>464</v>
      </c>
      <c r="S100" s="15" t="s">
        <v>12167</v>
      </c>
      <c r="T100" s="9"/>
      <c r="U100" s="15"/>
      <c r="V100" s="9">
        <v>1169.01</v>
      </c>
      <c r="W100" s="15" t="s">
        <v>12262</v>
      </c>
      <c r="X100" s="9"/>
      <c r="Y100" s="15"/>
      <c r="Z100" s="15"/>
      <c r="AA100" s="15"/>
      <c r="AB100" s="9"/>
      <c r="AC100" s="15"/>
      <c r="AD100" s="9"/>
      <c r="AE100" s="15"/>
      <c r="AF100" s="9"/>
      <c r="AG100" s="15"/>
      <c r="AH100" s="15"/>
      <c r="AI100" s="15"/>
      <c r="AJ100" s="9"/>
      <c r="AK100" s="15"/>
      <c r="AL100" s="15"/>
      <c r="AM100" s="15"/>
      <c r="AN100" s="9">
        <v>1099.01</v>
      </c>
      <c r="AO100" s="15" t="s">
        <v>12696</v>
      </c>
      <c r="AP100" s="15"/>
      <c r="AQ100" s="15"/>
      <c r="AR100" s="95">
        <f>+SUM(AR92:AR99)</f>
        <v>15828.45</v>
      </c>
      <c r="AS100" s="15"/>
      <c r="AT100" s="9"/>
      <c r="AU100" s="15"/>
      <c r="AV100" s="9">
        <v>1969.99</v>
      </c>
      <c r="AW100" s="15" t="s">
        <v>12895</v>
      </c>
      <c r="AX100" s="15"/>
      <c r="AY100" s="15"/>
      <c r="AZ100" s="9"/>
      <c r="BA100" s="15"/>
      <c r="BB100" s="15"/>
      <c r="BC100" s="15"/>
      <c r="BD100" s="9"/>
      <c r="BE100" s="15"/>
      <c r="BF100" s="15"/>
      <c r="BG100" s="15"/>
      <c r="BH100" s="9"/>
      <c r="BI100" s="15"/>
      <c r="BJ100" s="127"/>
      <c r="BK100" s="127"/>
      <c r="BL100" s="15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  <c r="CO100" s="15"/>
      <c r="CP100" s="9"/>
      <c r="CQ100" s="15"/>
      <c r="CR100" s="9"/>
    </row>
    <row r="101" spans="1:96" x14ac:dyDescent="0.25">
      <c r="A101" s="41"/>
      <c r="B101" s="15"/>
      <c r="C101" s="15"/>
      <c r="D101" s="9">
        <v>290.55</v>
      </c>
      <c r="E101" s="15" t="s">
        <v>11818</v>
      </c>
      <c r="F101" s="9">
        <v>955.69</v>
      </c>
      <c r="G101" s="15" t="s">
        <v>11899</v>
      </c>
      <c r="H101" s="9">
        <v>696</v>
      </c>
      <c r="I101" s="15" t="s">
        <v>11946</v>
      </c>
      <c r="J101" s="9">
        <v>3320</v>
      </c>
      <c r="K101" s="15" t="s">
        <v>11990</v>
      </c>
      <c r="L101" s="9"/>
      <c r="M101" s="15"/>
      <c r="N101" s="15"/>
      <c r="O101" s="15"/>
      <c r="P101" s="9"/>
      <c r="Q101" s="15"/>
      <c r="R101" s="9">
        <v>1169.01</v>
      </c>
      <c r="S101" s="15" t="s">
        <v>12169</v>
      </c>
      <c r="T101" s="15"/>
      <c r="U101" s="15"/>
      <c r="V101" s="95">
        <f>+SUM(V96:V100)</f>
        <v>11428.03</v>
      </c>
      <c r="W101" s="15"/>
      <c r="X101" s="9"/>
      <c r="Y101" s="15"/>
      <c r="Z101" s="15"/>
      <c r="AA101" s="15"/>
      <c r="AB101" s="9"/>
      <c r="AC101" s="15"/>
      <c r="AD101" s="9"/>
      <c r="AE101" s="15"/>
      <c r="AF101" s="9"/>
      <c r="AG101" s="15"/>
      <c r="AH101" s="9"/>
      <c r="AI101" s="15"/>
      <c r="AJ101" s="9"/>
      <c r="AK101" s="15"/>
      <c r="AL101" s="9"/>
      <c r="AM101" s="15"/>
      <c r="AN101" s="95">
        <f>+AN99+AN100</f>
        <v>1356.54</v>
      </c>
      <c r="AO101" s="15"/>
      <c r="AP101" s="15"/>
      <c r="AQ101" s="15"/>
      <c r="AR101" s="9"/>
      <c r="AS101" s="15"/>
      <c r="AT101" s="9"/>
      <c r="AU101" s="15"/>
      <c r="AV101" s="9">
        <v>3882.67</v>
      </c>
      <c r="AW101" s="15" t="s">
        <v>12901</v>
      </c>
      <c r="AX101" s="15"/>
      <c r="AY101" s="15"/>
      <c r="AZ101" s="9"/>
      <c r="BA101" s="15"/>
      <c r="BB101" s="9"/>
      <c r="BC101" s="15"/>
      <c r="BD101" s="9"/>
      <c r="BE101" s="15"/>
      <c r="BF101" s="9"/>
      <c r="BG101" s="15"/>
      <c r="BH101" s="9"/>
      <c r="BI101" s="15"/>
      <c r="BJ101" s="127"/>
      <c r="BK101" s="127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  <c r="CO101" s="15"/>
      <c r="CP101" s="9"/>
      <c r="CQ101" s="15"/>
      <c r="CR101" s="9"/>
    </row>
    <row r="102" spans="1:96" x14ac:dyDescent="0.25">
      <c r="A102" s="41"/>
      <c r="B102" s="9"/>
      <c r="C102" s="15"/>
      <c r="D102" s="9">
        <v>1995</v>
      </c>
      <c r="E102" s="15" t="s">
        <v>11827</v>
      </c>
      <c r="F102" s="9">
        <v>654.07000000000005</v>
      </c>
      <c r="G102" s="15" t="s">
        <v>11900</v>
      </c>
      <c r="H102" s="95">
        <f>+SUM(H98:H101)</f>
        <v>6706.07</v>
      </c>
      <c r="I102" s="15"/>
      <c r="J102" s="95">
        <f>+J99+J100+J101</f>
        <v>5240.7700000000004</v>
      </c>
      <c r="K102" s="15"/>
      <c r="L102" s="9"/>
      <c r="M102" s="15"/>
      <c r="N102" s="9"/>
      <c r="O102" s="15"/>
      <c r="P102" s="9"/>
      <c r="Q102" s="15"/>
      <c r="R102" s="95">
        <f>+SUM(R98:R101)</f>
        <v>9167.27</v>
      </c>
      <c r="S102" s="15"/>
      <c r="T102" s="9"/>
      <c r="U102" s="15"/>
      <c r="V102" s="9"/>
      <c r="W102" s="15"/>
      <c r="X102" s="9"/>
      <c r="Y102" s="15"/>
      <c r="Z102" s="15"/>
      <c r="AA102" s="15"/>
      <c r="AB102" s="9"/>
      <c r="AC102" s="15"/>
      <c r="AD102" s="9"/>
      <c r="AE102" s="15"/>
      <c r="AF102" s="9"/>
      <c r="AG102" s="15"/>
      <c r="AH102" s="15"/>
      <c r="AI102" s="15"/>
      <c r="AJ102" s="9"/>
      <c r="AK102" s="15"/>
      <c r="AL102" s="9"/>
      <c r="AM102" s="15"/>
      <c r="AN102" s="9"/>
      <c r="AO102" s="15"/>
      <c r="AP102" s="9"/>
      <c r="AQ102" s="15"/>
      <c r="AR102" s="9">
        <v>3200</v>
      </c>
      <c r="AS102" s="15" t="s">
        <v>12784</v>
      </c>
      <c r="AT102" s="9"/>
      <c r="AU102" s="15"/>
      <c r="AV102" s="9"/>
      <c r="AW102" s="15"/>
      <c r="AX102" s="9"/>
      <c r="AY102" s="15"/>
      <c r="AZ102" s="9"/>
      <c r="BA102" s="15"/>
      <c r="BB102" s="9"/>
      <c r="BC102" s="15"/>
      <c r="BD102" s="9"/>
      <c r="BE102" s="15"/>
      <c r="BF102" s="9"/>
      <c r="BG102" s="15"/>
      <c r="BH102" s="9"/>
      <c r="BI102" s="15"/>
      <c r="BJ102" s="127"/>
      <c r="BK102" s="127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  <c r="CO102" s="15"/>
      <c r="CP102" s="9"/>
      <c r="CQ102" s="15"/>
      <c r="CR102" s="9"/>
    </row>
    <row r="103" spans="1:96" x14ac:dyDescent="0.25">
      <c r="A103" s="41"/>
      <c r="B103" s="9"/>
      <c r="C103" s="15"/>
      <c r="D103" s="9">
        <v>1970</v>
      </c>
      <c r="E103" s="15" t="s">
        <v>11829</v>
      </c>
      <c r="F103" s="9">
        <v>746.94</v>
      </c>
      <c r="G103" s="15" t="s">
        <v>11901</v>
      </c>
      <c r="H103" s="15"/>
      <c r="I103" s="15"/>
      <c r="J103" s="9"/>
      <c r="K103" s="15"/>
      <c r="L103" s="9"/>
      <c r="M103" s="15"/>
      <c r="N103" s="9"/>
      <c r="O103" s="15"/>
      <c r="P103" s="15"/>
      <c r="Q103" s="15"/>
      <c r="R103" s="15"/>
      <c r="S103" s="15"/>
      <c r="T103" s="9"/>
      <c r="U103" s="15"/>
      <c r="V103" s="9"/>
      <c r="W103" s="15"/>
      <c r="X103" s="9"/>
      <c r="Y103" s="15"/>
      <c r="Z103" s="15"/>
      <c r="AA103" s="15"/>
      <c r="AB103" s="9"/>
      <c r="AC103" s="15"/>
      <c r="AD103" s="9"/>
      <c r="AE103" s="15"/>
      <c r="AF103" s="9"/>
      <c r="AG103" s="15"/>
      <c r="AH103" s="9"/>
      <c r="AI103" s="15"/>
      <c r="AJ103" s="9"/>
      <c r="AK103" s="15"/>
      <c r="AL103" s="15"/>
      <c r="AM103" s="15"/>
      <c r="AN103" s="9"/>
      <c r="AO103" s="15"/>
      <c r="AP103" s="15"/>
      <c r="AQ103" s="15"/>
      <c r="AR103" s="15">
        <v>1489.14</v>
      </c>
      <c r="AS103" s="15" t="s">
        <v>12788</v>
      </c>
      <c r="AT103" s="9"/>
      <c r="AU103" s="15"/>
      <c r="AV103" s="15"/>
      <c r="AW103" s="15"/>
      <c r="AX103" s="9"/>
      <c r="AY103" s="15"/>
      <c r="AZ103" s="9"/>
      <c r="BA103" s="15"/>
      <c r="BB103" s="9"/>
      <c r="BC103" s="15"/>
      <c r="BD103" s="9"/>
      <c r="BE103" s="15"/>
      <c r="BF103" s="9"/>
      <c r="BG103" s="15"/>
      <c r="BH103" s="9"/>
      <c r="BI103" s="15"/>
      <c r="BJ103" s="127"/>
      <c r="BK103" s="127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  <c r="CO103" s="15"/>
      <c r="CP103" s="9"/>
      <c r="CQ103" s="15"/>
      <c r="CR103" s="9"/>
    </row>
    <row r="104" spans="1:96" x14ac:dyDescent="0.25">
      <c r="A104" s="41"/>
      <c r="B104" s="9"/>
      <c r="C104" s="15"/>
      <c r="D104" s="95">
        <f>+D101+D102+D103</f>
        <v>4255.55</v>
      </c>
      <c r="E104" s="15"/>
      <c r="F104" s="9">
        <v>2166.64</v>
      </c>
      <c r="G104" s="15" t="s">
        <v>11907</v>
      </c>
      <c r="H104" s="9"/>
      <c r="I104" s="15"/>
      <c r="J104" s="9"/>
      <c r="K104" s="15"/>
      <c r="L104" s="9"/>
      <c r="M104" s="15"/>
      <c r="N104" s="9"/>
      <c r="O104" s="15"/>
      <c r="P104" s="9"/>
      <c r="Q104" s="15"/>
      <c r="R104" s="15"/>
      <c r="S104" s="15"/>
      <c r="T104" s="15"/>
      <c r="U104" s="15"/>
      <c r="V104" s="9"/>
      <c r="W104" s="15"/>
      <c r="X104" s="9"/>
      <c r="Y104" s="15"/>
      <c r="Z104" s="15"/>
      <c r="AA104" s="15"/>
      <c r="AB104" s="15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"/>
      <c r="AQ104" s="15"/>
      <c r="AR104" s="9">
        <v>13000</v>
      </c>
      <c r="AS104" s="15" t="s">
        <v>12796</v>
      </c>
      <c r="AT104" s="9"/>
      <c r="AU104" s="15"/>
      <c r="AV104" s="9"/>
      <c r="AW104" s="15"/>
      <c r="AX104" s="9"/>
      <c r="AY104" s="15"/>
      <c r="AZ104" s="9"/>
      <c r="BA104" s="15"/>
      <c r="BB104" s="9"/>
      <c r="BC104" s="15"/>
      <c r="BD104" s="9"/>
      <c r="BE104" s="15"/>
      <c r="BF104" s="9"/>
      <c r="BG104" s="15"/>
      <c r="BH104" s="9"/>
      <c r="BI104" s="15"/>
      <c r="BJ104" s="127"/>
      <c r="BK104" s="127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  <c r="CO104" s="15"/>
      <c r="CP104" s="9"/>
      <c r="CQ104" s="15"/>
      <c r="CR104" s="9"/>
    </row>
    <row r="105" spans="1:96" x14ac:dyDescent="0.25">
      <c r="A105" s="41"/>
      <c r="B105" s="9"/>
      <c r="C105" s="15"/>
      <c r="D105" s="9"/>
      <c r="E105" s="15"/>
      <c r="F105" s="15">
        <v>3320</v>
      </c>
      <c r="G105" s="15" t="s">
        <v>11912</v>
      </c>
      <c r="H105" s="9"/>
      <c r="I105" s="15"/>
      <c r="J105" s="15"/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15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9"/>
      <c r="AM105" s="15"/>
      <c r="AN105" s="15"/>
      <c r="AO105" s="15"/>
      <c r="AP105" s="15"/>
      <c r="AQ105" s="15"/>
      <c r="AR105" s="9">
        <v>1515.15</v>
      </c>
      <c r="AS105" s="15" t="s">
        <v>12801</v>
      </c>
      <c r="AT105" s="15"/>
      <c r="AU105" s="15"/>
      <c r="AV105" s="9"/>
      <c r="AW105" s="15"/>
      <c r="AX105" s="15"/>
      <c r="AY105" s="15"/>
      <c r="AZ105" s="9"/>
      <c r="BA105" s="15"/>
      <c r="BB105" s="9"/>
      <c r="BC105" s="15"/>
      <c r="BD105" s="9"/>
      <c r="BE105" s="15"/>
      <c r="BF105" s="9"/>
      <c r="BG105" s="15"/>
      <c r="BH105" s="9"/>
      <c r="BI105" s="15"/>
      <c r="BJ105" s="127"/>
      <c r="BK105" s="127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  <c r="CO105" s="15"/>
      <c r="CP105" s="9"/>
      <c r="CQ105" s="15"/>
      <c r="CR105" s="9"/>
    </row>
    <row r="106" spans="1:96" x14ac:dyDescent="0.25">
      <c r="A106" s="41"/>
      <c r="B106" s="9"/>
      <c r="C106" s="15"/>
      <c r="D106" s="9"/>
      <c r="E106" s="15"/>
      <c r="F106" s="9">
        <v>1477.23</v>
      </c>
      <c r="G106" s="15" t="s">
        <v>11913</v>
      </c>
      <c r="H106" s="9"/>
      <c r="I106" s="15"/>
      <c r="J106" s="9"/>
      <c r="K106" s="15"/>
      <c r="L106" s="9"/>
      <c r="M106" s="15"/>
      <c r="N106" s="15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15"/>
      <c r="AA106" s="15"/>
      <c r="AB106" s="9"/>
      <c r="AC106" s="15"/>
      <c r="AD106" s="9"/>
      <c r="AE106" s="15"/>
      <c r="AF106" s="9"/>
      <c r="AG106" s="15"/>
      <c r="AH106" s="15"/>
      <c r="AI106" s="15"/>
      <c r="AJ106" s="15"/>
      <c r="AK106" s="15"/>
      <c r="AL106" s="9"/>
      <c r="AM106" s="15"/>
      <c r="AN106" s="9"/>
      <c r="AO106" s="15"/>
      <c r="AP106" s="9"/>
      <c r="AQ106" s="15"/>
      <c r="AR106" s="95">
        <f>+SUM(AR102:AR105)</f>
        <v>19204.29</v>
      </c>
      <c r="AS106" s="15"/>
      <c r="AT106" s="15"/>
      <c r="AU106" s="15"/>
      <c r="AV106" s="15"/>
      <c r="AW106" s="15"/>
      <c r="AX106" s="9"/>
      <c r="AY106" s="15"/>
      <c r="AZ106" s="9"/>
      <c r="BA106" s="15"/>
      <c r="BB106" s="15"/>
      <c r="BC106" s="15"/>
      <c r="BD106" s="15"/>
      <c r="BE106" s="15"/>
      <c r="BF106" s="9"/>
      <c r="BG106" s="15"/>
      <c r="BH106" s="9"/>
      <c r="BI106" s="15"/>
      <c r="BJ106" s="15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  <c r="CO106" s="15"/>
      <c r="CP106" s="9"/>
      <c r="CQ106" s="15"/>
      <c r="CR106" s="9"/>
    </row>
    <row r="107" spans="1:96" x14ac:dyDescent="0.25">
      <c r="A107" s="41"/>
      <c r="B107" s="9"/>
      <c r="C107" s="15"/>
      <c r="D107" s="15"/>
      <c r="E107" s="15"/>
      <c r="F107" s="9">
        <v>1169</v>
      </c>
      <c r="G107" s="15" t="s">
        <v>11916</v>
      </c>
      <c r="H107" s="9"/>
      <c r="I107" s="15"/>
      <c r="J107" s="9"/>
      <c r="K107" s="15"/>
      <c r="L107" s="15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15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9"/>
      <c r="AU107" s="15"/>
      <c r="AV107" s="15"/>
      <c r="AW107" s="15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9"/>
      <c r="BI107" s="15"/>
      <c r="BJ107" s="15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  <c r="CO107" s="15"/>
      <c r="CP107" s="9"/>
      <c r="CQ107" s="15"/>
      <c r="CR107" s="9"/>
    </row>
    <row r="108" spans="1:96" x14ac:dyDescent="0.25">
      <c r="A108" s="41"/>
      <c r="B108" s="9"/>
      <c r="C108" s="15"/>
      <c r="D108" s="9"/>
      <c r="E108" s="15"/>
      <c r="F108" s="9">
        <v>1422.29</v>
      </c>
      <c r="G108" s="15" t="s">
        <v>11874</v>
      </c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15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  <c r="CO108" s="15"/>
      <c r="CP108" s="9"/>
      <c r="CQ108" s="15"/>
      <c r="CR108" s="9"/>
    </row>
    <row r="109" spans="1:96" x14ac:dyDescent="0.25">
      <c r="A109" s="41"/>
      <c r="B109" s="9"/>
      <c r="C109" s="15"/>
      <c r="D109" s="9"/>
      <c r="E109" s="15"/>
      <c r="F109" s="95">
        <f>+SUM(F100:F108)</f>
        <v>14307.059999999998</v>
      </c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15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  <c r="CO109" s="15"/>
      <c r="CP109" s="9"/>
      <c r="CQ109" s="15"/>
      <c r="CR109" s="9"/>
    </row>
    <row r="110" spans="1:96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3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  <c r="CO110" s="13"/>
      <c r="CP110" s="11"/>
      <c r="CQ110" s="13"/>
      <c r="CR110" s="11"/>
    </row>
    <row r="111" spans="1:96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3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11"/>
      <c r="AS111" s="13"/>
      <c r="AT111" s="23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  <c r="CO111" s="13"/>
      <c r="CP111" s="11"/>
      <c r="CQ111" s="13"/>
      <c r="CR111" s="11"/>
    </row>
    <row r="112" spans="1:96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3"/>
      <c r="AA112" s="13"/>
      <c r="AB112" s="11"/>
      <c r="AC112" s="13"/>
      <c r="AD112" s="14"/>
      <c r="AE112" s="2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1"/>
      <c r="AS112" s="13"/>
      <c r="AT112" s="13"/>
      <c r="AU112" s="13"/>
      <c r="AV112" s="11"/>
      <c r="AW112" s="13"/>
      <c r="AX112" s="11"/>
      <c r="AY112" s="13"/>
      <c r="AZ112" s="9"/>
      <c r="BA112" s="26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  <c r="CO112" s="13"/>
      <c r="CP112" s="11"/>
      <c r="CQ112" s="13"/>
      <c r="CR112" s="11"/>
    </row>
    <row r="113" spans="1:96" x14ac:dyDescent="0.25">
      <c r="A113" s="43"/>
      <c r="B113" s="11"/>
      <c r="C113" s="13"/>
      <c r="D113" s="11"/>
      <c r="E113" s="13"/>
      <c r="F113" s="11"/>
      <c r="G113" s="13"/>
      <c r="H113" s="11"/>
      <c r="I113" s="13"/>
      <c r="J113" s="11"/>
      <c r="K113" s="13"/>
      <c r="L113" s="11"/>
      <c r="M113" s="13"/>
      <c r="N113" s="11"/>
      <c r="O113" s="13"/>
      <c r="P113" s="11"/>
      <c r="Q113" s="13"/>
      <c r="R113" s="11"/>
      <c r="S113" s="13"/>
      <c r="T113" s="11"/>
      <c r="U113" s="13"/>
      <c r="V113" s="11"/>
      <c r="W113" s="13"/>
      <c r="X113" s="11"/>
      <c r="Y113" s="13"/>
      <c r="Z113" s="13"/>
      <c r="AA113" s="13"/>
      <c r="AB113" s="11"/>
      <c r="AC113" s="13"/>
      <c r="AD113" s="14"/>
      <c r="AE113" s="23"/>
      <c r="AF113" s="11"/>
      <c r="AG113" s="13"/>
      <c r="AH113" s="11"/>
      <c r="AI113" s="13"/>
      <c r="AJ113" s="11"/>
      <c r="AK113" s="13"/>
      <c r="AL113" s="11"/>
      <c r="AM113" s="13"/>
      <c r="AN113" s="11"/>
      <c r="AO113" s="13"/>
      <c r="AP113" s="11"/>
      <c r="AQ113" s="13"/>
      <c r="AR113" s="11"/>
      <c r="AS113" s="13"/>
      <c r="AT113" s="13"/>
      <c r="AU113" s="13"/>
      <c r="AV113" s="11"/>
      <c r="AW113" s="13"/>
      <c r="AX113" s="11"/>
      <c r="AY113" s="13"/>
      <c r="AZ113" s="23"/>
      <c r="BA113" s="13"/>
      <c r="BB113" s="11"/>
      <c r="BC113" s="13"/>
      <c r="BD113" s="11"/>
      <c r="BE113" s="13"/>
      <c r="BF113" s="11"/>
      <c r="BG113" s="13"/>
      <c r="BH113" s="11"/>
      <c r="BI113" s="13"/>
      <c r="BJ113" s="11"/>
      <c r="BK113" s="13"/>
      <c r="BL113" s="11"/>
      <c r="BM113" s="13"/>
      <c r="BN113" s="11"/>
      <c r="BO113" s="13"/>
      <c r="BP113" s="11"/>
      <c r="BQ113" s="13"/>
      <c r="BR113" s="11"/>
      <c r="BS113" s="13"/>
      <c r="BT113" s="11"/>
      <c r="BU113" s="13"/>
      <c r="BV113" s="11"/>
      <c r="BW113" s="13"/>
      <c r="BX113" s="11"/>
      <c r="BY113" s="13"/>
      <c r="BZ113" s="11"/>
      <c r="CA113" s="13"/>
      <c r="CB113" s="11"/>
      <c r="CC113" s="13"/>
      <c r="CD113" s="11"/>
      <c r="CE113" s="13"/>
      <c r="CF113" s="11"/>
      <c r="CG113" s="13"/>
      <c r="CH113" s="11"/>
      <c r="CI113" s="13"/>
      <c r="CJ113" s="11"/>
      <c r="CK113" s="13"/>
      <c r="CL113" s="11"/>
      <c r="CM113" s="13"/>
      <c r="CN113" s="11"/>
      <c r="CO113" s="13"/>
      <c r="CP113" s="11"/>
      <c r="CQ113" s="13"/>
      <c r="CR113" s="11"/>
    </row>
    <row r="114" spans="1:96" x14ac:dyDescent="0.25">
      <c r="A114" s="42" t="s">
        <v>7</v>
      </c>
      <c r="B114" s="23"/>
      <c r="C114" s="23"/>
      <c r="D114" s="14"/>
      <c r="E114" s="23"/>
      <c r="F114" s="9"/>
      <c r="G114" s="15"/>
      <c r="H114" s="23"/>
      <c r="I114" s="23"/>
      <c r="J114" s="14">
        <v>2040</v>
      </c>
      <c r="K114" s="23" t="s">
        <v>11998</v>
      </c>
      <c r="L114" s="23"/>
      <c r="M114" s="23"/>
      <c r="N114" s="23"/>
      <c r="O114" s="23"/>
      <c r="P114" s="14">
        <v>1169.01</v>
      </c>
      <c r="Q114" s="23" t="s">
        <v>12110</v>
      </c>
      <c r="R114" s="14">
        <v>7313</v>
      </c>
      <c r="S114" s="23" t="s">
        <v>12131</v>
      </c>
      <c r="T114" s="14">
        <v>5000</v>
      </c>
      <c r="U114" s="23" t="s">
        <v>12173</v>
      </c>
      <c r="V114" s="14">
        <v>1169</v>
      </c>
      <c r="W114" s="23" t="s">
        <v>12227</v>
      </c>
      <c r="X114" s="14">
        <v>7269.51</v>
      </c>
      <c r="Y114" s="23" t="s">
        <v>12279</v>
      </c>
      <c r="Z114" s="23"/>
      <c r="AA114" s="23"/>
      <c r="AB114" s="9"/>
      <c r="AC114" s="15"/>
      <c r="AD114" s="23">
        <v>5840</v>
      </c>
      <c r="AE114" s="23" t="s">
        <v>12413</v>
      </c>
      <c r="AF114" s="23">
        <v>1099.01</v>
      </c>
      <c r="AG114" s="23" t="s">
        <v>12491</v>
      </c>
      <c r="AH114" s="14"/>
      <c r="AI114" s="23"/>
      <c r="AJ114" s="23"/>
      <c r="AK114" s="14"/>
      <c r="AL114" s="23">
        <v>1169</v>
      </c>
      <c r="AM114" s="14" t="s">
        <v>12659</v>
      </c>
      <c r="AN114" s="14">
        <v>2284.34</v>
      </c>
      <c r="AO114" s="23" t="s">
        <v>12686</v>
      </c>
      <c r="AP114" s="14">
        <v>1099.01</v>
      </c>
      <c r="AQ114" s="23" t="s">
        <v>12727</v>
      </c>
      <c r="AR114" s="23"/>
      <c r="AS114" s="23"/>
      <c r="AT114" s="14">
        <v>230.52</v>
      </c>
      <c r="AU114" s="23" t="s">
        <v>13046</v>
      </c>
      <c r="AV114" s="14"/>
      <c r="AW114" s="23"/>
      <c r="AX114" s="14">
        <v>1099.01</v>
      </c>
      <c r="AY114" s="23" t="s">
        <v>12980</v>
      </c>
      <c r="AZ114" s="23"/>
      <c r="BA114" s="23"/>
      <c r="BB114" s="23"/>
      <c r="BC114" s="23"/>
      <c r="BD114" s="14"/>
      <c r="BE114" s="23"/>
      <c r="BF114" s="15"/>
      <c r="BG114" s="15"/>
      <c r="BH114" s="15"/>
      <c r="BI114" s="15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  <c r="CO114" s="23"/>
      <c r="CP114" s="14"/>
      <c r="CQ114" s="23"/>
      <c r="CR114" s="14"/>
    </row>
    <row r="115" spans="1:96" x14ac:dyDescent="0.25">
      <c r="A115" s="42"/>
      <c r="B115" s="14"/>
      <c r="C115" s="23"/>
      <c r="D115" s="14"/>
      <c r="E115" s="23"/>
      <c r="F115" s="14"/>
      <c r="G115" s="23"/>
      <c r="H115" s="14"/>
      <c r="I115" s="23"/>
      <c r="J115" s="14"/>
      <c r="K115" s="23"/>
      <c r="L115" s="14"/>
      <c r="M115" s="23"/>
      <c r="N115" s="14"/>
      <c r="O115" s="23"/>
      <c r="P115" s="14"/>
      <c r="Q115" s="23"/>
      <c r="R115" s="14"/>
      <c r="S115" s="23"/>
      <c r="T115" s="14"/>
      <c r="U115" s="23"/>
      <c r="V115" s="14"/>
      <c r="W115" s="23"/>
      <c r="X115" s="14"/>
      <c r="Y115" s="23"/>
      <c r="Z115" s="23"/>
      <c r="AA115" s="23"/>
      <c r="AB115" s="14"/>
      <c r="AC115" s="23"/>
      <c r="AD115" s="14"/>
      <c r="AE115" s="23"/>
      <c r="AF115" s="14"/>
      <c r="AG115" s="23"/>
      <c r="AH115" s="14"/>
      <c r="AI115" s="23"/>
      <c r="AJ115" s="14"/>
      <c r="AK115" s="23"/>
      <c r="AL115" s="14"/>
      <c r="AM115" s="23"/>
      <c r="AN115" s="14"/>
      <c r="AO115" s="23"/>
      <c r="AP115" s="23"/>
      <c r="AQ115" s="23"/>
      <c r="AR115" s="14"/>
      <c r="AS115" s="23"/>
      <c r="AT115" s="14"/>
      <c r="AU115" s="23"/>
      <c r="AV115" s="14"/>
      <c r="AW115" s="23"/>
      <c r="AX115" s="14"/>
      <c r="AY115" s="23"/>
      <c r="AZ115" s="14"/>
      <c r="BA115" s="23"/>
      <c r="BB115" s="14"/>
      <c r="BC115" s="23"/>
      <c r="BD115" s="14"/>
      <c r="BE115" s="23"/>
      <c r="BF115" s="14"/>
      <c r="BG115" s="23"/>
      <c r="BH115" s="14"/>
      <c r="BI115" s="23"/>
      <c r="BJ115" s="14"/>
      <c r="BK115" s="23"/>
      <c r="BL115" s="14"/>
      <c r="BM115" s="23"/>
      <c r="BN115" s="14"/>
      <c r="BO115" s="23"/>
      <c r="BP115" s="14"/>
      <c r="BQ115" s="23"/>
      <c r="BR115" s="14"/>
      <c r="BS115" s="23"/>
      <c r="BT115" s="14"/>
      <c r="BU115" s="23"/>
      <c r="BV115" s="14"/>
      <c r="BW115" s="23"/>
      <c r="BX115" s="14"/>
      <c r="BY115" s="23"/>
      <c r="BZ115" s="14"/>
      <c r="CA115" s="23"/>
      <c r="CB115" s="14"/>
      <c r="CC115" s="23"/>
      <c r="CD115" s="14"/>
      <c r="CE115" s="23"/>
      <c r="CF115" s="14"/>
      <c r="CG115" s="23"/>
      <c r="CH115" s="14"/>
      <c r="CI115" s="23"/>
      <c r="CJ115" s="14"/>
      <c r="CK115" s="23"/>
      <c r="CL115" s="14"/>
      <c r="CM115" s="23"/>
      <c r="CN115" s="14"/>
      <c r="CO115" s="23"/>
      <c r="CP115" s="14"/>
      <c r="CQ115" s="23"/>
      <c r="CR115" s="14"/>
    </row>
    <row r="116" spans="1:96" x14ac:dyDescent="0.25">
      <c r="A116" s="42"/>
      <c r="B116" s="14"/>
      <c r="C116" s="23"/>
      <c r="D116" s="23"/>
      <c r="E116" s="23"/>
      <c r="F116" s="23"/>
      <c r="G116" s="23"/>
      <c r="H116" s="23"/>
      <c r="I116" s="23"/>
      <c r="J116" s="14"/>
      <c r="K116" s="23"/>
      <c r="L116" s="23"/>
      <c r="M116" s="23"/>
      <c r="N116" s="23"/>
      <c r="O116" s="23"/>
      <c r="P116" s="23"/>
      <c r="Q116" s="23"/>
      <c r="R116" s="14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14"/>
      <c r="AI116" s="23"/>
      <c r="AJ116" s="14"/>
      <c r="AK116" s="23"/>
      <c r="AL116" s="23"/>
      <c r="AM116" s="23"/>
      <c r="AN116" s="23"/>
      <c r="AO116" s="23"/>
      <c r="AP116" s="23">
        <v>3300</v>
      </c>
      <c r="AQ116" s="23" t="s">
        <v>12757</v>
      </c>
      <c r="AR116" s="23"/>
      <c r="AS116" s="23"/>
      <c r="AT116" s="14"/>
      <c r="AU116" s="23"/>
      <c r="AV116" s="14"/>
      <c r="AW116" s="23"/>
      <c r="AX116" s="23"/>
      <c r="AY116" s="23"/>
      <c r="AZ116" s="23"/>
      <c r="BA116" s="23"/>
      <c r="BB116" s="14"/>
      <c r="BC116" s="23"/>
      <c r="BD116" s="23"/>
      <c r="BE116" s="23"/>
      <c r="BF116" s="14"/>
      <c r="BG116" s="23"/>
      <c r="BH116" s="23"/>
      <c r="BI116" s="23"/>
      <c r="BJ116" s="153"/>
      <c r="BK116" s="120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</row>
    <row r="117" spans="1:96" x14ac:dyDescent="0.25">
      <c r="A117" s="43"/>
      <c r="B117" s="23"/>
      <c r="C117" s="13"/>
      <c r="D117" s="11"/>
      <c r="E117" s="13"/>
      <c r="F117" s="11"/>
      <c r="G117" s="13"/>
      <c r="H117" s="11"/>
      <c r="I117" s="13"/>
      <c r="J117" s="13"/>
      <c r="K117" s="13"/>
      <c r="L117" s="11"/>
      <c r="M117" s="13"/>
      <c r="N117" s="11"/>
      <c r="O117" s="13"/>
      <c r="P117" s="23"/>
      <c r="Q117" s="13"/>
      <c r="R117" s="14"/>
      <c r="S117" s="13"/>
      <c r="T117" s="11"/>
      <c r="U117" s="13"/>
      <c r="V117" s="11"/>
      <c r="W117" s="13"/>
      <c r="X117" s="11"/>
      <c r="Y117" s="13"/>
      <c r="Z117" s="13"/>
      <c r="AA117" s="13"/>
      <c r="AB117" s="11"/>
      <c r="AC117" s="13"/>
      <c r="AD117" s="11"/>
      <c r="AE117" s="13"/>
      <c r="AF117" s="11"/>
      <c r="AG117" s="13"/>
      <c r="AH117" s="15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"/>
      <c r="AS117" s="13"/>
      <c r="AT117" s="23"/>
      <c r="AU117" s="13"/>
      <c r="AV117" s="11"/>
      <c r="AW117" s="13"/>
      <c r="AX117" s="11"/>
      <c r="AY117" s="13"/>
      <c r="AZ117" s="11"/>
      <c r="BA117" s="13"/>
      <c r="BB117" s="11"/>
      <c r="BC117" s="13"/>
      <c r="BD117" s="11"/>
      <c r="BE117" s="13"/>
      <c r="BF117" s="15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  <c r="CO117" s="13"/>
      <c r="CP117" s="11"/>
      <c r="CQ117" s="13"/>
      <c r="CR117" s="11"/>
    </row>
    <row r="118" spans="1:96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23"/>
      <c r="S118" s="13"/>
      <c r="T118" s="11"/>
      <c r="U118" s="13"/>
      <c r="V118" s="11"/>
      <c r="W118" s="13"/>
      <c r="X118" s="11"/>
      <c r="Y118" s="13"/>
      <c r="Z118" s="13"/>
      <c r="AA118" s="13"/>
      <c r="AB118" s="11"/>
      <c r="AC118" s="13"/>
      <c r="AD118" s="11"/>
      <c r="AE118" s="13"/>
      <c r="AF118" s="11"/>
      <c r="AG118" s="13"/>
      <c r="AH118" s="11"/>
      <c r="AI118" s="13"/>
      <c r="AJ118" s="23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23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  <c r="CO118" s="13"/>
      <c r="CP118" s="11"/>
      <c r="CQ118" s="13"/>
      <c r="CR118" s="11"/>
    </row>
    <row r="119" spans="1:96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3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  <c r="CO119" s="13"/>
      <c r="CP119" s="11"/>
      <c r="CQ119" s="13"/>
      <c r="CR119" s="11"/>
    </row>
    <row r="120" spans="1:96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3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  <c r="CO120" s="13"/>
      <c r="CP120" s="11"/>
      <c r="CQ120" s="13"/>
      <c r="CR120" s="11"/>
    </row>
    <row r="121" spans="1:96" x14ac:dyDescent="0.25">
      <c r="A121" s="43"/>
      <c r="B121" s="11"/>
      <c r="C121" s="13"/>
      <c r="D121" s="11"/>
      <c r="E121" s="13"/>
      <c r="F121" s="11"/>
      <c r="G121" s="13"/>
      <c r="H121" s="11"/>
      <c r="I121" s="13"/>
      <c r="J121" s="11"/>
      <c r="K121" s="13"/>
      <c r="L121" s="11"/>
      <c r="M121" s="13"/>
      <c r="N121" s="11"/>
      <c r="O121" s="13"/>
      <c r="P121" s="11"/>
      <c r="Q121" s="13"/>
      <c r="R121" s="11"/>
      <c r="S121" s="13"/>
      <c r="T121" s="11"/>
      <c r="U121" s="13"/>
      <c r="V121" s="11"/>
      <c r="W121" s="13"/>
      <c r="X121" s="11"/>
      <c r="Y121" s="13"/>
      <c r="Z121" s="13"/>
      <c r="AA121" s="13"/>
      <c r="AB121" s="11"/>
      <c r="AC121" s="13"/>
      <c r="AD121" s="11"/>
      <c r="AE121" s="13"/>
      <c r="AF121" s="11"/>
      <c r="AG121" s="13"/>
      <c r="AH121" s="11"/>
      <c r="AI121" s="13"/>
      <c r="AJ121" s="11"/>
      <c r="AK121" s="13"/>
      <c r="AL121" s="11"/>
      <c r="AM121" s="13"/>
      <c r="AN121" s="11"/>
      <c r="AO121" s="13"/>
      <c r="AP121" s="11"/>
      <c r="AQ121" s="13"/>
      <c r="AR121" s="11"/>
      <c r="AS121" s="13"/>
      <c r="AT121" s="11"/>
      <c r="AU121" s="13"/>
      <c r="AV121" s="11"/>
      <c r="AW121" s="13"/>
      <c r="AX121" s="11"/>
      <c r="AY121" s="13"/>
      <c r="AZ121" s="11"/>
      <c r="BA121" s="13"/>
      <c r="BB121" s="11"/>
      <c r="BC121" s="13"/>
      <c r="BD121" s="11"/>
      <c r="BE121" s="13"/>
      <c r="BF121" s="11"/>
      <c r="BG121" s="13"/>
      <c r="BH121" s="11"/>
      <c r="BI121" s="13"/>
      <c r="BJ121" s="11"/>
      <c r="BK121" s="13"/>
      <c r="BL121" s="11"/>
      <c r="BM121" s="13"/>
      <c r="BN121" s="11"/>
      <c r="BO121" s="13"/>
      <c r="BP121" s="11"/>
      <c r="BQ121" s="13"/>
      <c r="BR121" s="11"/>
      <c r="BS121" s="13"/>
      <c r="BT121" s="11"/>
      <c r="BU121" s="13"/>
      <c r="BV121" s="11"/>
      <c r="BW121" s="13"/>
      <c r="BX121" s="11"/>
      <c r="BY121" s="13"/>
      <c r="BZ121" s="11"/>
      <c r="CA121" s="13"/>
      <c r="CB121" s="11"/>
      <c r="CC121" s="13"/>
      <c r="CD121" s="11"/>
      <c r="CE121" s="13"/>
      <c r="CF121" s="11"/>
      <c r="CG121" s="13"/>
      <c r="CH121" s="11"/>
      <c r="CI121" s="13"/>
      <c r="CJ121" s="11"/>
      <c r="CK121" s="13"/>
      <c r="CL121" s="11"/>
      <c r="CM121" s="13"/>
      <c r="CN121" s="11"/>
      <c r="CO121" s="13"/>
      <c r="CP121" s="11"/>
      <c r="CQ121" s="13"/>
      <c r="CR121" s="11"/>
    </row>
    <row r="122" spans="1:96" x14ac:dyDescent="0.25">
      <c r="A122" s="42" t="s">
        <v>5</v>
      </c>
      <c r="B122" s="14">
        <f>+B66+B75</f>
        <v>66944.59</v>
      </c>
      <c r="C122" s="23"/>
      <c r="D122" s="14">
        <f>+D61+D69</f>
        <v>14143.95</v>
      </c>
      <c r="E122" s="23"/>
      <c r="F122" s="14">
        <f>+F70</f>
        <v>156866.33000000002</v>
      </c>
      <c r="G122" s="23"/>
      <c r="H122" s="14">
        <f>+H71+H81</f>
        <v>126846.59</v>
      </c>
      <c r="I122" s="23"/>
      <c r="J122" s="14">
        <f>+J66+J77</f>
        <v>63862.921999999991</v>
      </c>
      <c r="K122" s="23"/>
      <c r="L122" s="14">
        <f>+L68</f>
        <v>27791.069999999996</v>
      </c>
      <c r="M122" s="23"/>
      <c r="N122" s="14">
        <f>+N62+N74</f>
        <v>301762.5</v>
      </c>
      <c r="O122" s="23"/>
      <c r="P122" s="14">
        <f>+P65+P74</f>
        <v>37727.25</v>
      </c>
      <c r="Q122" s="23"/>
      <c r="R122" s="14">
        <f>+R59+R74</f>
        <v>31969.949999999993</v>
      </c>
      <c r="S122" s="23"/>
      <c r="T122" s="14">
        <f>+T70+T75</f>
        <v>32919.57</v>
      </c>
      <c r="U122" s="23"/>
      <c r="V122" s="14">
        <f>+V69</f>
        <v>21310.769999999993</v>
      </c>
      <c r="W122" s="23"/>
      <c r="X122" s="14">
        <f>+X69</f>
        <v>40053.360000000008</v>
      </c>
      <c r="Y122" s="23"/>
      <c r="Z122" s="23"/>
      <c r="AA122" s="23"/>
      <c r="AB122" s="14">
        <f>+AB63+AB70</f>
        <v>34122.550000000003</v>
      </c>
      <c r="AC122" s="23"/>
      <c r="AD122" s="14">
        <f>+AD66+AD77</f>
        <v>29055.73</v>
      </c>
      <c r="AE122" s="23"/>
      <c r="AF122" s="14">
        <f>+AF62+AF76</f>
        <v>63144.900000000009</v>
      </c>
      <c r="AG122" s="23"/>
      <c r="AH122" s="14">
        <f>+AH68+AH73</f>
        <v>22668.720000000001</v>
      </c>
      <c r="AI122" s="23"/>
      <c r="AJ122" s="14">
        <f>+AJ73+AJ77</f>
        <v>37970.99</v>
      </c>
      <c r="AK122" s="23"/>
      <c r="AL122" s="14">
        <f>+AL76</f>
        <v>40428.300000000003</v>
      </c>
      <c r="AM122" s="23"/>
      <c r="AN122" s="14">
        <f>+AN70+AN78</f>
        <v>38413.409999999996</v>
      </c>
      <c r="AO122" s="23"/>
      <c r="AP122" s="14">
        <f>+AP66+AP72</f>
        <v>68147.170000000013</v>
      </c>
      <c r="AQ122" s="23"/>
      <c r="AR122" s="14">
        <f>+AR81</f>
        <v>74234.61</v>
      </c>
      <c r="AS122" s="23"/>
      <c r="AT122" s="14">
        <f>+AT69+AT75</f>
        <v>30749.019999999997</v>
      </c>
      <c r="AU122" s="23"/>
      <c r="AV122" s="14">
        <f>+AV76</f>
        <v>65544.66</v>
      </c>
      <c r="AW122" s="23"/>
      <c r="AX122" s="14">
        <f>+AX77</f>
        <v>41018.129999999997</v>
      </c>
      <c r="AY122" s="23"/>
      <c r="AZ122" s="14">
        <f>+AZ78+AZ84</f>
        <v>78430.26999999999</v>
      </c>
      <c r="BA122" s="23"/>
      <c r="BB122" s="14">
        <f>+BB63+BB71</f>
        <v>53651.3</v>
      </c>
      <c r="BC122" s="23"/>
      <c r="BD122" s="14"/>
      <c r="BE122" s="23"/>
      <c r="BF122" s="14"/>
      <c r="BG122" s="23"/>
      <c r="BH122" s="14"/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  <c r="CO122" s="23"/>
      <c r="CP122" s="14"/>
      <c r="CQ122" s="23"/>
      <c r="CR122" s="14"/>
    </row>
    <row r="123" spans="1:96" x14ac:dyDescent="0.25">
      <c r="A123" s="42" t="s">
        <v>8</v>
      </c>
      <c r="B123" s="14">
        <f>+B94</f>
        <v>1821.96</v>
      </c>
      <c r="C123" s="23"/>
      <c r="D123" s="14">
        <f>+D99+D104</f>
        <v>20203.62</v>
      </c>
      <c r="E123" s="23"/>
      <c r="F123" s="14">
        <f>+F98+F109</f>
        <v>44297.659999999996</v>
      </c>
      <c r="G123" s="23"/>
      <c r="H123" s="14">
        <f>+H96+H102</f>
        <v>15976.99</v>
      </c>
      <c r="I123" s="23"/>
      <c r="J123" s="14">
        <f>+J97+J102</f>
        <v>27923.600000000002</v>
      </c>
      <c r="K123" s="23"/>
      <c r="L123" s="14">
        <f>+L99</f>
        <v>15064</v>
      </c>
      <c r="M123" s="23"/>
      <c r="N123" s="14">
        <f>+N95+N99</f>
        <v>7121.49</v>
      </c>
      <c r="O123" s="23"/>
      <c r="P123" s="14">
        <f>+P94+P96</f>
        <v>7282.5900000000011</v>
      </c>
      <c r="Q123" s="23"/>
      <c r="R123" s="14">
        <f>+R96+R102</f>
        <v>19318.849999999999</v>
      </c>
      <c r="S123" s="23"/>
      <c r="T123" s="14">
        <f>+T94</f>
        <v>5408</v>
      </c>
      <c r="U123" s="23"/>
      <c r="V123" s="14">
        <f>+V94+V101</f>
        <v>12444.83</v>
      </c>
      <c r="W123" s="23"/>
      <c r="X123" s="14">
        <f>+X98</f>
        <v>15124.15</v>
      </c>
      <c r="Y123" s="23"/>
      <c r="Z123" s="23"/>
      <c r="AA123" s="23"/>
      <c r="AB123" s="14">
        <f>+AB99</f>
        <v>23324.989999999998</v>
      </c>
      <c r="AC123" s="23"/>
      <c r="AD123" s="14">
        <f>+AD98</f>
        <v>23546.309999999998</v>
      </c>
      <c r="AE123" s="23"/>
      <c r="AF123" s="14">
        <f>+AF97</f>
        <v>11388.72</v>
      </c>
      <c r="AG123" s="23"/>
      <c r="AH123" s="14">
        <f>+AH98</f>
        <v>20018.91</v>
      </c>
      <c r="AI123" s="23"/>
      <c r="AJ123" s="14">
        <f>+AJ92+AJ94</f>
        <v>9340.6899999999987</v>
      </c>
      <c r="AK123" s="23"/>
      <c r="AL123" s="14"/>
      <c r="AM123" s="23"/>
      <c r="AN123" s="14">
        <f>+AN97+AN101</f>
        <v>11770.55</v>
      </c>
      <c r="AO123" s="23"/>
      <c r="AP123" s="14">
        <f>+AP94+AP98</f>
        <v>32013.72</v>
      </c>
      <c r="AQ123" s="23"/>
      <c r="AR123" s="14">
        <f>+AR100+AR106</f>
        <v>35032.740000000005</v>
      </c>
      <c r="AS123" s="23"/>
      <c r="AT123" s="14">
        <f>+AT95</f>
        <v>18919.02</v>
      </c>
      <c r="AU123" s="23"/>
      <c r="AV123" s="14">
        <f>+AV95</f>
        <v>2152.0500000000002</v>
      </c>
      <c r="AW123" s="23"/>
      <c r="AX123" s="14">
        <f>+AX92</f>
        <v>100</v>
      </c>
      <c r="AY123" s="23"/>
      <c r="AZ123" s="14">
        <f>+AZ92</f>
        <v>402.2</v>
      </c>
      <c r="BA123" s="23"/>
      <c r="BB123" s="14">
        <f>+BB97</f>
        <v>14353.720000000001</v>
      </c>
      <c r="BC123" s="23"/>
      <c r="BD123" s="14"/>
      <c r="BE123" s="23"/>
      <c r="BF123" s="14"/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  <c r="CO123" s="23"/>
      <c r="CP123" s="14"/>
      <c r="CQ123" s="23"/>
      <c r="CR123" s="14"/>
    </row>
    <row r="124" spans="1:96" x14ac:dyDescent="0.25">
      <c r="A124" s="42" t="s">
        <v>7</v>
      </c>
      <c r="B124" s="14"/>
      <c r="C124" s="23"/>
      <c r="D124" s="14"/>
      <c r="E124" s="23"/>
      <c r="F124" s="14"/>
      <c r="G124" s="23"/>
      <c r="H124" s="14"/>
      <c r="I124" s="23"/>
      <c r="J124" s="14">
        <f>+J114</f>
        <v>2040</v>
      </c>
      <c r="K124" s="23"/>
      <c r="L124" s="14"/>
      <c r="M124" s="23"/>
      <c r="N124" s="24"/>
      <c r="O124" s="23"/>
      <c r="P124" s="14">
        <f>+P114</f>
        <v>1169.01</v>
      </c>
      <c r="Q124" s="23"/>
      <c r="R124" s="14">
        <f>+R114</f>
        <v>7313</v>
      </c>
      <c r="S124" s="23"/>
      <c r="T124" s="14">
        <f>+T114</f>
        <v>5000</v>
      </c>
      <c r="U124" s="23"/>
      <c r="V124" s="14">
        <f>+V114</f>
        <v>1169</v>
      </c>
      <c r="W124" s="23"/>
      <c r="X124" s="14">
        <f>+X114</f>
        <v>7269.51</v>
      </c>
      <c r="Y124" s="23"/>
      <c r="Z124" s="23"/>
      <c r="AA124" s="23"/>
      <c r="AB124" s="14"/>
      <c r="AC124" s="23"/>
      <c r="AD124" s="14">
        <f>+AD114</f>
        <v>5840</v>
      </c>
      <c r="AE124" s="23"/>
      <c r="AF124" s="14">
        <f>+AF114</f>
        <v>1099.01</v>
      </c>
      <c r="AG124" s="23"/>
      <c r="AH124" s="14"/>
      <c r="AI124" s="23"/>
      <c r="AJ124" s="14"/>
      <c r="AK124" s="23"/>
      <c r="AL124" s="14">
        <f>+AL114</f>
        <v>1169</v>
      </c>
      <c r="AM124" s="23"/>
      <c r="AN124" s="14">
        <f>+AN114</f>
        <v>2284.34</v>
      </c>
      <c r="AO124" s="23"/>
      <c r="AP124" s="14">
        <f>+AP114+AP116</f>
        <v>4399.01</v>
      </c>
      <c r="AQ124" s="23"/>
      <c r="AR124" s="14"/>
      <c r="AS124" s="23"/>
      <c r="AT124" s="14">
        <f>+AT114</f>
        <v>230.52</v>
      </c>
      <c r="AU124" s="23"/>
      <c r="AV124" s="14"/>
      <c r="AW124" s="23"/>
      <c r="AX124" s="14">
        <f>+AX114</f>
        <v>1099.01</v>
      </c>
      <c r="AY124" s="23"/>
      <c r="AZ124" s="14"/>
      <c r="BA124" s="23"/>
      <c r="BB124" s="14"/>
      <c r="BC124" s="23"/>
      <c r="BD124" s="14"/>
      <c r="BE124" s="23"/>
      <c r="BF124" s="14"/>
      <c r="BG124" s="23"/>
      <c r="BH124" s="14"/>
      <c r="BI124" s="23"/>
      <c r="BJ124" s="14"/>
      <c r="BK124" s="23"/>
      <c r="BL124" s="14"/>
      <c r="BM124" s="23"/>
      <c r="BN124" s="14"/>
      <c r="BO124" s="23"/>
      <c r="BP124" s="14"/>
      <c r="BQ124" s="23"/>
      <c r="BR124" s="14"/>
      <c r="BS124" s="23"/>
      <c r="BT124" s="14"/>
      <c r="BU124" s="23"/>
      <c r="BV124" s="14"/>
      <c r="BW124" s="23"/>
      <c r="BX124" s="14"/>
      <c r="BY124" s="23"/>
      <c r="BZ124" s="14"/>
      <c r="CA124" s="23"/>
      <c r="CB124" s="14"/>
      <c r="CC124" s="23"/>
      <c r="CD124" s="14"/>
      <c r="CE124" s="23"/>
      <c r="CF124" s="14"/>
      <c r="CG124" s="23"/>
      <c r="CH124" s="14"/>
      <c r="CI124" s="23"/>
      <c r="CJ124" s="14"/>
      <c r="CK124" s="23"/>
      <c r="CL124" s="14"/>
      <c r="CM124" s="23"/>
      <c r="CN124" s="14"/>
      <c r="CO124" s="23"/>
      <c r="CP124" s="14"/>
      <c r="CQ124" s="23"/>
      <c r="CR124" s="14"/>
    </row>
    <row r="125" spans="1:96" x14ac:dyDescent="0.25">
      <c r="A125" s="44" t="s">
        <v>9</v>
      </c>
      <c r="B125" s="24">
        <f>+B122+B123+B124</f>
        <v>68766.55</v>
      </c>
      <c r="C125" s="24"/>
      <c r="D125" s="24">
        <f>+D122+D123+D124</f>
        <v>34347.57</v>
      </c>
      <c r="E125" s="24"/>
      <c r="F125" s="24">
        <f>+F122+F123+F124</f>
        <v>201163.99000000002</v>
      </c>
      <c r="G125" s="24"/>
      <c r="H125" s="24">
        <f>+H122+H123+H124</f>
        <v>142823.57999999999</v>
      </c>
      <c r="I125" s="24"/>
      <c r="J125" s="24">
        <f>+J122+J123+J124</f>
        <v>93826.521999999997</v>
      </c>
      <c r="K125" s="24"/>
      <c r="L125" s="24">
        <f>+L122+L123+L124</f>
        <v>42855.069999999992</v>
      </c>
      <c r="M125" s="24"/>
      <c r="N125" s="24">
        <f>+N122+N123+N124</f>
        <v>308883.99</v>
      </c>
      <c r="O125" s="24"/>
      <c r="P125" s="24">
        <f>+P122+P123+P124</f>
        <v>46178.850000000006</v>
      </c>
      <c r="Q125" s="24"/>
      <c r="R125" s="24">
        <f>+R122+R123+R124</f>
        <v>58601.799999999988</v>
      </c>
      <c r="S125" s="144"/>
      <c r="T125" s="24">
        <f>+T122+T123+T124</f>
        <v>43327.57</v>
      </c>
      <c r="U125" s="144"/>
      <c r="V125" s="24">
        <f>+V122+V123+V124</f>
        <v>34924.599999999991</v>
      </c>
      <c r="W125" s="144"/>
      <c r="X125" s="24">
        <f>+X122+X123+X124</f>
        <v>62447.020000000011</v>
      </c>
      <c r="Y125" s="144"/>
      <c r="Z125" s="144">
        <v>0</v>
      </c>
      <c r="AA125" s="144"/>
      <c r="AB125" s="24">
        <f>+AB122+AB123+AB124</f>
        <v>57447.54</v>
      </c>
      <c r="AC125" s="144"/>
      <c r="AD125" s="24">
        <f>+AD122+AD123+AD124</f>
        <v>58442.039999999994</v>
      </c>
      <c r="AE125" s="144"/>
      <c r="AF125" s="24">
        <f>+AF122+AF123+AF124</f>
        <v>75632.63</v>
      </c>
      <c r="AG125" s="144"/>
      <c r="AH125" s="24">
        <f>+AH122+AH123+AH124</f>
        <v>42687.630000000005</v>
      </c>
      <c r="AI125" s="144"/>
      <c r="AJ125" s="24">
        <f>+AJ122+AJ123+AJ124</f>
        <v>47311.679999999993</v>
      </c>
      <c r="AK125" s="144"/>
      <c r="AL125" s="24">
        <f>+AL122+AL123+AL124</f>
        <v>41597.300000000003</v>
      </c>
      <c r="AM125" s="144"/>
      <c r="AN125" s="24">
        <f>+AN122+AN123+AN124</f>
        <v>52468.299999999988</v>
      </c>
      <c r="AO125" s="144"/>
      <c r="AP125" s="24">
        <f>+AP122+AP123+AP124</f>
        <v>104559.90000000001</v>
      </c>
      <c r="AQ125" s="144"/>
      <c r="AR125" s="24">
        <f>+AR122+AR123+AR124</f>
        <v>109267.35</v>
      </c>
      <c r="AS125" s="144"/>
      <c r="AT125" s="24">
        <f>+AT122+AT123+AT124</f>
        <v>49898.55999999999</v>
      </c>
      <c r="AU125" s="144"/>
      <c r="AV125" s="24">
        <f>+AV122+AV123+AV124</f>
        <v>67696.710000000006</v>
      </c>
      <c r="AW125" s="144"/>
      <c r="AX125" s="24">
        <f>+AX122+AX123+AX124</f>
        <v>42217.14</v>
      </c>
      <c r="AY125" s="144"/>
      <c r="AZ125" s="24">
        <f>+AZ122+AZ123+AZ124</f>
        <v>78832.469999999987</v>
      </c>
      <c r="BA125" s="144"/>
      <c r="BB125" s="24">
        <f>+BB122+BB123+BB124</f>
        <v>68005.02</v>
      </c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</row>
    <row r="126" spans="1:96" x14ac:dyDescent="0.25">
      <c r="A126" s="44"/>
      <c r="B126" s="24">
        <f>27246.59+39698+1821.96</f>
        <v>68766.55</v>
      </c>
      <c r="C126" s="24"/>
      <c r="D126" s="24">
        <f>2518.53+15948.07+11625.41+4255.55</f>
        <v>34347.56</v>
      </c>
      <c r="E126" s="24"/>
      <c r="F126" s="24">
        <f>29990.6+156866.32+14307.06</f>
        <v>201163.98</v>
      </c>
      <c r="G126" s="24"/>
      <c r="H126" s="24">
        <f>116469.01+9270.72+10377.57+6706.06</f>
        <v>142823.35999999999</v>
      </c>
      <c r="I126" s="24"/>
      <c r="J126" s="24">
        <f>44135.09+22682.83+19727.84+5240.77+2040</f>
        <v>93826.53</v>
      </c>
      <c r="K126" s="24"/>
      <c r="L126" s="24">
        <f>27791.07+15064</f>
        <v>42855.07</v>
      </c>
      <c r="M126" s="24"/>
      <c r="N126" s="24">
        <f>276200+4378+25562.49+2743.48</f>
        <v>308883.96999999997</v>
      </c>
      <c r="O126" s="24"/>
      <c r="P126" s="24">
        <f>4809.25+5336.44+32918+1946.14+1169.01</f>
        <v>46178.840000000004</v>
      </c>
      <c r="Q126" s="24"/>
      <c r="R126" s="24">
        <f>2040+10151.59+7313+29929.95+9167.27</f>
        <v>58601.81</v>
      </c>
      <c r="S126" s="144"/>
      <c r="T126" s="24">
        <f>29419.37+5408+5000+3500.19</f>
        <v>43327.56</v>
      </c>
      <c r="U126" s="144"/>
      <c r="V126" s="24">
        <f>1016.8+1169+21310.77+11428.03</f>
        <v>34924.6</v>
      </c>
      <c r="W126" s="144"/>
      <c r="X126" s="24">
        <f>40053.36+15124.15+7269.51</f>
        <v>62447.020000000004</v>
      </c>
      <c r="Y126" s="144"/>
      <c r="Z126" s="144">
        <v>0</v>
      </c>
      <c r="AA126" s="144"/>
      <c r="AB126" s="24">
        <f>19905.98+14216.57+23324.99</f>
        <v>57447.540000000008</v>
      </c>
      <c r="AC126" s="144"/>
      <c r="AD126" s="24">
        <f>14893.7+14162.03+23546.31+5840</f>
        <v>58442.040000000008</v>
      </c>
      <c r="AE126" s="144"/>
      <c r="AF126" s="24">
        <f>25622.23+37522.57+11388.72+1099.01</f>
        <v>75632.53</v>
      </c>
      <c r="AG126" s="144"/>
      <c r="AH126" s="24">
        <f>14198.22+8470.5+20018.91</f>
        <v>42687.630000000005</v>
      </c>
      <c r="AI126" s="144"/>
      <c r="AJ126" s="24">
        <f>36737.16+3319.99+1233.82+6020.7</f>
        <v>47311.67</v>
      </c>
      <c r="AK126" s="144"/>
      <c r="AL126" s="24">
        <f>40428.31+1169</f>
        <v>41597.31</v>
      </c>
      <c r="AM126" s="144"/>
      <c r="AN126" s="24">
        <f>18767.74+10414.01+19645.64+1356.54+2284.34</f>
        <v>52468.270000000004</v>
      </c>
      <c r="AO126" s="144"/>
      <c r="AP126" s="24">
        <f>33807.75+6263.72+1099.01+34339.41+25750+3300</f>
        <v>104559.89000000001</v>
      </c>
      <c r="AQ126" s="144"/>
      <c r="AR126" s="24">
        <f>15828.45+74234.61+19204.28</f>
        <v>109267.34</v>
      </c>
      <c r="AS126" s="144"/>
      <c r="AT126" s="24">
        <f>22874.96+18919.02+7874.07+230.52</f>
        <v>49898.569999999992</v>
      </c>
      <c r="AU126" s="144"/>
      <c r="AV126" s="24">
        <f>65544.66+2152.05</f>
        <v>67696.710000000006</v>
      </c>
      <c r="AW126" s="144"/>
      <c r="AX126" s="24">
        <f>41018.31+100+1099.01</f>
        <v>42217.32</v>
      </c>
      <c r="AY126" s="144"/>
      <c r="AZ126" s="24">
        <f>56065.34+402.2+22364.93</f>
        <v>78832.47</v>
      </c>
      <c r="BA126" s="144"/>
      <c r="BB126" s="24">
        <f>12820.88+14353.72+40830.42</f>
        <v>68005.01999999999</v>
      </c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</row>
    <row r="127" spans="1:96" x14ac:dyDescent="0.25">
      <c r="A127" s="44" t="s">
        <v>3</v>
      </c>
      <c r="B127" s="263">
        <f>+B125-B126</f>
        <v>0</v>
      </c>
      <c r="C127" s="58"/>
      <c r="D127" s="263">
        <f>+D125-D126</f>
        <v>1.0000000002037268E-2</v>
      </c>
      <c r="E127" s="58"/>
      <c r="F127" s="263">
        <f>+F125-F126</f>
        <v>1.0000000009313226E-2</v>
      </c>
      <c r="G127" s="58"/>
      <c r="H127" s="263">
        <f>+H125-H126</f>
        <v>0.22000000000116415</v>
      </c>
      <c r="I127" s="58"/>
      <c r="J127" s="263">
        <f>+J125-J126</f>
        <v>-8.0000000016298145E-3</v>
      </c>
      <c r="K127" s="58"/>
      <c r="L127" s="263">
        <f>+L125-L126</f>
        <v>0</v>
      </c>
      <c r="M127" s="58"/>
      <c r="N127" s="263">
        <f>+N125-N126</f>
        <v>2.0000000018626451E-2</v>
      </c>
      <c r="O127" s="58"/>
      <c r="P127" s="263">
        <f>+P125-P126</f>
        <v>1.0000000002037268E-2</v>
      </c>
      <c r="Q127" s="58"/>
      <c r="R127" s="263">
        <f>+R125-R126</f>
        <v>-1.0000000009313226E-2</v>
      </c>
      <c r="S127" s="145"/>
      <c r="T127" s="263">
        <f>+T125-T126</f>
        <v>1.0000000002037268E-2</v>
      </c>
      <c r="U127" s="145"/>
      <c r="V127" s="263">
        <f>+V125-V126</f>
        <v>0</v>
      </c>
      <c r="W127" s="145"/>
      <c r="X127" s="263">
        <f>+X125-X126</f>
        <v>0</v>
      </c>
      <c r="Y127" s="145"/>
      <c r="Z127" s="263">
        <f>+Z125-Z126</f>
        <v>0</v>
      </c>
      <c r="AA127" s="145"/>
      <c r="AB127" s="263">
        <f>+AB125-AB126</f>
        <v>0</v>
      </c>
      <c r="AC127" s="145"/>
      <c r="AD127" s="263">
        <f>+AD125-AD126</f>
        <v>0</v>
      </c>
      <c r="AE127" s="145"/>
      <c r="AF127" s="263">
        <f>+AF125-AF126</f>
        <v>0.10000000000582077</v>
      </c>
      <c r="AG127" s="145"/>
      <c r="AH127" s="263">
        <f>+AH125-AH126</f>
        <v>0</v>
      </c>
      <c r="AI127" s="145"/>
      <c r="AJ127" s="263">
        <f>+AJ125-AJ126</f>
        <v>9.9999999947613105E-3</v>
      </c>
      <c r="AK127" s="145"/>
      <c r="AL127" s="263">
        <f>+AL125-AL126</f>
        <v>-9.9999999947613105E-3</v>
      </c>
      <c r="AM127" s="145"/>
      <c r="AN127" s="263">
        <f>+AN125-AN126</f>
        <v>2.9999999984283932E-2</v>
      </c>
      <c r="AO127" s="145"/>
      <c r="AP127" s="263">
        <f>+AP125-AP126</f>
        <v>9.9999999947613105E-3</v>
      </c>
      <c r="AQ127" s="145"/>
      <c r="AR127" s="263">
        <f>+AR125-AR126</f>
        <v>1.0000000009313226E-2</v>
      </c>
      <c r="AS127" s="145"/>
      <c r="AT127" s="263">
        <f>+AT125-AT126</f>
        <v>-1.0000000002037268E-2</v>
      </c>
      <c r="AU127" s="145"/>
      <c r="AV127" s="263">
        <f>+AV125-AV126</f>
        <v>0</v>
      </c>
      <c r="AW127" s="145"/>
      <c r="AX127" s="263">
        <f>+AX125-AX126</f>
        <v>-0.18000000000029104</v>
      </c>
      <c r="AY127" s="145"/>
      <c r="AZ127" s="263">
        <f>+AZ125-AZ126</f>
        <v>0</v>
      </c>
      <c r="BA127" s="145"/>
      <c r="BB127" s="263">
        <f>+BB125-BB126</f>
        <v>0</v>
      </c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</row>
    <row r="128" spans="1:96" x14ac:dyDescent="0.25">
      <c r="A128" s="48"/>
      <c r="B128" s="18"/>
      <c r="C128" s="59"/>
      <c r="D128" s="18"/>
      <c r="E128" s="59"/>
      <c r="F128" s="18"/>
      <c r="G128" s="59"/>
      <c r="H128" s="18"/>
      <c r="I128" s="59"/>
      <c r="J128" s="18"/>
      <c r="K128" s="59"/>
      <c r="L128" s="145"/>
      <c r="M128" s="59"/>
      <c r="N128" s="18"/>
      <c r="O128" s="59"/>
      <c r="P128" s="18"/>
      <c r="Q128" s="59"/>
      <c r="R128" s="18"/>
      <c r="S128" s="59"/>
      <c r="T128" s="18"/>
      <c r="U128" s="59"/>
      <c r="V128" s="18"/>
      <c r="W128" s="59"/>
      <c r="X128" s="18"/>
      <c r="Y128" s="59"/>
      <c r="Z128" s="59"/>
      <c r="AA128" s="59"/>
      <c r="AB128" s="18"/>
      <c r="AC128" s="59"/>
      <c r="AD128" s="18"/>
      <c r="AE128" s="59"/>
      <c r="AF128" s="18"/>
      <c r="AG128" s="59"/>
      <c r="AH128" s="18"/>
      <c r="AI128" s="59"/>
      <c r="AJ128" s="18"/>
      <c r="AK128" s="59"/>
      <c r="AL128" s="18"/>
      <c r="AM128" s="59"/>
      <c r="AN128" s="18"/>
      <c r="AO128" s="59"/>
      <c r="AP128" s="18"/>
      <c r="AQ128" s="59"/>
      <c r="AR128" s="18"/>
      <c r="AS128" s="59"/>
      <c r="AT128" s="18"/>
      <c r="AU128" s="59"/>
      <c r="AV128" s="18"/>
      <c r="AW128" s="59"/>
      <c r="AX128" s="18"/>
      <c r="AY128" s="59"/>
      <c r="AZ128" s="18"/>
      <c r="BA128" s="59"/>
      <c r="BB128" s="18"/>
      <c r="BC128" s="59"/>
      <c r="BD128" s="18"/>
      <c r="BE128" s="59"/>
      <c r="BF128" s="145"/>
      <c r="BG128" s="59"/>
      <c r="BH128" s="18"/>
      <c r="BI128" s="59"/>
      <c r="BJ128" s="18"/>
      <c r="BK128" s="59"/>
      <c r="BL128" s="75"/>
      <c r="BM128" s="25"/>
      <c r="BN128" s="75"/>
      <c r="BO128" s="25"/>
      <c r="BP128" s="75"/>
      <c r="BQ128" s="25"/>
      <c r="BR128" s="75"/>
      <c r="BS128" s="25"/>
      <c r="BT128" s="75"/>
      <c r="BU128" s="25"/>
      <c r="BV128" s="75"/>
      <c r="BW128" s="25"/>
      <c r="BX128" s="75"/>
      <c r="BY128" s="25"/>
      <c r="BZ128" s="75"/>
      <c r="CA128" s="25"/>
      <c r="CB128" s="75"/>
      <c r="CC128" s="25"/>
      <c r="CD128" s="75"/>
      <c r="CE128" s="25"/>
      <c r="CF128" s="75"/>
      <c r="CG128" s="25"/>
      <c r="CH128" s="76"/>
      <c r="CI128" s="234"/>
      <c r="CJ128" s="76"/>
      <c r="CK128" s="234"/>
      <c r="CL128" s="76"/>
      <c r="CM128" s="234"/>
      <c r="CN128" s="76"/>
      <c r="CO128" s="234"/>
      <c r="CP128" s="76"/>
      <c r="CQ128" s="234"/>
      <c r="CR128" s="76"/>
    </row>
    <row r="129" spans="1:96" x14ac:dyDescent="0.25">
      <c r="A129" s="48"/>
      <c r="B129" s="163">
        <v>43010</v>
      </c>
      <c r="C129" s="59"/>
      <c r="D129" s="163">
        <v>43011</v>
      </c>
      <c r="E129" s="59"/>
      <c r="F129" s="163">
        <v>43012</v>
      </c>
      <c r="G129" s="59"/>
      <c r="H129" s="163">
        <v>43013</v>
      </c>
      <c r="I129" s="59"/>
      <c r="J129" s="163">
        <v>43014</v>
      </c>
      <c r="K129" s="25"/>
      <c r="L129" s="163">
        <v>43015</v>
      </c>
      <c r="M129" s="59"/>
      <c r="N129" s="163">
        <v>43017</v>
      </c>
      <c r="O129" s="59"/>
      <c r="P129" s="163">
        <v>43018</v>
      </c>
      <c r="Q129" s="59"/>
      <c r="R129" s="163">
        <v>43019</v>
      </c>
      <c r="S129" s="59"/>
      <c r="T129" s="163">
        <v>43020</v>
      </c>
      <c r="U129" s="59"/>
      <c r="V129" s="163">
        <v>43021</v>
      </c>
      <c r="W129" s="59"/>
      <c r="X129" s="163">
        <v>43022</v>
      </c>
      <c r="Y129" s="59"/>
      <c r="Z129" s="275">
        <v>43023</v>
      </c>
      <c r="AA129" s="59"/>
      <c r="AB129" s="163">
        <v>43024</v>
      </c>
      <c r="AC129" s="59"/>
      <c r="AD129" s="163">
        <v>43025</v>
      </c>
      <c r="AE129" s="59"/>
      <c r="AF129" s="163">
        <v>43026</v>
      </c>
      <c r="AG129" s="59"/>
      <c r="AH129" s="163">
        <v>43027</v>
      </c>
      <c r="AI129" s="59"/>
      <c r="AJ129" s="163">
        <v>43028</v>
      </c>
      <c r="AK129" s="59"/>
      <c r="AL129" s="163">
        <v>43029</v>
      </c>
      <c r="AM129" s="59"/>
      <c r="AN129" s="163">
        <v>43031</v>
      </c>
      <c r="AO129" s="59"/>
      <c r="AP129" s="163">
        <v>43032</v>
      </c>
      <c r="AQ129" s="59"/>
      <c r="AR129" s="163">
        <v>43033</v>
      </c>
      <c r="AS129" s="59"/>
      <c r="AT129" s="163">
        <v>43034</v>
      </c>
      <c r="AU129" s="59"/>
      <c r="AV129" s="163">
        <v>43035</v>
      </c>
      <c r="AW129" s="59"/>
      <c r="AX129" s="163">
        <v>43036</v>
      </c>
      <c r="AY129" s="59"/>
      <c r="AZ129" s="163">
        <v>43038</v>
      </c>
      <c r="BA129" s="59"/>
      <c r="BB129" s="163">
        <v>43039</v>
      </c>
      <c r="BC129" s="59"/>
      <c r="BD129" s="163"/>
      <c r="BE129" s="59"/>
      <c r="BF129" s="163"/>
      <c r="BG129" s="59"/>
      <c r="BH129" s="163"/>
      <c r="BI129" s="59"/>
      <c r="BJ129" s="163"/>
      <c r="BK129" s="59"/>
      <c r="BL129" s="235"/>
      <c r="BM129" s="25"/>
      <c r="BN129" s="75"/>
      <c r="BO129" s="25"/>
      <c r="BP129" s="75"/>
      <c r="BQ129" s="25"/>
      <c r="BR129" s="75"/>
      <c r="BS129" s="25"/>
      <c r="BT129" s="75"/>
      <c r="BU129" s="25"/>
      <c r="BV129" s="75"/>
      <c r="BW129" s="25"/>
      <c r="BX129" s="75"/>
      <c r="BY129" s="25"/>
      <c r="BZ129" s="75"/>
      <c r="CA129" s="25"/>
      <c r="CB129" s="75"/>
      <c r="CC129" s="25"/>
      <c r="CD129" s="75"/>
      <c r="CE129" s="25"/>
      <c r="CF129" s="75"/>
      <c r="CG129" s="25"/>
      <c r="CH129" s="76"/>
      <c r="CI129" s="234"/>
      <c r="CJ129" s="76"/>
      <c r="CK129" s="234"/>
      <c r="CL129" s="76"/>
      <c r="CM129" s="234"/>
      <c r="CN129" s="76"/>
      <c r="CO129" s="234"/>
      <c r="CP129" s="76"/>
      <c r="CQ129" s="234"/>
      <c r="CR129" s="76"/>
    </row>
    <row r="130" spans="1:96" x14ac:dyDescent="0.25">
      <c r="A130" s="37" t="s">
        <v>10</v>
      </c>
      <c r="B130" s="164"/>
      <c r="C130" s="118"/>
      <c r="D130" s="164"/>
      <c r="E130" s="118"/>
      <c r="F130" s="164"/>
      <c r="G130" s="118"/>
      <c r="H130" s="164"/>
      <c r="I130" s="118"/>
      <c r="J130" s="164"/>
      <c r="K130" s="119"/>
      <c r="L130" s="164"/>
      <c r="M130" s="118"/>
      <c r="N130" s="164"/>
      <c r="O130" s="118"/>
      <c r="P130" s="164"/>
      <c r="Q130" s="118"/>
      <c r="R130" s="164"/>
      <c r="S130" s="118"/>
      <c r="T130" s="22"/>
      <c r="U130" s="118"/>
      <c r="V130" s="22"/>
      <c r="W130" s="118"/>
      <c r="X130" s="22"/>
      <c r="Y130" s="118"/>
      <c r="Z130" s="118"/>
      <c r="AA130" s="118"/>
      <c r="AB130" s="164"/>
      <c r="AC130" s="118"/>
      <c r="AD130" s="175"/>
      <c r="AE130" s="118"/>
      <c r="AF130" s="164"/>
      <c r="AG130" s="118"/>
      <c r="AH130" s="164"/>
      <c r="AI130" s="118"/>
      <c r="AJ130" s="164"/>
      <c r="AK130" s="119"/>
      <c r="AL130" s="164"/>
      <c r="AM130" s="118"/>
      <c r="AN130" s="164"/>
      <c r="AO130" s="118"/>
      <c r="AP130" s="164"/>
      <c r="AQ130" s="118"/>
      <c r="AR130" s="164"/>
      <c r="AS130" s="118"/>
      <c r="AT130" s="164"/>
      <c r="AU130" s="118"/>
      <c r="AV130" s="164"/>
      <c r="AW130" s="119"/>
      <c r="AX130" s="164"/>
      <c r="AY130" s="118"/>
      <c r="AZ130" s="164"/>
      <c r="BA130" s="118"/>
      <c r="BB130" s="164"/>
      <c r="BC130" s="118"/>
      <c r="BD130" s="164"/>
      <c r="BE130" s="118"/>
      <c r="BF130" s="164"/>
      <c r="BG130" s="118"/>
      <c r="BH130" s="164"/>
      <c r="BI130" s="118"/>
      <c r="BJ130" s="164"/>
      <c r="BK130" s="118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</row>
    <row r="131" spans="1:96" x14ac:dyDescent="0.25">
      <c r="A131" s="40"/>
      <c r="B131" s="22"/>
      <c r="C131" s="22"/>
      <c r="D131" s="22"/>
      <c r="E131" s="22"/>
      <c r="F131" s="22"/>
      <c r="G131" s="22"/>
      <c r="H131" s="22"/>
      <c r="I131" s="22"/>
      <c r="J131" s="22"/>
      <c r="K131" s="20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9"/>
      <c r="W131" s="120"/>
      <c r="X131" s="9"/>
      <c r="Y131" s="120"/>
      <c r="Z131" s="120"/>
      <c r="AA131" s="120"/>
      <c r="AB131" s="22"/>
      <c r="AC131" s="22"/>
      <c r="AD131" s="22"/>
      <c r="AE131" s="22"/>
      <c r="AF131" s="22"/>
      <c r="AG131" s="22"/>
      <c r="AH131" s="22"/>
      <c r="AI131" s="22"/>
      <c r="AJ131" s="22"/>
      <c r="AK131" s="20"/>
      <c r="AL131" s="22"/>
      <c r="AM131" s="22"/>
      <c r="AN131" s="22"/>
      <c r="AO131" s="22"/>
      <c r="AP131" s="22"/>
      <c r="AQ131" s="22"/>
      <c r="AR131" s="22"/>
      <c r="AS131" s="22"/>
      <c r="AT131" s="22"/>
      <c r="AU131" s="20"/>
      <c r="AV131" s="22"/>
      <c r="AW131" s="20"/>
      <c r="AX131" s="22"/>
      <c r="AY131" s="22"/>
      <c r="AZ131" s="22"/>
      <c r="BA131" s="22"/>
      <c r="BB131" s="22"/>
      <c r="BC131" s="22"/>
      <c r="BD131" s="22"/>
      <c r="BE131" s="22"/>
      <c r="BF131" s="22"/>
      <c r="BG131" s="20"/>
      <c r="BH131" s="22"/>
      <c r="BI131" s="22"/>
      <c r="BJ131" s="22"/>
      <c r="BK131" s="22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</row>
    <row r="132" spans="1:96" x14ac:dyDescent="0.25">
      <c r="A132" s="45"/>
      <c r="B132" s="183">
        <v>60000</v>
      </c>
      <c r="C132" s="153" t="s">
        <v>11743</v>
      </c>
      <c r="D132" s="29">
        <v>9181.31</v>
      </c>
      <c r="E132" s="24" t="s">
        <v>11784</v>
      </c>
      <c r="F132" s="29">
        <v>160.28</v>
      </c>
      <c r="G132" s="24" t="s">
        <v>11836</v>
      </c>
      <c r="H132" s="29">
        <v>17234</v>
      </c>
      <c r="I132" s="24" t="s">
        <v>11850</v>
      </c>
      <c r="J132" s="29">
        <v>11651.42</v>
      </c>
      <c r="K132" s="24" t="s">
        <v>11947</v>
      </c>
      <c r="L132" s="29">
        <v>11651.39</v>
      </c>
      <c r="M132" s="24" t="s">
        <v>12023</v>
      </c>
      <c r="N132" s="29">
        <v>3420.28</v>
      </c>
      <c r="O132" s="24" t="s">
        <v>12006</v>
      </c>
      <c r="P132" s="29">
        <v>38745.22</v>
      </c>
      <c r="Q132" s="24" t="s">
        <v>12086</v>
      </c>
      <c r="R132" s="29">
        <v>24466.14</v>
      </c>
      <c r="S132" s="24" t="s">
        <v>12125</v>
      </c>
      <c r="T132" s="29">
        <v>150000</v>
      </c>
      <c r="U132" s="24" t="s">
        <v>12174</v>
      </c>
      <c r="V132" s="29">
        <v>25358</v>
      </c>
      <c r="W132" s="15" t="s">
        <v>12222</v>
      </c>
      <c r="X132" s="29">
        <v>158000</v>
      </c>
      <c r="Y132" s="15" t="s">
        <v>12281</v>
      </c>
      <c r="Z132" s="256"/>
      <c r="AA132" s="15"/>
      <c r="AB132" s="29">
        <v>2315</v>
      </c>
      <c r="AC132" s="24" t="s">
        <v>12324</v>
      </c>
      <c r="AD132" s="29">
        <v>629800</v>
      </c>
      <c r="AE132" s="24" t="s">
        <v>12356</v>
      </c>
      <c r="AF132" s="29">
        <v>3320</v>
      </c>
      <c r="AG132" s="85" t="s">
        <v>12431</v>
      </c>
      <c r="AH132" s="29">
        <v>1083</v>
      </c>
      <c r="AI132" s="15" t="s">
        <v>12435</v>
      </c>
      <c r="AJ132" s="29">
        <v>2932</v>
      </c>
      <c r="AK132" s="24" t="s">
        <v>12545</v>
      </c>
      <c r="AL132" s="29">
        <v>5000</v>
      </c>
      <c r="AM132" s="85" t="s">
        <v>12639</v>
      </c>
      <c r="AN132" s="29">
        <v>370000</v>
      </c>
      <c r="AO132" s="24" t="s">
        <v>12592</v>
      </c>
      <c r="AP132" s="29">
        <v>500</v>
      </c>
      <c r="AQ132" s="24" t="s">
        <v>12701</v>
      </c>
      <c r="AR132" s="29">
        <v>1401</v>
      </c>
      <c r="AS132" s="184" t="s">
        <v>12748</v>
      </c>
      <c r="AT132" s="29">
        <v>110000</v>
      </c>
      <c r="AU132" s="24" t="s">
        <v>12853</v>
      </c>
      <c r="AV132" s="104">
        <v>227500</v>
      </c>
      <c r="AW132" s="24" t="s">
        <v>12816</v>
      </c>
      <c r="AX132" s="29">
        <v>302884.63</v>
      </c>
      <c r="AY132" s="24" t="s">
        <v>12948</v>
      </c>
      <c r="AZ132" s="29">
        <v>5000</v>
      </c>
      <c r="BA132" s="24" t="s">
        <v>12903</v>
      </c>
      <c r="BB132" s="29">
        <v>100000</v>
      </c>
      <c r="BC132" s="24" t="s">
        <v>13005</v>
      </c>
      <c r="BD132" s="29"/>
      <c r="BE132" s="24"/>
      <c r="BF132" s="29"/>
      <c r="BG132" s="24"/>
      <c r="BH132" s="29"/>
      <c r="BI132" s="24"/>
      <c r="BJ132" s="96"/>
      <c r="BK132" s="15"/>
      <c r="BL132" s="72"/>
      <c r="BM132" s="24"/>
      <c r="BN132" s="72"/>
      <c r="BO132" s="24"/>
      <c r="BP132" s="72"/>
      <c r="BQ132" s="24"/>
      <c r="BR132" s="72"/>
      <c r="BS132" s="24"/>
      <c r="BT132" s="72"/>
      <c r="BU132" s="24"/>
      <c r="BV132" s="72"/>
      <c r="BW132" s="24"/>
      <c r="BX132" s="72"/>
      <c r="BY132" s="24"/>
      <c r="BZ132" s="72"/>
      <c r="CA132" s="24"/>
      <c r="CB132" s="72"/>
      <c r="CC132" s="24"/>
      <c r="CD132" s="72"/>
      <c r="CE132" s="24"/>
      <c r="CF132" s="72"/>
      <c r="CG132" s="24"/>
      <c r="CH132" s="72"/>
      <c r="CI132" s="24"/>
      <c r="CJ132" s="72"/>
      <c r="CK132" s="24"/>
      <c r="CL132" s="72"/>
      <c r="CM132" s="24"/>
      <c r="CN132" s="72"/>
      <c r="CO132" s="24"/>
      <c r="CP132" s="72"/>
      <c r="CQ132" s="24"/>
      <c r="CR132" s="72"/>
    </row>
    <row r="133" spans="1:96" x14ac:dyDescent="0.25">
      <c r="A133" s="45"/>
      <c r="B133" s="183"/>
      <c r="C133" s="153"/>
      <c r="D133" s="29">
        <v>20000</v>
      </c>
      <c r="E133" s="24" t="s">
        <v>11786</v>
      </c>
      <c r="F133" s="29">
        <v>5035</v>
      </c>
      <c r="G133" s="24" t="s">
        <v>11838</v>
      </c>
      <c r="H133" s="29">
        <v>1099</v>
      </c>
      <c r="I133" s="24" t="s">
        <v>11864</v>
      </c>
      <c r="J133" s="29">
        <v>2350</v>
      </c>
      <c r="K133" s="24" t="s">
        <v>11957</v>
      </c>
      <c r="L133" s="29">
        <v>219365.74</v>
      </c>
      <c r="M133" s="24" t="s">
        <v>12026</v>
      </c>
      <c r="N133" s="29">
        <v>9724.81</v>
      </c>
      <c r="O133" s="24" t="s">
        <v>12007</v>
      </c>
      <c r="P133" s="29">
        <v>1846.53</v>
      </c>
      <c r="Q133" s="24" t="s">
        <v>12089</v>
      </c>
      <c r="R133" s="29">
        <v>24056.3</v>
      </c>
      <c r="S133" s="24" t="s">
        <v>12126</v>
      </c>
      <c r="T133" s="29">
        <v>40000</v>
      </c>
      <c r="U133" s="24" t="s">
        <v>12175</v>
      </c>
      <c r="V133" s="29">
        <v>1942</v>
      </c>
      <c r="W133" s="24" t="s">
        <v>12225</v>
      </c>
      <c r="X133" s="29">
        <v>200000</v>
      </c>
      <c r="Y133" s="24" t="s">
        <v>12282</v>
      </c>
      <c r="Z133" s="116"/>
      <c r="AA133" s="24"/>
      <c r="AB133" s="30">
        <v>3239</v>
      </c>
      <c r="AC133" s="15" t="s">
        <v>12312</v>
      </c>
      <c r="AD133" s="29">
        <v>20000</v>
      </c>
      <c r="AE133" s="24" t="s">
        <v>12361</v>
      </c>
      <c r="AF133" s="29"/>
      <c r="AG133" s="85"/>
      <c r="AH133" s="29">
        <v>160000</v>
      </c>
      <c r="AI133" s="85" t="s">
        <v>12436</v>
      </c>
      <c r="AJ133" s="96">
        <v>39602.97</v>
      </c>
      <c r="AK133" s="15" t="s">
        <v>12549</v>
      </c>
      <c r="AL133" s="29">
        <v>7245.63</v>
      </c>
      <c r="AM133" s="85" t="s">
        <v>12643</v>
      </c>
      <c r="AN133" s="29">
        <v>220000</v>
      </c>
      <c r="AO133" s="24" t="s">
        <v>12594</v>
      </c>
      <c r="AP133" s="29">
        <v>100286.78</v>
      </c>
      <c r="AQ133" s="24" t="s">
        <v>12705</v>
      </c>
      <c r="AR133" s="29">
        <v>1099</v>
      </c>
      <c r="AS133" s="184" t="s">
        <v>12754</v>
      </c>
      <c r="AT133" s="29">
        <v>434600</v>
      </c>
      <c r="AU133" s="24" t="s">
        <v>12857</v>
      </c>
      <c r="AV133" s="104">
        <v>115517.52</v>
      </c>
      <c r="AW133" s="24" t="s">
        <v>12818</v>
      </c>
      <c r="AX133" s="29">
        <v>9884.4599999999991</v>
      </c>
      <c r="AY133" s="24" t="s">
        <v>12951</v>
      </c>
      <c r="AZ133" s="29">
        <v>42339.86</v>
      </c>
      <c r="BA133" s="24" t="s">
        <v>12905</v>
      </c>
      <c r="BB133" s="29">
        <v>86000</v>
      </c>
      <c r="BC133" s="24" t="s">
        <v>13010</v>
      </c>
      <c r="BD133" s="29"/>
      <c r="BE133" s="24"/>
      <c r="BF133" s="29"/>
      <c r="BG133" s="24"/>
      <c r="BH133" s="30"/>
      <c r="BI133" s="15"/>
      <c r="BJ133" s="96"/>
      <c r="BK133" s="26"/>
      <c r="BL133" s="72"/>
      <c r="BM133" s="24"/>
      <c r="BN133" s="72"/>
      <c r="BO133" s="24"/>
      <c r="BP133" s="72"/>
      <c r="BQ133" s="24"/>
      <c r="BR133" s="72"/>
      <c r="BS133" s="24"/>
      <c r="BT133" s="72"/>
      <c r="BU133" s="24"/>
      <c r="BV133" s="72"/>
      <c r="BW133" s="24"/>
      <c r="BX133" s="72"/>
      <c r="BY133" s="24"/>
      <c r="BZ133" s="72"/>
      <c r="CA133" s="24"/>
      <c r="CB133" s="72"/>
      <c r="CC133" s="24"/>
      <c r="CD133" s="72"/>
      <c r="CE133" s="24"/>
      <c r="CF133" s="72"/>
      <c r="CG133" s="24"/>
      <c r="CH133" s="72"/>
      <c r="CI133" s="24"/>
      <c r="CJ133" s="72"/>
      <c r="CK133" s="24"/>
      <c r="CL133" s="72"/>
      <c r="CM133" s="24"/>
      <c r="CN133" s="72"/>
      <c r="CO133" s="24"/>
      <c r="CP133" s="72"/>
      <c r="CQ133" s="24"/>
      <c r="CR133" s="72"/>
    </row>
    <row r="134" spans="1:96" x14ac:dyDescent="0.25">
      <c r="A134" s="45"/>
      <c r="B134" s="183">
        <v>6152.73</v>
      </c>
      <c r="C134" s="153" t="s">
        <v>11762</v>
      </c>
      <c r="D134" s="242">
        <f>+D132+D133</f>
        <v>29181.309999999998</v>
      </c>
      <c r="E134" s="15"/>
      <c r="F134" s="97">
        <f>+SUM(F132:F133)</f>
        <v>5195.28</v>
      </c>
      <c r="G134" s="24"/>
      <c r="H134" s="29">
        <v>3250</v>
      </c>
      <c r="I134" s="24" t="s">
        <v>11867</v>
      </c>
      <c r="J134" s="29">
        <v>12660.75</v>
      </c>
      <c r="K134" s="24" t="s">
        <v>11958</v>
      </c>
      <c r="L134" s="29">
        <v>2611</v>
      </c>
      <c r="M134" s="24" t="s">
        <v>12050</v>
      </c>
      <c r="N134" s="29">
        <v>256174.21</v>
      </c>
      <c r="O134" s="24" t="s">
        <v>12008</v>
      </c>
      <c r="P134" s="29">
        <v>2866</v>
      </c>
      <c r="Q134" s="24" t="s">
        <v>12098</v>
      </c>
      <c r="R134" s="29">
        <v>2375.19</v>
      </c>
      <c r="S134" s="24" t="s">
        <v>12133</v>
      </c>
      <c r="T134" s="29">
        <v>40782</v>
      </c>
      <c r="U134" s="24" t="s">
        <v>12176</v>
      </c>
      <c r="V134" s="29">
        <v>5344.87</v>
      </c>
      <c r="W134" s="24" t="s">
        <v>12226</v>
      </c>
      <c r="X134" s="29">
        <v>65000</v>
      </c>
      <c r="Y134" s="24" t="s">
        <v>12283</v>
      </c>
      <c r="Z134" s="116"/>
      <c r="AA134" s="24"/>
      <c r="AB134" s="101">
        <v>43707.7</v>
      </c>
      <c r="AC134" s="57" t="s">
        <v>12317</v>
      </c>
      <c r="AD134" s="29">
        <v>28500</v>
      </c>
      <c r="AE134" s="24" t="s">
        <v>12364</v>
      </c>
      <c r="AF134" s="138">
        <v>55612.75</v>
      </c>
      <c r="AG134" t="s">
        <v>12469</v>
      </c>
      <c r="AH134" s="29">
        <v>100000</v>
      </c>
      <c r="AI134" s="85" t="s">
        <v>12438</v>
      </c>
      <c r="AJ134" s="29">
        <v>356600</v>
      </c>
      <c r="AK134" s="24" t="s">
        <v>12551</v>
      </c>
      <c r="AL134" s="29">
        <v>3384.89</v>
      </c>
      <c r="AM134" s="85" t="s">
        <v>12649</v>
      </c>
      <c r="AN134" s="29">
        <v>135689.35999999999</v>
      </c>
      <c r="AO134" s="24" t="s">
        <v>12595</v>
      </c>
      <c r="AP134" s="29">
        <v>20000</v>
      </c>
      <c r="AQ134" s="24" t="s">
        <v>12706</v>
      </c>
      <c r="AR134" s="97">
        <f>+AR132+AR133</f>
        <v>2500</v>
      </c>
      <c r="AS134" s="184"/>
      <c r="AT134" s="29">
        <v>50000</v>
      </c>
      <c r="AU134" s="24" t="s">
        <v>12859</v>
      </c>
      <c r="AV134" s="29">
        <v>110195</v>
      </c>
      <c r="AW134" s="24" t="s">
        <v>12819</v>
      </c>
      <c r="AX134" s="29">
        <v>2825</v>
      </c>
      <c r="AY134" s="24" t="s">
        <v>12956</v>
      </c>
      <c r="AZ134" s="96">
        <v>130000</v>
      </c>
      <c r="BA134" s="15" t="s">
        <v>12906</v>
      </c>
      <c r="BB134" s="122">
        <v>3502.9</v>
      </c>
      <c r="BC134" s="24" t="s">
        <v>13011</v>
      </c>
      <c r="BD134" s="29"/>
      <c r="BE134" s="24"/>
      <c r="BF134" s="29"/>
      <c r="BG134" s="24"/>
      <c r="BH134" s="101"/>
      <c r="BI134" s="57"/>
      <c r="BJ134" s="122"/>
      <c r="BK134" s="24"/>
      <c r="BL134" s="72"/>
      <c r="BM134" s="24"/>
      <c r="BN134" s="72"/>
      <c r="BO134" s="24"/>
      <c r="BP134" s="72"/>
      <c r="BQ134" s="24"/>
      <c r="BR134" s="72"/>
      <c r="BS134" s="24"/>
      <c r="BT134" s="72"/>
      <c r="BU134" s="24"/>
      <c r="BV134" s="72"/>
      <c r="BW134" s="24"/>
      <c r="BX134" s="72"/>
      <c r="BY134" s="24"/>
      <c r="BZ134" s="72"/>
      <c r="CA134" s="24"/>
      <c r="CB134" s="72"/>
      <c r="CC134" s="24"/>
      <c r="CD134" s="72"/>
      <c r="CE134" s="24"/>
      <c r="CF134" s="72"/>
      <c r="CG134" s="24"/>
      <c r="CH134" s="72"/>
      <c r="CI134" s="24"/>
      <c r="CJ134" s="72"/>
      <c r="CK134" s="24"/>
      <c r="CL134" s="72"/>
      <c r="CM134" s="24"/>
      <c r="CN134" s="72"/>
      <c r="CO134" s="24"/>
      <c r="CP134" s="72"/>
      <c r="CQ134" s="24"/>
      <c r="CR134" s="72"/>
    </row>
    <row r="135" spans="1:96" x14ac:dyDescent="0.25">
      <c r="A135" s="45"/>
      <c r="B135" s="29">
        <v>215000</v>
      </c>
      <c r="C135" s="24" t="s">
        <v>11763</v>
      </c>
      <c r="D135" s="94"/>
      <c r="E135" s="24"/>
      <c r="F135" s="122"/>
      <c r="G135" s="24"/>
      <c r="H135" s="29">
        <v>2814</v>
      </c>
      <c r="I135" s="24" t="s">
        <v>11874</v>
      </c>
      <c r="J135" s="97">
        <f>+SUM(J132:J134)</f>
        <v>26662.17</v>
      </c>
      <c r="K135" s="24"/>
      <c r="L135" s="29">
        <v>13236.47</v>
      </c>
      <c r="M135" s="24" t="s">
        <v>12051</v>
      </c>
      <c r="N135" s="29">
        <v>2024.5</v>
      </c>
      <c r="O135" s="24" t="s">
        <v>12012</v>
      </c>
      <c r="P135" s="97">
        <f>+P134+P132+P133</f>
        <v>43457.75</v>
      </c>
      <c r="Q135" s="24"/>
      <c r="R135" s="29">
        <v>4465</v>
      </c>
      <c r="S135" s="24" t="s">
        <v>12134</v>
      </c>
      <c r="T135" s="29">
        <v>40000</v>
      </c>
      <c r="U135" s="24" t="s">
        <v>12177</v>
      </c>
      <c r="V135" s="29">
        <v>1539.97</v>
      </c>
      <c r="W135" s="24" t="s">
        <v>12230</v>
      </c>
      <c r="X135" s="29">
        <v>2936</v>
      </c>
      <c r="Y135" s="24" t="s">
        <v>12286</v>
      </c>
      <c r="Z135" s="116"/>
      <c r="AA135" s="24"/>
      <c r="AB135" s="31">
        <v>5000</v>
      </c>
      <c r="AC135" s="24" t="s">
        <v>12318</v>
      </c>
      <c r="AD135" s="29">
        <v>49700</v>
      </c>
      <c r="AE135" s="24" t="s">
        <v>12365</v>
      </c>
      <c r="AF135" s="138">
        <v>200000</v>
      </c>
      <c r="AG135" t="s">
        <v>12470</v>
      </c>
      <c r="AH135" s="29">
        <v>100000</v>
      </c>
      <c r="AI135" s="85" t="s">
        <v>12439</v>
      </c>
      <c r="AJ135" s="29">
        <v>235000</v>
      </c>
      <c r="AK135" s="24" t="s">
        <v>12552</v>
      </c>
      <c r="AL135" s="29">
        <v>3320</v>
      </c>
      <c r="AM135" s="85" t="s">
        <v>12650</v>
      </c>
      <c r="AN135" s="29">
        <v>3470.91</v>
      </c>
      <c r="AO135" s="24" t="s">
        <v>12596</v>
      </c>
      <c r="AP135" s="29">
        <v>135.6</v>
      </c>
      <c r="AQ135" s="24" t="s">
        <v>12707</v>
      </c>
      <c r="AR135" s="29"/>
      <c r="AS135" s="184"/>
      <c r="AT135" s="30">
        <v>19500</v>
      </c>
      <c r="AU135" s="15" t="s">
        <v>12862</v>
      </c>
      <c r="AV135" s="29">
        <v>259500</v>
      </c>
      <c r="AW135" s="24" t="s">
        <v>12820</v>
      </c>
      <c r="AX135" s="96">
        <v>3250</v>
      </c>
      <c r="AY135" s="15" t="s">
        <v>12969</v>
      </c>
      <c r="AZ135" s="96">
        <v>220000</v>
      </c>
      <c r="BA135" s="15" t="s">
        <v>12907</v>
      </c>
      <c r="BB135" s="96">
        <v>180783.02</v>
      </c>
      <c r="BC135" s="15" t="s">
        <v>13012</v>
      </c>
      <c r="BD135" s="29"/>
      <c r="BE135" s="24"/>
      <c r="BF135" s="29"/>
      <c r="BG135" s="24"/>
      <c r="BH135" s="104"/>
      <c r="BI135" s="24"/>
      <c r="BJ135" s="122"/>
      <c r="BK135" s="24"/>
      <c r="BL135" s="24"/>
      <c r="BM135" s="24"/>
      <c r="BN135" s="72"/>
      <c r="BO135" s="24"/>
      <c r="BP135" s="72"/>
      <c r="BQ135" s="24"/>
      <c r="BR135" s="72"/>
      <c r="BS135" s="24"/>
      <c r="BT135" s="72"/>
      <c r="BU135" s="24"/>
      <c r="BV135" s="72"/>
      <c r="BW135" s="24"/>
      <c r="BX135" s="72"/>
      <c r="BY135" s="24"/>
      <c r="BZ135" s="72"/>
      <c r="CA135" s="24"/>
      <c r="CB135" s="72"/>
      <c r="CC135" s="24"/>
      <c r="CD135" s="72"/>
      <c r="CE135" s="24"/>
      <c r="CF135" s="72"/>
      <c r="CG135" s="24"/>
      <c r="CH135" s="72"/>
      <c r="CI135" s="24"/>
      <c r="CJ135" s="72"/>
      <c r="CK135" s="24"/>
      <c r="CL135" s="72"/>
      <c r="CM135" s="24"/>
      <c r="CN135" s="72"/>
      <c r="CO135" s="24"/>
      <c r="CP135" s="72"/>
      <c r="CQ135" s="24"/>
      <c r="CR135" s="72"/>
    </row>
    <row r="136" spans="1:96" x14ac:dyDescent="0.25">
      <c r="A136" s="45"/>
      <c r="B136" s="29">
        <v>5050.4799999999996</v>
      </c>
      <c r="C136" s="24" t="s">
        <v>11764</v>
      </c>
      <c r="D136" s="29">
        <v>50000</v>
      </c>
      <c r="E136" s="24" t="s">
        <v>11804</v>
      </c>
      <c r="F136" s="122">
        <v>212000</v>
      </c>
      <c r="G136" s="24" t="s">
        <v>11888</v>
      </c>
      <c r="H136" s="96">
        <v>1995</v>
      </c>
      <c r="I136" s="26" t="s">
        <v>11875</v>
      </c>
      <c r="J136" s="29"/>
      <c r="K136" s="24"/>
      <c r="L136" s="29">
        <v>2134.2600000000002</v>
      </c>
      <c r="M136" s="24" t="s">
        <v>12056</v>
      </c>
      <c r="N136" s="29">
        <v>8456</v>
      </c>
      <c r="O136" s="24" t="s">
        <v>12020</v>
      </c>
      <c r="P136" s="94"/>
      <c r="Q136" s="24"/>
      <c r="R136" s="29">
        <v>3169</v>
      </c>
      <c r="S136" s="24" t="s">
        <v>12137</v>
      </c>
      <c r="T136" s="29">
        <v>30000</v>
      </c>
      <c r="U136" s="24" t="s">
        <v>12178</v>
      </c>
      <c r="V136" s="97">
        <f>+SUM(V132:V135)</f>
        <v>34184.839999999997</v>
      </c>
      <c r="W136" s="24"/>
      <c r="X136" s="29">
        <v>1169</v>
      </c>
      <c r="Y136" s="24" t="s">
        <v>12297</v>
      </c>
      <c r="Z136" s="116"/>
      <c r="AA136" s="24"/>
      <c r="AB136" s="31">
        <v>7582.6</v>
      </c>
      <c r="AC136" s="24" t="s">
        <v>12323</v>
      </c>
      <c r="AD136" s="29">
        <v>50000</v>
      </c>
      <c r="AE136" s="24" t="s">
        <v>12366</v>
      </c>
      <c r="AF136" s="138">
        <v>99000</v>
      </c>
      <c r="AG136" t="s">
        <v>12471</v>
      </c>
      <c r="AH136" s="29">
        <v>100000</v>
      </c>
      <c r="AI136" s="85" t="s">
        <v>12440</v>
      </c>
      <c r="AJ136" s="29">
        <v>313494.93</v>
      </c>
      <c r="AK136" s="72" t="s">
        <v>12553</v>
      </c>
      <c r="AL136" s="29">
        <v>1970</v>
      </c>
      <c r="AM136" s="85" t="s">
        <v>12653</v>
      </c>
      <c r="AN136" s="29">
        <v>81743.86</v>
      </c>
      <c r="AO136" s="24" t="s">
        <v>12598</v>
      </c>
      <c r="AP136" s="96">
        <v>160137.25</v>
      </c>
      <c r="AQ136" s="26" t="s">
        <v>12708</v>
      </c>
      <c r="AR136" s="29">
        <v>175208.07</v>
      </c>
      <c r="AS136" s="184" t="s">
        <v>12775</v>
      </c>
      <c r="AT136" s="30">
        <v>12204.55</v>
      </c>
      <c r="AU136" s="15" t="s">
        <v>12873</v>
      </c>
      <c r="AV136" s="29">
        <v>73000</v>
      </c>
      <c r="AW136" s="24" t="s">
        <v>12821</v>
      </c>
      <c r="AX136" s="96">
        <v>4146</v>
      </c>
      <c r="AY136" s="15" t="s">
        <v>12970</v>
      </c>
      <c r="AZ136" s="29">
        <v>118300</v>
      </c>
      <c r="BA136" s="24" t="s">
        <v>12908</v>
      </c>
      <c r="BB136" s="29">
        <v>185853.16</v>
      </c>
      <c r="BC136" s="24" t="s">
        <v>13013</v>
      </c>
      <c r="BD136" s="29"/>
      <c r="BE136" s="24"/>
      <c r="BF136" s="97"/>
      <c r="BG136" s="24"/>
      <c r="BH136" s="104"/>
      <c r="BI136" s="24"/>
      <c r="BJ136" s="183"/>
      <c r="BK136" s="120"/>
      <c r="BL136" s="24"/>
      <c r="BM136" s="24"/>
      <c r="BN136" s="72"/>
      <c r="BO136" s="24"/>
      <c r="BP136" s="24"/>
      <c r="BQ136" s="24"/>
      <c r="BR136" s="72"/>
      <c r="BS136" s="24"/>
      <c r="BT136" s="72"/>
      <c r="BU136" s="24"/>
      <c r="BV136" s="72"/>
      <c r="BW136" s="24"/>
      <c r="BX136" s="72"/>
      <c r="BY136" s="24"/>
      <c r="BZ136" s="72"/>
      <c r="CA136" s="24"/>
      <c r="CB136" s="72"/>
      <c r="CC136" s="24"/>
      <c r="CD136" s="72"/>
      <c r="CE136" s="24"/>
      <c r="CF136" s="72"/>
      <c r="CG136" s="24"/>
      <c r="CH136" s="72"/>
      <c r="CI136" s="24"/>
      <c r="CJ136" s="72"/>
      <c r="CK136" s="24"/>
      <c r="CL136" s="72"/>
      <c r="CM136" s="24"/>
      <c r="CN136" s="72"/>
      <c r="CO136" s="24"/>
      <c r="CP136" s="72"/>
      <c r="CQ136" s="24"/>
      <c r="CR136" s="72"/>
    </row>
    <row r="137" spans="1:96" x14ac:dyDescent="0.25">
      <c r="A137" s="45"/>
      <c r="B137" s="128">
        <v>9496.17</v>
      </c>
      <c r="C137" s="153" t="s">
        <v>11765</v>
      </c>
      <c r="D137" s="29">
        <v>165000</v>
      </c>
      <c r="E137" s="24" t="s">
        <v>11805</v>
      </c>
      <c r="F137" s="122">
        <v>60000</v>
      </c>
      <c r="G137" s="24" t="s">
        <v>11893</v>
      </c>
      <c r="H137" s="97">
        <f>+SUM(H132:H136)</f>
        <v>26392</v>
      </c>
      <c r="I137" s="24"/>
      <c r="J137" s="260">
        <v>54769.61</v>
      </c>
      <c r="K137" s="24" t="s">
        <v>9715</v>
      </c>
      <c r="L137" s="97">
        <f>+SUM(L132:L136)</f>
        <v>248998.86000000002</v>
      </c>
      <c r="M137" s="24"/>
      <c r="N137" s="242">
        <f>+SUM(N132:N136)</f>
        <v>279799.8</v>
      </c>
      <c r="O137" s="26"/>
      <c r="P137" s="29">
        <v>215000</v>
      </c>
      <c r="Q137" s="24" t="s">
        <v>12099</v>
      </c>
      <c r="R137" s="29">
        <v>1099.01</v>
      </c>
      <c r="S137" s="24" t="s">
        <v>12138</v>
      </c>
      <c r="T137" s="30">
        <v>85459.96</v>
      </c>
      <c r="U137" s="15" t="s">
        <v>12179</v>
      </c>
      <c r="V137" s="94"/>
      <c r="W137" s="24"/>
      <c r="X137" s="97">
        <f>+SUM(X132:X136)</f>
        <v>427105</v>
      </c>
      <c r="Y137" s="24"/>
      <c r="Z137" s="116"/>
      <c r="AA137" s="24"/>
      <c r="AB137" s="183">
        <v>4239</v>
      </c>
      <c r="AC137" s="24" t="s">
        <v>12324</v>
      </c>
      <c r="AD137" s="29">
        <v>662.13</v>
      </c>
      <c r="AE137" s="24" t="s">
        <v>12377</v>
      </c>
      <c r="AF137" s="138">
        <v>2751</v>
      </c>
      <c r="AG137" t="s">
        <v>12480</v>
      </c>
      <c r="AH137" s="29">
        <v>100000</v>
      </c>
      <c r="AI137" s="85" t="s">
        <v>12441</v>
      </c>
      <c r="AJ137" s="29">
        <v>6904</v>
      </c>
      <c r="AK137" s="72" t="s">
        <v>12555</v>
      </c>
      <c r="AL137" s="97">
        <f>+SUM(AL132:AL136)</f>
        <v>20920.52</v>
      </c>
      <c r="AM137" s="85"/>
      <c r="AN137" s="30">
        <v>87995.42</v>
      </c>
      <c r="AO137" s="24" t="s">
        <v>12599</v>
      </c>
      <c r="AP137" s="29">
        <v>24000</v>
      </c>
      <c r="AQ137" s="24" t="s">
        <v>12709</v>
      </c>
      <c r="AR137" s="29">
        <v>12080.77</v>
      </c>
      <c r="AS137" s="184" t="s">
        <v>12777</v>
      </c>
      <c r="AT137" s="29">
        <v>3320</v>
      </c>
      <c r="AU137" s="24" t="s">
        <v>12882</v>
      </c>
      <c r="AV137" s="29">
        <v>70000</v>
      </c>
      <c r="AW137" s="24" t="s">
        <v>12824</v>
      </c>
      <c r="AX137" s="29">
        <v>4910</v>
      </c>
      <c r="AY137" s="24" t="s">
        <v>12976</v>
      </c>
      <c r="AZ137" s="29">
        <v>210000</v>
      </c>
      <c r="BA137" s="24" t="s">
        <v>12909</v>
      </c>
      <c r="BB137" s="29">
        <v>140000</v>
      </c>
      <c r="BC137" s="24" t="s">
        <v>13015</v>
      </c>
      <c r="BD137" s="29"/>
      <c r="BE137" s="24"/>
      <c r="BF137" s="29"/>
      <c r="BG137" s="24"/>
      <c r="BH137" s="146"/>
      <c r="BI137" s="24"/>
      <c r="BJ137" s="183"/>
      <c r="BK137" s="120"/>
      <c r="BL137" s="72"/>
      <c r="BM137" s="24"/>
      <c r="BN137" s="72"/>
      <c r="BO137" s="24"/>
      <c r="BP137" s="72"/>
      <c r="BQ137" s="24"/>
      <c r="BR137" s="72"/>
      <c r="BS137" s="24"/>
      <c r="BT137" s="72"/>
      <c r="BU137" s="24"/>
      <c r="BV137" s="72"/>
      <c r="BW137" s="24"/>
      <c r="BX137" s="72"/>
      <c r="BY137" s="24"/>
      <c r="BZ137" s="72"/>
      <c r="CA137" s="24"/>
      <c r="CB137" s="72"/>
      <c r="CC137" s="24"/>
      <c r="CD137" s="72"/>
      <c r="CE137" s="24"/>
      <c r="CF137" s="72"/>
      <c r="CG137" s="24"/>
      <c r="CH137" s="72"/>
      <c r="CI137" s="24"/>
      <c r="CJ137" s="72"/>
      <c r="CK137" s="24"/>
      <c r="CL137" s="72"/>
      <c r="CM137" s="24"/>
      <c r="CN137" s="72"/>
      <c r="CO137" s="24"/>
      <c r="CP137" s="72"/>
      <c r="CQ137" s="24"/>
      <c r="CR137" s="72"/>
    </row>
    <row r="138" spans="1:96" x14ac:dyDescent="0.25">
      <c r="A138" s="45"/>
      <c r="B138" s="183">
        <v>77300</v>
      </c>
      <c r="C138" s="153" t="s">
        <v>11766</v>
      </c>
      <c r="D138" s="29">
        <v>8500</v>
      </c>
      <c r="E138" s="24" t="s">
        <v>11806</v>
      </c>
      <c r="F138" s="122">
        <v>4004.71</v>
      </c>
      <c r="G138" s="24" t="s">
        <v>11908</v>
      </c>
      <c r="H138" s="29"/>
      <c r="I138" s="24"/>
      <c r="J138" s="96">
        <v>150000</v>
      </c>
      <c r="K138" s="15" t="s">
        <v>11975</v>
      </c>
      <c r="L138" s="29"/>
      <c r="M138" s="24"/>
      <c r="N138" s="122"/>
      <c r="O138" s="24"/>
      <c r="P138" s="29">
        <v>8849.2000000000007</v>
      </c>
      <c r="Q138" s="24" t="s">
        <v>12100</v>
      </c>
      <c r="R138" s="97">
        <f>+SUM(R132:R137)</f>
        <v>59630.640000000007</v>
      </c>
      <c r="S138" s="24"/>
      <c r="T138" s="29">
        <v>2065</v>
      </c>
      <c r="U138" s="24" t="s">
        <v>12186</v>
      </c>
      <c r="V138" s="122">
        <v>99000</v>
      </c>
      <c r="W138" s="24" t="s">
        <v>12233</v>
      </c>
      <c r="X138" s="122"/>
      <c r="Y138" s="24"/>
      <c r="Z138" s="116"/>
      <c r="AA138" s="24"/>
      <c r="AB138" s="183">
        <v>4216</v>
      </c>
      <c r="AC138" s="24" t="s">
        <v>12325</v>
      </c>
      <c r="AD138" s="97">
        <f>+SUM(AD132:AD137)</f>
        <v>778662.13</v>
      </c>
      <c r="AE138" s="24"/>
      <c r="AF138" s="138">
        <v>1995</v>
      </c>
      <c r="AG138" t="s">
        <v>12489</v>
      </c>
      <c r="AH138" s="29">
        <v>100000</v>
      </c>
      <c r="AI138" s="85" t="s">
        <v>12442</v>
      </c>
      <c r="AJ138" s="29">
        <v>454680.1</v>
      </c>
      <c r="AK138" s="24" t="s">
        <v>12556</v>
      </c>
      <c r="AL138" s="96"/>
      <c r="AM138" s="15"/>
      <c r="AN138" s="29">
        <v>5500</v>
      </c>
      <c r="AO138" s="24" t="s">
        <v>12600</v>
      </c>
      <c r="AP138" s="96">
        <v>63551</v>
      </c>
      <c r="AQ138" s="26" t="s">
        <v>12710</v>
      </c>
      <c r="AR138" s="122">
        <v>2064.9699999999998</v>
      </c>
      <c r="AS138" s="184" t="s">
        <v>12778</v>
      </c>
      <c r="AT138" s="29">
        <v>2042.82</v>
      </c>
      <c r="AU138" s="24" t="s">
        <v>12884</v>
      </c>
      <c r="AV138" s="29">
        <v>2315</v>
      </c>
      <c r="AW138" s="24" t="s">
        <v>12830</v>
      </c>
      <c r="AX138" s="96">
        <v>1995</v>
      </c>
      <c r="AY138" s="15" t="s">
        <v>12978</v>
      </c>
      <c r="AZ138" s="96">
        <v>500000</v>
      </c>
      <c r="BA138" s="15" t="s">
        <v>12911</v>
      </c>
      <c r="BB138" s="29">
        <v>22133</v>
      </c>
      <c r="BC138" s="24" t="s">
        <v>13016</v>
      </c>
      <c r="BD138" s="30"/>
      <c r="BE138" s="15"/>
      <c r="BF138" s="29"/>
      <c r="BG138" s="24"/>
      <c r="BH138" s="30"/>
      <c r="BI138" s="24"/>
      <c r="BJ138" s="208"/>
      <c r="BK138" s="120"/>
      <c r="BL138" s="72"/>
      <c r="BM138" s="24"/>
      <c r="BN138" s="24"/>
      <c r="BO138" s="24"/>
      <c r="BP138" s="72"/>
      <c r="BQ138" s="24"/>
      <c r="BR138" s="72"/>
      <c r="BS138" s="24"/>
      <c r="BT138" s="72"/>
      <c r="BU138" s="24"/>
      <c r="BV138" s="72"/>
      <c r="BW138" s="24"/>
      <c r="BX138" s="72"/>
      <c r="BY138" s="24"/>
      <c r="BZ138" s="72"/>
      <c r="CA138" s="24"/>
      <c r="CB138" s="72"/>
      <c r="CC138" s="24"/>
      <c r="CD138" s="72"/>
      <c r="CE138" s="24"/>
      <c r="CF138" s="72"/>
      <c r="CG138" s="24"/>
      <c r="CH138" s="72"/>
      <c r="CI138" s="24"/>
      <c r="CJ138" s="72"/>
      <c r="CK138" s="24"/>
      <c r="CL138" s="72"/>
      <c r="CM138" s="24"/>
      <c r="CN138" s="72"/>
      <c r="CO138" s="24"/>
      <c r="CP138" s="72"/>
      <c r="CQ138" s="24"/>
      <c r="CR138" s="72"/>
    </row>
    <row r="139" spans="1:96" x14ac:dyDescent="0.25">
      <c r="A139" s="45"/>
      <c r="B139" s="183">
        <v>1970</v>
      </c>
      <c r="C139" s="153" t="s">
        <v>11777</v>
      </c>
      <c r="D139" s="104">
        <v>65000</v>
      </c>
      <c r="E139" s="24" t="s">
        <v>11807</v>
      </c>
      <c r="F139" s="122">
        <v>1099</v>
      </c>
      <c r="G139" s="24" t="s">
        <v>11911</v>
      </c>
      <c r="H139" s="29">
        <v>8400</v>
      </c>
      <c r="I139" s="24" t="s">
        <v>11921</v>
      </c>
      <c r="J139" s="122">
        <v>172101.36</v>
      </c>
      <c r="K139" s="24" t="s">
        <v>11978</v>
      </c>
      <c r="L139" s="94"/>
      <c r="M139" s="24"/>
      <c r="N139" s="122">
        <v>1099</v>
      </c>
      <c r="O139" s="24" t="s">
        <v>12067</v>
      </c>
      <c r="P139" s="29">
        <v>1168.99</v>
      </c>
      <c r="Q139" s="24" t="s">
        <v>12109</v>
      </c>
      <c r="R139" s="29"/>
      <c r="S139" s="24"/>
      <c r="T139" s="29">
        <v>3320</v>
      </c>
      <c r="U139" s="24" t="s">
        <v>12187</v>
      </c>
      <c r="V139" s="122">
        <v>242000</v>
      </c>
      <c r="W139" s="24" t="s">
        <v>12235</v>
      </c>
      <c r="X139" s="122"/>
      <c r="Y139" s="24"/>
      <c r="Z139" s="116"/>
      <c r="AA139" s="24"/>
      <c r="AB139" s="151">
        <f>+SUM(AB132:AB138)</f>
        <v>70299.299999999988</v>
      </c>
      <c r="AC139" s="24"/>
      <c r="AD139" s="29"/>
      <c r="AE139" s="24"/>
      <c r="AF139" s="138">
        <v>1970</v>
      </c>
      <c r="AG139" t="s">
        <v>12495</v>
      </c>
      <c r="AH139" s="29">
        <v>100137.25</v>
      </c>
      <c r="AI139" s="85" t="s">
        <v>12443</v>
      </c>
      <c r="AJ139" s="29">
        <v>7220</v>
      </c>
      <c r="AK139" s="24" t="s">
        <v>12563</v>
      </c>
      <c r="AL139" s="29"/>
      <c r="AM139" s="85"/>
      <c r="AN139" s="29">
        <v>327400</v>
      </c>
      <c r="AO139" s="24" t="s">
        <v>12601</v>
      </c>
      <c r="AP139" s="96">
        <v>68000</v>
      </c>
      <c r="AQ139" s="26" t="s">
        <v>12711</v>
      </c>
      <c r="AR139" s="227">
        <v>3991.24</v>
      </c>
      <c r="AS139" s="184" t="s">
        <v>12779</v>
      </c>
      <c r="AT139" s="97">
        <f>+SUM(AT132:AT138)</f>
        <v>631667.37</v>
      </c>
      <c r="AU139" s="24"/>
      <c r="AV139" s="29">
        <v>4239</v>
      </c>
      <c r="AW139" s="24" t="s">
        <v>12831</v>
      </c>
      <c r="AX139" s="105">
        <v>720.96</v>
      </c>
      <c r="AY139" s="106" t="s">
        <v>12984</v>
      </c>
      <c r="AZ139" s="96">
        <v>14277.18</v>
      </c>
      <c r="BA139" s="15" t="s">
        <v>12913</v>
      </c>
      <c r="BB139" s="29">
        <v>60000</v>
      </c>
      <c r="BC139" s="24" t="s">
        <v>13017</v>
      </c>
      <c r="BD139" s="30"/>
      <c r="BE139" s="24"/>
      <c r="BF139" s="29"/>
      <c r="BG139" s="24"/>
      <c r="BH139" s="30"/>
      <c r="BI139" s="24"/>
      <c r="BJ139" s="128"/>
      <c r="BK139" s="120"/>
      <c r="BL139" s="72"/>
      <c r="BM139" s="24"/>
      <c r="BN139" s="72"/>
      <c r="BO139" s="24"/>
      <c r="BP139" s="72"/>
      <c r="BQ139" s="24"/>
      <c r="BR139" s="72"/>
      <c r="BS139" s="24"/>
      <c r="BT139" s="72"/>
      <c r="BU139" s="24"/>
      <c r="BV139" s="72"/>
      <c r="BW139" s="24"/>
      <c r="BX139" s="72"/>
      <c r="BY139" s="24"/>
      <c r="BZ139" s="72"/>
      <c r="CA139" s="24"/>
      <c r="CB139" s="72"/>
      <c r="CC139" s="24"/>
      <c r="CD139" s="72"/>
      <c r="CE139" s="24"/>
      <c r="CF139" s="72"/>
      <c r="CG139" s="24"/>
      <c r="CH139" s="72"/>
      <c r="CI139" s="24"/>
      <c r="CJ139" s="72"/>
      <c r="CK139" s="24"/>
      <c r="CL139" s="72"/>
      <c r="CM139" s="24"/>
      <c r="CN139" s="72"/>
      <c r="CO139" s="24"/>
      <c r="CP139" s="72"/>
      <c r="CQ139" s="24"/>
      <c r="CR139" s="72"/>
    </row>
    <row r="140" spans="1:96" x14ac:dyDescent="0.25">
      <c r="A140" s="41"/>
      <c r="B140" s="183">
        <v>1169</v>
      </c>
      <c r="C140" s="153" t="s">
        <v>11779</v>
      </c>
      <c r="D140" s="30">
        <v>4107.92</v>
      </c>
      <c r="E140" s="15" t="s">
        <v>11808</v>
      </c>
      <c r="F140" s="122">
        <f>1970+70</f>
        <v>2040</v>
      </c>
      <c r="G140" s="24" t="s">
        <v>11917</v>
      </c>
      <c r="H140" s="30">
        <v>330194.48</v>
      </c>
      <c r="I140" s="15" t="s">
        <v>11925</v>
      </c>
      <c r="J140" s="29">
        <v>212500</v>
      </c>
      <c r="K140" s="24" t="s">
        <v>11979</v>
      </c>
      <c r="L140" s="30"/>
      <c r="M140" s="15"/>
      <c r="N140" s="122">
        <v>4395</v>
      </c>
      <c r="O140" s="24" t="s">
        <v>12080</v>
      </c>
      <c r="P140" s="30">
        <v>2040</v>
      </c>
      <c r="Q140" s="15" t="s">
        <v>12111</v>
      </c>
      <c r="R140" s="29">
        <v>5000</v>
      </c>
      <c r="S140" s="15" t="s">
        <v>12141</v>
      </c>
      <c r="T140" s="30">
        <v>3320</v>
      </c>
      <c r="U140" s="15" t="s">
        <v>12188</v>
      </c>
      <c r="V140" s="29">
        <v>49571.42</v>
      </c>
      <c r="W140" s="24" t="s">
        <v>12236</v>
      </c>
      <c r="X140" s="29"/>
      <c r="Y140" s="24"/>
      <c r="Z140" s="116"/>
      <c r="AA140" s="24"/>
      <c r="AB140" s="199"/>
      <c r="AC140" s="24"/>
      <c r="AD140" s="30">
        <v>6473.87</v>
      </c>
      <c r="AE140" s="15" t="s">
        <v>12384</v>
      </c>
      <c r="AF140" s="138">
        <v>19241.07</v>
      </c>
      <c r="AG140" t="s">
        <v>12502</v>
      </c>
      <c r="AH140" s="29">
        <v>328500</v>
      </c>
      <c r="AI140" s="85" t="s">
        <v>12446</v>
      </c>
      <c r="AJ140" s="30">
        <v>5473</v>
      </c>
      <c r="AK140" s="15" t="s">
        <v>12569</v>
      </c>
      <c r="AL140" s="30"/>
      <c r="AM140" s="86"/>
      <c r="AN140" s="30">
        <v>2315</v>
      </c>
      <c r="AO140" s="15" t="s">
        <v>12602</v>
      </c>
      <c r="AP140" s="30">
        <v>200000</v>
      </c>
      <c r="AQ140" s="15" t="s">
        <v>12712</v>
      </c>
      <c r="AR140" s="227">
        <v>6749.92</v>
      </c>
      <c r="AS140" s="184" t="s">
        <v>12780</v>
      </c>
      <c r="AT140" s="30"/>
      <c r="AU140" s="15"/>
      <c r="AV140" s="29">
        <v>1169</v>
      </c>
      <c r="AW140" s="24" t="s">
        <v>12832</v>
      </c>
      <c r="AX140" s="96">
        <v>348</v>
      </c>
      <c r="AY140" s="15" t="s">
        <v>12985</v>
      </c>
      <c r="AZ140" s="96">
        <v>9860.7000000000007</v>
      </c>
      <c r="BA140" s="15" t="s">
        <v>12914</v>
      </c>
      <c r="BB140" s="30">
        <v>194000</v>
      </c>
      <c r="BC140" s="15" t="s">
        <v>13018</v>
      </c>
      <c r="BD140" s="29"/>
      <c r="BE140" s="15"/>
      <c r="BF140" s="30"/>
      <c r="BG140" s="15"/>
      <c r="BH140" s="30"/>
      <c r="BI140" s="15"/>
      <c r="BJ140" s="183"/>
      <c r="BK140" s="127"/>
      <c r="BL140" s="9"/>
      <c r="BM140" s="15"/>
      <c r="BN140" s="9"/>
      <c r="BO140" s="15"/>
      <c r="BP140" s="9"/>
      <c r="BQ140" s="15"/>
      <c r="BR140" s="9"/>
      <c r="BS140" s="15"/>
      <c r="BT140" s="9"/>
      <c r="BU140" s="15"/>
      <c r="BV140" s="9"/>
      <c r="BW140" s="15"/>
      <c r="BX140" s="9"/>
      <c r="BY140" s="15"/>
      <c r="BZ140" s="9"/>
      <c r="CA140" s="15"/>
      <c r="CB140" s="9"/>
      <c r="CC140" s="15"/>
      <c r="CD140" s="9"/>
      <c r="CE140" s="15"/>
      <c r="CF140" s="9"/>
      <c r="CG140" s="15"/>
      <c r="CH140" s="9"/>
      <c r="CI140" s="15"/>
      <c r="CJ140" s="9"/>
      <c r="CK140" s="15"/>
      <c r="CL140" s="9"/>
      <c r="CM140" s="15"/>
      <c r="CN140" s="9"/>
      <c r="CO140" s="15"/>
      <c r="CP140" s="9"/>
      <c r="CQ140" s="15"/>
      <c r="CR140" s="9"/>
    </row>
    <row r="141" spans="1:96" x14ac:dyDescent="0.25">
      <c r="A141" s="45"/>
      <c r="B141" s="151">
        <f>+SUM(B134:B140)</f>
        <v>316138.38</v>
      </c>
      <c r="C141" s="153"/>
      <c r="D141" s="29">
        <v>8437.52</v>
      </c>
      <c r="E141" s="24" t="s">
        <v>11809</v>
      </c>
      <c r="F141" s="242">
        <f>+SUM(F136:F140)</f>
        <v>279143.71000000002</v>
      </c>
      <c r="G141" s="15"/>
      <c r="H141" s="29">
        <v>70457.789999999994</v>
      </c>
      <c r="I141" s="24" t="s">
        <v>11926</v>
      </c>
      <c r="J141" s="29">
        <v>2610.1</v>
      </c>
      <c r="K141" s="24" t="s">
        <v>11982</v>
      </c>
      <c r="L141" s="30"/>
      <c r="M141" s="24"/>
      <c r="N141" s="242">
        <f>+N139+N140</f>
        <v>5494</v>
      </c>
      <c r="O141" s="15"/>
      <c r="P141" s="96">
        <v>5818.93</v>
      </c>
      <c r="Q141" s="15" t="s">
        <v>12112</v>
      </c>
      <c r="R141" s="29">
        <v>60000</v>
      </c>
      <c r="S141" s="15" t="s">
        <v>12145</v>
      </c>
      <c r="T141" s="97">
        <f>+SUM(T132:T140)</f>
        <v>394946.96</v>
      </c>
      <c r="U141" s="24"/>
      <c r="V141" s="29">
        <v>11344.25</v>
      </c>
      <c r="W141" s="24" t="s">
        <v>12237</v>
      </c>
      <c r="X141" s="29"/>
      <c r="Y141" s="24"/>
      <c r="Z141" s="116"/>
      <c r="AA141" s="24"/>
      <c r="AB141" s="183">
        <v>370000</v>
      </c>
      <c r="AC141" s="24" t="s">
        <v>12328</v>
      </c>
      <c r="AD141" s="29">
        <v>10450</v>
      </c>
      <c r="AE141" s="24" t="s">
        <v>12385</v>
      </c>
      <c r="AF141" s="221">
        <f>+SUM(AF134:AF140)</f>
        <v>380569.82</v>
      </c>
      <c r="AH141" s="29">
        <v>63692.36</v>
      </c>
      <c r="AI141" s="85" t="s">
        <v>12447</v>
      </c>
      <c r="AJ141" s="29">
        <v>9863.6200000000008</v>
      </c>
      <c r="AK141" s="24" t="s">
        <v>12570</v>
      </c>
      <c r="AL141" s="29"/>
      <c r="AM141" s="85"/>
      <c r="AN141" s="29">
        <v>2040</v>
      </c>
      <c r="AO141" s="24" t="s">
        <v>12603</v>
      </c>
      <c r="AP141" s="122">
        <v>78200</v>
      </c>
      <c r="AQ141" s="24" t="s">
        <v>12713</v>
      </c>
      <c r="AR141" s="122">
        <v>58555.69</v>
      </c>
      <c r="AS141" s="184" t="s">
        <v>12781</v>
      </c>
      <c r="AT141" s="30">
        <v>20000</v>
      </c>
      <c r="AU141" s="24" t="s">
        <v>13051</v>
      </c>
      <c r="AV141" s="96">
        <v>6525</v>
      </c>
      <c r="AW141" s="15" t="s">
        <v>12836</v>
      </c>
      <c r="AX141" s="242">
        <f>+SUM(AX132:AX140)</f>
        <v>330964.05000000005</v>
      </c>
      <c r="AY141" s="15"/>
      <c r="AZ141" s="96">
        <v>5500</v>
      </c>
      <c r="BA141" s="15" t="s">
        <v>12916</v>
      </c>
      <c r="BB141" s="29">
        <v>140000</v>
      </c>
      <c r="BC141" s="24" t="s">
        <v>13020</v>
      </c>
      <c r="BD141" s="94"/>
      <c r="BE141" s="24"/>
      <c r="BF141" s="29"/>
      <c r="BG141" s="24"/>
      <c r="BH141" s="30"/>
      <c r="BI141" s="15"/>
      <c r="BJ141" s="183"/>
      <c r="BK141" s="127"/>
      <c r="BL141" s="72"/>
      <c r="BM141" s="24"/>
      <c r="BN141" s="72"/>
      <c r="BO141" s="24"/>
      <c r="BP141" s="72"/>
      <c r="BQ141" s="24"/>
      <c r="BR141" s="72"/>
      <c r="BS141" s="24"/>
      <c r="BT141" s="72"/>
      <c r="BU141" s="24"/>
      <c r="BV141" s="72"/>
      <c r="BW141" s="24"/>
      <c r="BX141" s="72"/>
      <c r="BY141" s="24"/>
      <c r="BZ141" s="72"/>
      <c r="CA141" s="24"/>
      <c r="CB141" s="72"/>
      <c r="CC141" s="24"/>
      <c r="CD141" s="72"/>
      <c r="CE141" s="24"/>
      <c r="CF141" s="72"/>
      <c r="CG141" s="24"/>
      <c r="CH141" s="72"/>
      <c r="CI141" s="24"/>
      <c r="CJ141" s="72"/>
      <c r="CK141" s="24"/>
      <c r="CL141" s="72"/>
      <c r="CM141" s="24"/>
      <c r="CN141" s="72"/>
      <c r="CO141" s="24"/>
      <c r="CP141" s="72"/>
      <c r="CQ141" s="24"/>
      <c r="CR141" s="72"/>
    </row>
    <row r="142" spans="1:96" x14ac:dyDescent="0.25">
      <c r="A142" s="45"/>
      <c r="B142" s="183"/>
      <c r="C142" s="153"/>
      <c r="D142" s="29">
        <v>7152.22</v>
      </c>
      <c r="E142" s="24" t="s">
        <v>11810</v>
      </c>
      <c r="F142" s="122"/>
      <c r="G142" s="24"/>
      <c r="H142" s="29">
        <v>1657</v>
      </c>
      <c r="I142" s="24" t="s">
        <v>11936</v>
      </c>
      <c r="J142" s="29">
        <v>1169</v>
      </c>
      <c r="K142" s="24" t="s">
        <v>11996</v>
      </c>
      <c r="L142" s="30"/>
      <c r="M142" s="24"/>
      <c r="N142" s="96"/>
      <c r="O142" s="15"/>
      <c r="P142" s="29">
        <v>3727</v>
      </c>
      <c r="Q142" s="24" t="s">
        <v>12117</v>
      </c>
      <c r="R142" s="29">
        <v>70000</v>
      </c>
      <c r="S142" s="24" t="s">
        <v>12146</v>
      </c>
      <c r="T142" s="96"/>
      <c r="U142" s="26"/>
      <c r="V142" s="29">
        <v>40816.81</v>
      </c>
      <c r="W142" s="24" t="s">
        <v>12238</v>
      </c>
      <c r="X142" s="94"/>
      <c r="Y142" s="24"/>
      <c r="Z142" s="116"/>
      <c r="AA142" s="24"/>
      <c r="AB142" s="122">
        <v>260.33</v>
      </c>
      <c r="AC142" s="24" t="s">
        <v>12333</v>
      </c>
      <c r="AD142" s="29">
        <v>3670.09</v>
      </c>
      <c r="AE142" s="24" t="s">
        <v>12386</v>
      </c>
      <c r="AF142" s="138"/>
      <c r="AH142" s="31">
        <v>12147.29</v>
      </c>
      <c r="AI142" s="85" t="s">
        <v>12448</v>
      </c>
      <c r="AJ142" s="242">
        <f>+SUM(AJ132:AJ141)</f>
        <v>1431770.62</v>
      </c>
      <c r="AK142" s="26"/>
      <c r="AL142" s="29"/>
      <c r="AM142" s="85"/>
      <c r="AN142" s="29">
        <v>1169</v>
      </c>
      <c r="AO142" s="24" t="s">
        <v>12604</v>
      </c>
      <c r="AP142" s="29">
        <v>50000</v>
      </c>
      <c r="AQ142" s="24" t="s">
        <v>12714</v>
      </c>
      <c r="AR142" s="29">
        <v>5000</v>
      </c>
      <c r="AS142" s="184" t="s">
        <v>12783</v>
      </c>
      <c r="AT142" s="29">
        <v>9071.2900000000009</v>
      </c>
      <c r="AU142" s="24" t="s">
        <v>13052</v>
      </c>
      <c r="AV142" s="30">
        <v>6569</v>
      </c>
      <c r="AW142" s="15" t="s">
        <v>12846</v>
      </c>
      <c r="AX142" s="105"/>
      <c r="AY142" s="106"/>
      <c r="AZ142" s="105">
        <v>351600</v>
      </c>
      <c r="BA142" s="106" t="s">
        <v>12917</v>
      </c>
      <c r="BB142" s="29">
        <v>128200</v>
      </c>
      <c r="BC142" s="24" t="s">
        <v>13021</v>
      </c>
      <c r="BD142" s="29"/>
      <c r="BE142" s="24"/>
      <c r="BF142" s="29"/>
      <c r="BG142" s="24"/>
      <c r="BH142" s="29"/>
      <c r="BI142" s="24"/>
      <c r="BJ142" s="183"/>
      <c r="BK142" s="127"/>
      <c r="BL142" s="72"/>
      <c r="BM142" s="24"/>
      <c r="BN142" s="72"/>
      <c r="BO142" s="24"/>
      <c r="BP142" s="72"/>
      <c r="BQ142" s="24"/>
      <c r="BR142" s="72"/>
      <c r="BS142" s="24"/>
      <c r="BT142" s="72"/>
      <c r="BU142" s="24"/>
      <c r="BV142" s="72"/>
      <c r="BW142" s="24"/>
      <c r="BX142" s="72"/>
      <c r="BY142" s="24"/>
      <c r="BZ142" s="72"/>
      <c r="CA142" s="24"/>
      <c r="CB142" s="72"/>
      <c r="CC142" s="24"/>
      <c r="CD142" s="72"/>
      <c r="CE142" s="24"/>
      <c r="CF142" s="72"/>
      <c r="CG142" s="24"/>
      <c r="CH142" s="72"/>
      <c r="CI142" s="24"/>
      <c r="CJ142" s="72"/>
      <c r="CK142" s="24"/>
      <c r="CL142" s="72"/>
      <c r="CM142" s="24"/>
      <c r="CN142" s="72"/>
      <c r="CO142" s="24"/>
      <c r="CP142" s="72"/>
      <c r="CQ142" s="24"/>
      <c r="CR142" s="72"/>
    </row>
    <row r="143" spans="1:96" x14ac:dyDescent="0.25">
      <c r="A143" s="45"/>
      <c r="B143" s="183"/>
      <c r="C143" s="153"/>
      <c r="D143" s="29">
        <v>8783.9699999999993</v>
      </c>
      <c r="E143" s="24" t="s">
        <v>11811</v>
      </c>
      <c r="F143" s="122"/>
      <c r="G143" s="24"/>
      <c r="H143" s="29">
        <v>3320</v>
      </c>
      <c r="I143" s="24" t="s">
        <v>11942</v>
      </c>
      <c r="J143" s="29">
        <v>3320</v>
      </c>
      <c r="K143" s="24" t="s">
        <v>11997</v>
      </c>
      <c r="L143" s="98"/>
      <c r="M143" s="24"/>
      <c r="N143" s="29"/>
      <c r="O143" s="24"/>
      <c r="P143" s="97">
        <f>+SUM(P137:P142)</f>
        <v>236604.12</v>
      </c>
      <c r="Q143" s="24"/>
      <c r="R143" s="29">
        <v>20000</v>
      </c>
      <c r="S143" s="15" t="s">
        <v>12147</v>
      </c>
      <c r="T143" s="267">
        <v>84435.86</v>
      </c>
      <c r="U143" s="24" t="s">
        <v>12206</v>
      </c>
      <c r="V143" s="31">
        <v>2804.31</v>
      </c>
      <c r="W143" s="24" t="s">
        <v>12242</v>
      </c>
      <c r="X143" s="32"/>
      <c r="Y143" s="24"/>
      <c r="Z143" s="116"/>
      <c r="AA143" s="24"/>
      <c r="AB143" s="122">
        <v>3250</v>
      </c>
      <c r="AC143" s="24" t="s">
        <v>12339</v>
      </c>
      <c r="AD143" s="31">
        <v>52591.61</v>
      </c>
      <c r="AE143" s="24" t="s">
        <v>12387</v>
      </c>
      <c r="AF143" s="138"/>
      <c r="AH143" s="31">
        <v>829.18</v>
      </c>
      <c r="AI143" s="85" t="s">
        <v>12451</v>
      </c>
      <c r="AJ143" s="256"/>
      <c r="AK143" s="15"/>
      <c r="AL143" s="29"/>
      <c r="AM143" s="85"/>
      <c r="AN143" s="29">
        <v>1169</v>
      </c>
      <c r="AO143" s="24" t="s">
        <v>12619</v>
      </c>
      <c r="AP143" s="29">
        <v>50000</v>
      </c>
      <c r="AQ143" s="24" t="s">
        <v>12715</v>
      </c>
      <c r="AR143" s="29">
        <v>26052.86</v>
      </c>
      <c r="AS143" s="184" t="s">
        <v>12785</v>
      </c>
      <c r="AT143" s="29">
        <v>11031.33</v>
      </c>
      <c r="AU143" s="24" t="s">
        <v>13053</v>
      </c>
      <c r="AV143" s="29">
        <v>3417</v>
      </c>
      <c r="AW143" s="24" t="s">
        <v>12850</v>
      </c>
      <c r="AX143" s="94"/>
      <c r="AY143" s="108"/>
      <c r="AZ143" s="105">
        <v>95000</v>
      </c>
      <c r="BA143" s="106" t="s">
        <v>12918</v>
      </c>
      <c r="BB143" s="29">
        <v>100137.25</v>
      </c>
      <c r="BC143" s="24" t="s">
        <v>13023</v>
      </c>
      <c r="BD143" s="29"/>
      <c r="BE143" s="24"/>
      <c r="BF143" s="94"/>
      <c r="BG143" s="24"/>
      <c r="BH143" s="29"/>
      <c r="BI143" s="24"/>
      <c r="BJ143" s="183"/>
      <c r="BK143" s="127"/>
      <c r="BL143" s="72"/>
      <c r="BM143" s="24"/>
      <c r="BN143" s="72"/>
      <c r="BO143" s="24"/>
      <c r="BP143" s="72"/>
      <c r="BQ143" s="24"/>
      <c r="BR143" s="72"/>
      <c r="BS143" s="24"/>
      <c r="BT143" s="72"/>
      <c r="BU143" s="24"/>
      <c r="BV143" s="72"/>
      <c r="BW143" s="24"/>
      <c r="BX143" s="72"/>
      <c r="BY143" s="24"/>
      <c r="BZ143" s="72"/>
      <c r="CA143" s="24"/>
      <c r="CB143" s="72"/>
      <c r="CC143" s="24"/>
      <c r="CD143" s="72"/>
      <c r="CE143" s="24"/>
      <c r="CF143" s="72"/>
      <c r="CG143" s="24"/>
      <c r="CH143" s="72"/>
      <c r="CI143" s="24"/>
      <c r="CJ143" s="72"/>
      <c r="CK143" s="24"/>
      <c r="CL143" s="72"/>
      <c r="CM143" s="24"/>
      <c r="CN143" s="72"/>
      <c r="CO143" s="24"/>
      <c r="CP143" s="72"/>
      <c r="CQ143" s="24"/>
      <c r="CR143" s="72"/>
    </row>
    <row r="144" spans="1:96" x14ac:dyDescent="0.25">
      <c r="A144" s="45"/>
      <c r="B144" s="183"/>
      <c r="C144" s="153"/>
      <c r="D144" s="29">
        <v>108000</v>
      </c>
      <c r="E144" s="24" t="s">
        <v>11814</v>
      </c>
      <c r="F144" s="122"/>
      <c r="G144" s="24"/>
      <c r="H144" s="97">
        <f>+SUM(H139:H143)</f>
        <v>414029.26999999996</v>
      </c>
      <c r="I144" s="24"/>
      <c r="J144" s="31">
        <v>4630.57</v>
      </c>
      <c r="K144" s="15" t="s">
        <v>11999</v>
      </c>
      <c r="L144" s="30"/>
      <c r="M144" s="24"/>
      <c r="N144" s="29"/>
      <c r="O144" s="24"/>
      <c r="P144" s="29"/>
      <c r="Q144" s="24"/>
      <c r="R144" s="29">
        <v>4216</v>
      </c>
      <c r="S144" s="24" t="s">
        <v>12153</v>
      </c>
      <c r="T144" s="122">
        <v>236100</v>
      </c>
      <c r="U144" s="24" t="s">
        <v>12207</v>
      </c>
      <c r="V144" s="31">
        <v>3320</v>
      </c>
      <c r="W144" s="24" t="s">
        <v>12243</v>
      </c>
      <c r="X144" s="32"/>
      <c r="Y144" s="24"/>
      <c r="Z144" s="116"/>
      <c r="AA144" s="24"/>
      <c r="AB144" s="122">
        <v>1099</v>
      </c>
      <c r="AC144" s="24" t="s">
        <v>12342</v>
      </c>
      <c r="AD144" s="29">
        <v>52553.2</v>
      </c>
      <c r="AE144" s="24" t="s">
        <v>12388</v>
      </c>
      <c r="AF144" s="138"/>
      <c r="AH144" s="31">
        <v>1169</v>
      </c>
      <c r="AI144" s="86" t="s">
        <v>12452</v>
      </c>
      <c r="AJ144" s="96">
        <v>300000</v>
      </c>
      <c r="AK144" s="15" t="s">
        <v>12584</v>
      </c>
      <c r="AL144" s="94"/>
      <c r="AM144" s="85"/>
      <c r="AN144" s="97">
        <f>+SUM(AN132:AN143)</f>
        <v>1238492.55</v>
      </c>
      <c r="AO144" s="24"/>
      <c r="AP144" s="29">
        <v>50000</v>
      </c>
      <c r="AQ144" s="24" t="s">
        <v>12716</v>
      </c>
      <c r="AR144" s="29">
        <v>1169</v>
      </c>
      <c r="AS144" s="184" t="s">
        <v>12786</v>
      </c>
      <c r="AT144" s="29">
        <v>1044</v>
      </c>
      <c r="AU144" s="24" t="s">
        <v>13056</v>
      </c>
      <c r="AV144" s="96">
        <v>1573.48</v>
      </c>
      <c r="AW144" s="15" t="s">
        <v>12832</v>
      </c>
      <c r="AX144" s="30"/>
      <c r="AY144" s="106"/>
      <c r="AZ144" s="105">
        <v>140000</v>
      </c>
      <c r="BA144" s="106" t="s">
        <v>12919</v>
      </c>
      <c r="BB144" s="29">
        <v>30000</v>
      </c>
      <c r="BC144" s="24" t="s">
        <v>13026</v>
      </c>
      <c r="BD144" s="29"/>
      <c r="BE144" s="24"/>
      <c r="BF144" s="29"/>
      <c r="BG144" s="24"/>
      <c r="BH144" s="29"/>
      <c r="BI144" s="24"/>
      <c r="BJ144" s="96"/>
      <c r="BK144" s="15"/>
      <c r="BL144" s="72"/>
      <c r="BM144" s="24"/>
      <c r="BN144" s="72"/>
      <c r="BO144" s="24"/>
      <c r="BP144" s="72"/>
      <c r="BQ144" s="24"/>
      <c r="BR144" s="72"/>
      <c r="BS144" s="24"/>
      <c r="BT144" s="72"/>
      <c r="BU144" s="24"/>
      <c r="BV144" s="72"/>
      <c r="BW144" s="24"/>
      <c r="BX144" s="72"/>
      <c r="BY144" s="24"/>
      <c r="BZ144" s="72"/>
      <c r="CA144" s="24"/>
      <c r="CB144" s="72"/>
      <c r="CC144" s="24"/>
      <c r="CD144" s="72"/>
      <c r="CE144" s="24"/>
      <c r="CF144" s="72"/>
      <c r="CG144" s="24"/>
      <c r="CH144" s="72"/>
      <c r="CI144" s="24"/>
      <c r="CJ144" s="72"/>
      <c r="CK144" s="24"/>
      <c r="CL144" s="72"/>
      <c r="CM144" s="24"/>
      <c r="CN144" s="72"/>
      <c r="CO144" s="24"/>
      <c r="CP144" s="72"/>
      <c r="CQ144" s="24"/>
      <c r="CR144" s="72"/>
    </row>
    <row r="145" spans="1:96" x14ac:dyDescent="0.25">
      <c r="A145" s="45"/>
      <c r="B145" s="183"/>
      <c r="C145" s="153"/>
      <c r="D145" s="29">
        <v>1099</v>
      </c>
      <c r="E145" s="24" t="s">
        <v>11819</v>
      </c>
      <c r="F145" s="122"/>
      <c r="G145" s="24"/>
      <c r="H145" s="31"/>
      <c r="I145" s="15"/>
      <c r="J145" s="169">
        <f>+SUM(J137:J144)</f>
        <v>601100.6399999999</v>
      </c>
      <c r="K145" s="57"/>
      <c r="L145" s="29"/>
      <c r="M145" s="24"/>
      <c r="N145" s="29"/>
      <c r="O145" s="24"/>
      <c r="P145" s="31"/>
      <c r="Q145" s="24"/>
      <c r="R145" s="148">
        <f>+SUM(R140:R144)</f>
        <v>159216</v>
      </c>
      <c r="S145" s="24"/>
      <c r="T145" s="104">
        <v>2060</v>
      </c>
      <c r="U145" s="24" t="s">
        <v>12211</v>
      </c>
      <c r="V145" s="122">
        <v>2935.99</v>
      </c>
      <c r="W145" s="24" t="s">
        <v>12244</v>
      </c>
      <c r="X145" s="29"/>
      <c r="Y145" s="24"/>
      <c r="Z145" s="116"/>
      <c r="AA145" s="24"/>
      <c r="AB145" s="29">
        <v>1099</v>
      </c>
      <c r="AC145" s="24" t="s">
        <v>12352</v>
      </c>
      <c r="AD145" s="29">
        <v>9285.2199999999993</v>
      </c>
      <c r="AE145" s="24" t="s">
        <v>12389</v>
      </c>
      <c r="AF145" s="138"/>
      <c r="AH145" s="31">
        <v>1169</v>
      </c>
      <c r="AI145" s="86" t="s">
        <v>12460</v>
      </c>
      <c r="AJ145" s="29">
        <v>50000</v>
      </c>
      <c r="AK145" s="24" t="s">
        <v>12585</v>
      </c>
      <c r="AL145" s="29"/>
      <c r="AM145" s="85"/>
      <c r="AN145" s="29"/>
      <c r="AO145" s="24"/>
      <c r="AP145" s="29">
        <v>7635</v>
      </c>
      <c r="AQ145" s="24" t="s">
        <v>12719</v>
      </c>
      <c r="AR145" s="29">
        <v>4727.67</v>
      </c>
      <c r="AS145" s="184" t="s">
        <v>12797</v>
      </c>
      <c r="AT145" s="97">
        <f>+SUM(AT141:AT144)</f>
        <v>41146.620000000003</v>
      </c>
      <c r="AU145" s="24"/>
      <c r="AV145" s="242">
        <f>+SUM(AV132:AV144)</f>
        <v>881520</v>
      </c>
      <c r="AW145" s="15"/>
      <c r="AX145" s="29"/>
      <c r="AY145" s="108"/>
      <c r="AZ145" s="29">
        <v>2936</v>
      </c>
      <c r="BA145" s="108" t="s">
        <v>12931</v>
      </c>
      <c r="BB145" s="30">
        <v>12781.36</v>
      </c>
      <c r="BC145" s="24" t="s">
        <v>13027</v>
      </c>
      <c r="BD145" s="29"/>
      <c r="BE145" s="24"/>
      <c r="BF145" s="29"/>
      <c r="BG145" s="24"/>
      <c r="BH145" s="29"/>
      <c r="BI145" s="24"/>
      <c r="BJ145" s="96"/>
      <c r="BK145" s="15"/>
      <c r="BL145" s="72"/>
      <c r="BM145" s="24"/>
      <c r="BN145" s="72"/>
      <c r="BO145" s="24"/>
      <c r="BP145" s="72"/>
      <c r="BQ145" s="24"/>
      <c r="BR145" s="24"/>
      <c r="BS145" s="24"/>
      <c r="BT145" s="72"/>
      <c r="BU145" s="24"/>
      <c r="BV145" s="72"/>
      <c r="BW145" s="24"/>
      <c r="BX145" s="72"/>
      <c r="BY145" s="24"/>
      <c r="BZ145" s="72"/>
      <c r="CA145" s="24"/>
      <c r="CB145" s="72"/>
      <c r="CC145" s="24"/>
      <c r="CD145" s="72"/>
      <c r="CE145" s="24"/>
      <c r="CF145" s="72"/>
      <c r="CG145" s="24"/>
      <c r="CH145" s="72"/>
      <c r="CI145" s="24"/>
      <c r="CJ145" s="72"/>
      <c r="CK145" s="24"/>
      <c r="CL145" s="72"/>
      <c r="CM145" s="24"/>
      <c r="CN145" s="72"/>
      <c r="CO145" s="24"/>
      <c r="CP145" s="72"/>
      <c r="CQ145" s="24"/>
      <c r="CR145" s="72"/>
    </row>
    <row r="146" spans="1:96" x14ac:dyDescent="0.25">
      <c r="A146" s="41"/>
      <c r="B146" s="116"/>
      <c r="C146" s="24"/>
      <c r="D146" s="242">
        <f>+SUM(D136:D145)</f>
        <v>426080.62999999995</v>
      </c>
      <c r="E146" s="26"/>
      <c r="F146" s="116"/>
      <c r="G146" s="15"/>
      <c r="H146" s="96"/>
      <c r="I146" s="15"/>
      <c r="J146" s="31"/>
      <c r="K146" s="24"/>
      <c r="L146" s="30"/>
      <c r="M146" s="15"/>
      <c r="N146" s="30"/>
      <c r="O146" s="15"/>
      <c r="P146" s="30"/>
      <c r="Q146" s="15"/>
      <c r="R146" s="31"/>
      <c r="S146" s="15"/>
      <c r="T146" s="96">
        <v>5948.77</v>
      </c>
      <c r="U146" s="15" t="s">
        <v>12212</v>
      </c>
      <c r="V146" s="30">
        <v>1970</v>
      </c>
      <c r="W146" s="15" t="s">
        <v>12245</v>
      </c>
      <c r="X146" s="30"/>
      <c r="Y146" s="15"/>
      <c r="Z146" s="256"/>
      <c r="AA146" s="15"/>
      <c r="AB146" s="30">
        <v>2040</v>
      </c>
      <c r="AC146" s="15" t="s">
        <v>12354</v>
      </c>
      <c r="AD146" s="30">
        <v>194.49</v>
      </c>
      <c r="AE146" s="15" t="s">
        <v>12392</v>
      </c>
      <c r="AF146" s="138"/>
      <c r="AH146" s="31">
        <v>4707.3500000000004</v>
      </c>
      <c r="AI146" s="85" t="s">
        <v>12464</v>
      </c>
      <c r="AJ146" s="30">
        <v>2459.9299999999998</v>
      </c>
      <c r="AK146" s="15" t="s">
        <v>12588</v>
      </c>
      <c r="AL146" s="30"/>
      <c r="AM146" s="15"/>
      <c r="AN146" s="30">
        <v>2754.44</v>
      </c>
      <c r="AO146" s="15" t="s">
        <v>12676</v>
      </c>
      <c r="AP146" s="30">
        <v>2040</v>
      </c>
      <c r="AQ146" s="15" t="s">
        <v>12728</v>
      </c>
      <c r="AR146" s="100">
        <f>+SUM(AR136:AR145)</f>
        <v>295600.19</v>
      </c>
      <c r="AS146" s="185"/>
      <c r="AT146" s="30"/>
      <c r="AU146" s="15"/>
      <c r="AV146" s="94"/>
      <c r="AW146" s="24"/>
      <c r="AX146" s="30"/>
      <c r="AY146" s="108"/>
      <c r="AZ146" s="30">
        <v>4146</v>
      </c>
      <c r="BA146" s="106" t="s">
        <v>12939</v>
      </c>
      <c r="BB146" s="30">
        <v>8548.01</v>
      </c>
      <c r="BC146" s="15" t="s">
        <v>13032</v>
      </c>
      <c r="BD146" s="30"/>
      <c r="BE146" s="15"/>
      <c r="BF146" s="30"/>
      <c r="BG146" s="15"/>
      <c r="BH146" s="30"/>
      <c r="BI146" s="15"/>
      <c r="BJ146" s="183"/>
      <c r="BK146" s="127"/>
      <c r="BL146" s="72"/>
      <c r="BM146" s="15"/>
      <c r="BN146" s="9"/>
      <c r="BO146" s="15"/>
      <c r="BP146" s="9"/>
      <c r="BQ146" s="15"/>
      <c r="BR146" s="9"/>
      <c r="BS146" s="15"/>
      <c r="BT146" s="9"/>
      <c r="BU146" s="15"/>
      <c r="BV146" s="9"/>
      <c r="BW146" s="15"/>
      <c r="BX146" s="9"/>
      <c r="BY146" s="15"/>
      <c r="BZ146" s="9"/>
      <c r="CA146" s="15"/>
      <c r="CB146" s="9"/>
      <c r="CC146" s="15"/>
      <c r="CD146" s="9"/>
      <c r="CE146" s="15"/>
      <c r="CF146" s="9"/>
      <c r="CG146" s="15"/>
      <c r="CH146" s="9"/>
      <c r="CI146" s="15"/>
      <c r="CJ146" s="9"/>
      <c r="CK146" s="15"/>
      <c r="CL146" s="9"/>
      <c r="CM146" s="15"/>
      <c r="CN146" s="9"/>
      <c r="CO146" s="15"/>
      <c r="CP146" s="9"/>
      <c r="CQ146" s="15"/>
      <c r="CR146" s="9"/>
    </row>
    <row r="147" spans="1:96" x14ac:dyDescent="0.25">
      <c r="A147" s="50"/>
      <c r="B147" s="104"/>
      <c r="C147" s="24"/>
      <c r="D147" s="32"/>
      <c r="E147" s="57"/>
      <c r="F147" s="165"/>
      <c r="G147" s="57"/>
      <c r="H147" s="31"/>
      <c r="I147" s="24"/>
      <c r="J147" s="264"/>
      <c r="K147" s="24"/>
      <c r="L147" s="104"/>
      <c r="M147" s="57"/>
      <c r="N147" s="94"/>
      <c r="O147" s="57"/>
      <c r="P147" s="101"/>
      <c r="Q147" s="57"/>
      <c r="R147" s="101"/>
      <c r="S147" s="57"/>
      <c r="T147" s="165">
        <v>1169</v>
      </c>
      <c r="U147" s="57" t="s">
        <v>12215</v>
      </c>
      <c r="V147" s="101">
        <v>1168.99</v>
      </c>
      <c r="W147" s="57" t="s">
        <v>12246</v>
      </c>
      <c r="X147" s="63"/>
      <c r="Y147" s="57"/>
      <c r="Z147" s="276"/>
      <c r="AA147" s="57"/>
      <c r="AB147" s="169">
        <f>+SUM(AB141:AB146)</f>
        <v>377748.33</v>
      </c>
      <c r="AC147" s="57"/>
      <c r="AD147" s="101">
        <v>173000</v>
      </c>
      <c r="AE147" s="57" t="s">
        <v>12396</v>
      </c>
      <c r="AF147" s="138"/>
      <c r="AH147" s="104">
        <v>14072.98</v>
      </c>
      <c r="AI147" s="24" t="s">
        <v>12465</v>
      </c>
      <c r="AJ147" s="101">
        <v>2611.3000000000002</v>
      </c>
      <c r="AK147" s="57" t="s">
        <v>12589</v>
      </c>
      <c r="AL147" s="63"/>
      <c r="AM147" s="57"/>
      <c r="AN147" s="101">
        <v>5500</v>
      </c>
      <c r="AO147" s="57" t="s">
        <v>12678</v>
      </c>
      <c r="AP147" s="29">
        <v>2390</v>
      </c>
      <c r="AQ147" s="57" t="s">
        <v>12728</v>
      </c>
      <c r="AR147" s="63"/>
      <c r="AS147" s="186"/>
      <c r="AT147" s="101"/>
      <c r="AU147" s="57"/>
      <c r="AV147" s="98">
        <v>2800</v>
      </c>
      <c r="AW147" s="57" t="s">
        <v>12885</v>
      </c>
      <c r="AX147" s="29"/>
      <c r="AY147" s="108"/>
      <c r="AZ147" s="97">
        <f>+SUM(AZ132:AZ146)</f>
        <v>1848959.7399999998</v>
      </c>
      <c r="BA147" s="108"/>
      <c r="BB147" s="96">
        <v>1099</v>
      </c>
      <c r="BC147" s="26" t="s">
        <v>13037</v>
      </c>
      <c r="BD147" s="101"/>
      <c r="BE147" s="57"/>
      <c r="BF147" s="101"/>
      <c r="BG147" s="57"/>
      <c r="BH147" s="101"/>
      <c r="BI147" s="57"/>
      <c r="BJ147" s="183"/>
      <c r="BK147" s="127"/>
      <c r="BL147" s="73"/>
      <c r="BM147" s="57"/>
      <c r="BN147" s="73"/>
      <c r="BO147" s="57"/>
      <c r="BP147" s="57"/>
      <c r="BQ147" s="57"/>
      <c r="BR147" s="73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</row>
    <row r="148" spans="1:96" x14ac:dyDescent="0.25">
      <c r="A148" s="46"/>
      <c r="B148" s="114"/>
      <c r="C148" s="13"/>
      <c r="D148" s="31"/>
      <c r="E148" s="24"/>
      <c r="F148" s="104"/>
      <c r="G148" s="24"/>
      <c r="H148" s="32"/>
      <c r="I148" s="24"/>
      <c r="J148" s="31"/>
      <c r="K148" s="24"/>
      <c r="L148" s="104"/>
      <c r="M148" s="24"/>
      <c r="N148" s="31"/>
      <c r="O148" s="24"/>
      <c r="P148" s="31"/>
      <c r="Q148" s="24"/>
      <c r="R148" s="31"/>
      <c r="S148" s="24"/>
      <c r="T148" s="115">
        <f>+SUM(T143:T147)</f>
        <v>329713.63</v>
      </c>
      <c r="U148" s="24"/>
      <c r="V148" s="31">
        <v>4465</v>
      </c>
      <c r="W148" s="24" t="s">
        <v>12256</v>
      </c>
      <c r="X148" s="31"/>
      <c r="Y148" s="24"/>
      <c r="Z148" s="116"/>
      <c r="AA148" s="24"/>
      <c r="AB148" s="31"/>
      <c r="AC148" s="24"/>
      <c r="AD148" s="31">
        <v>327400</v>
      </c>
      <c r="AE148" s="24" t="s">
        <v>12397</v>
      </c>
      <c r="AF148" s="138"/>
      <c r="AH148" s="104">
        <v>2450.1999999999998</v>
      </c>
      <c r="AI148" s="86" t="s">
        <v>12456</v>
      </c>
      <c r="AJ148" s="148">
        <f>+SUM(AJ144:AJ147)</f>
        <v>355071.23</v>
      </c>
      <c r="AK148" s="24"/>
      <c r="AL148" s="31"/>
      <c r="AM148" s="24"/>
      <c r="AN148" s="31">
        <v>16481.07</v>
      </c>
      <c r="AO148" s="24" t="s">
        <v>12633</v>
      </c>
      <c r="AP148" s="148">
        <f>+SUM(AP132:AP147)</f>
        <v>876875.63</v>
      </c>
      <c r="AQ148" s="24"/>
      <c r="AR148" s="31"/>
      <c r="AS148" s="184"/>
      <c r="AT148" s="31"/>
      <c r="AU148" s="24"/>
      <c r="AV148" s="30">
        <v>75000</v>
      </c>
      <c r="AW148" s="24" t="s">
        <v>12887</v>
      </c>
      <c r="AX148" s="78"/>
      <c r="AY148" s="106"/>
      <c r="AZ148" s="78"/>
      <c r="BA148" s="106"/>
      <c r="BB148" s="31">
        <v>5161</v>
      </c>
      <c r="BC148" s="24" t="s">
        <v>13039</v>
      </c>
      <c r="BD148" s="122"/>
      <c r="BE148" s="24"/>
      <c r="BF148" s="104"/>
      <c r="BG148" s="24"/>
      <c r="BH148" s="104"/>
      <c r="BI148" s="24"/>
      <c r="BJ148" s="183"/>
      <c r="BK148" s="127"/>
      <c r="BL148" s="72"/>
      <c r="BM148" s="24"/>
      <c r="BN148" s="72"/>
      <c r="BO148" s="24"/>
      <c r="BP148" s="72"/>
      <c r="BQ148" s="24"/>
      <c r="BR148" s="72"/>
      <c r="BS148" s="24"/>
      <c r="BT148" s="72"/>
      <c r="BU148" s="24"/>
      <c r="BV148" s="72"/>
      <c r="BW148" s="24"/>
      <c r="BX148" s="72"/>
      <c r="BY148" s="24"/>
      <c r="BZ148" s="72"/>
      <c r="CA148" s="24"/>
      <c r="CB148" s="72"/>
      <c r="CC148" s="24"/>
      <c r="CD148" s="72"/>
      <c r="CE148" s="24"/>
      <c r="CF148" s="72"/>
      <c r="CG148" s="24"/>
      <c r="CH148" s="72"/>
      <c r="CI148" s="24"/>
      <c r="CJ148" s="72"/>
      <c r="CK148" s="24"/>
      <c r="CL148" s="72"/>
      <c r="CM148" s="24"/>
      <c r="CN148" s="72"/>
      <c r="CO148" s="24"/>
      <c r="CP148" s="72"/>
      <c r="CQ148" s="24"/>
      <c r="CR148" s="72"/>
    </row>
    <row r="149" spans="1:96" x14ac:dyDescent="0.25">
      <c r="A149" s="46"/>
      <c r="B149" s="96"/>
      <c r="C149" s="15"/>
      <c r="D149" s="31"/>
      <c r="E149" s="24"/>
      <c r="F149" s="104"/>
      <c r="G149" s="24"/>
      <c r="H149" s="31"/>
      <c r="I149" s="24"/>
      <c r="J149" s="104"/>
      <c r="K149" s="24"/>
      <c r="L149" s="31"/>
      <c r="M149" s="24"/>
      <c r="N149" s="104"/>
      <c r="O149" s="24"/>
      <c r="P149" s="104"/>
      <c r="Q149" s="24"/>
      <c r="R149" s="31"/>
      <c r="S149" s="24"/>
      <c r="T149" s="96"/>
      <c r="U149" s="26"/>
      <c r="V149" s="31">
        <v>2088</v>
      </c>
      <c r="W149" s="24" t="s">
        <v>12266</v>
      </c>
      <c r="X149" s="31"/>
      <c r="Y149" s="24"/>
      <c r="Z149" s="116"/>
      <c r="AA149" s="24"/>
      <c r="AB149" s="31"/>
      <c r="AC149" s="24"/>
      <c r="AD149" s="104">
        <v>1621</v>
      </c>
      <c r="AE149" s="24" t="s">
        <v>12401</v>
      </c>
      <c r="AF149" s="138"/>
      <c r="AH149" s="241">
        <f>+SUM(AH132:AH148)</f>
        <v>1189957.6100000001</v>
      </c>
      <c r="AI149" s="127"/>
      <c r="AJ149" s="32"/>
      <c r="AK149" s="24"/>
      <c r="AL149" s="32"/>
      <c r="AM149" s="24"/>
      <c r="AN149" s="104">
        <v>3498.15</v>
      </c>
      <c r="AO149" s="24" t="s">
        <v>12680</v>
      </c>
      <c r="AP149" s="31"/>
      <c r="AQ149" s="24"/>
      <c r="AR149" s="104"/>
      <c r="AS149" s="185"/>
      <c r="AT149" s="31"/>
      <c r="AU149" s="24"/>
      <c r="AV149" s="104">
        <v>100000</v>
      </c>
      <c r="AW149" s="26" t="s">
        <v>12890</v>
      </c>
      <c r="AX149" s="78"/>
      <c r="AY149" s="106"/>
      <c r="AZ149" s="78">
        <v>495000</v>
      </c>
      <c r="BA149" s="106" t="s">
        <v>12990</v>
      </c>
      <c r="BB149" s="148">
        <f>+SUM(BB132:BB148)</f>
        <v>1398198.7000000002</v>
      </c>
      <c r="BC149" s="24"/>
      <c r="BD149" s="104"/>
      <c r="BE149" s="24"/>
      <c r="BF149" s="104"/>
      <c r="BG149" s="24"/>
      <c r="BH149" s="116"/>
      <c r="BI149" s="24"/>
      <c r="BJ149" s="183"/>
      <c r="BK149" s="127"/>
      <c r="BL149" s="72"/>
      <c r="BM149" s="24"/>
      <c r="BN149" s="72"/>
      <c r="BO149" s="24"/>
      <c r="BP149" s="72"/>
      <c r="BQ149" s="24"/>
      <c r="BR149" s="72"/>
      <c r="BS149" s="24"/>
      <c r="BT149" s="72"/>
      <c r="BU149" s="24"/>
      <c r="BV149" s="72"/>
      <c r="BW149" s="24"/>
      <c r="BX149" s="72"/>
      <c r="BY149" s="24"/>
      <c r="BZ149" s="72"/>
      <c r="CA149" s="24"/>
      <c r="CB149" s="72"/>
      <c r="CC149" s="24"/>
      <c r="CD149" s="72"/>
      <c r="CE149" s="24"/>
      <c r="CF149" s="72"/>
      <c r="CG149" s="24"/>
      <c r="CH149" s="72"/>
      <c r="CI149" s="24"/>
      <c r="CJ149" s="72"/>
      <c r="CK149" s="24"/>
      <c r="CL149" s="72"/>
      <c r="CM149" s="24"/>
      <c r="CN149" s="72"/>
      <c r="CO149" s="24"/>
      <c r="CP149" s="72"/>
      <c r="CQ149" s="24"/>
      <c r="CR149" s="72"/>
    </row>
    <row r="150" spans="1:96" x14ac:dyDescent="0.25">
      <c r="B150" s="24"/>
      <c r="C150" s="24"/>
      <c r="D150" s="127"/>
      <c r="E150" s="127"/>
      <c r="F150" s="146"/>
      <c r="G150" s="24"/>
      <c r="H150" s="127"/>
      <c r="I150" s="127"/>
      <c r="J150" s="146"/>
      <c r="K150" s="24"/>
      <c r="L150" s="146"/>
      <c r="M150" s="127"/>
      <c r="N150" s="199"/>
      <c r="O150" s="24"/>
      <c r="P150" s="250"/>
      <c r="Q150" s="24"/>
      <c r="R150" s="199"/>
      <c r="S150" s="24"/>
      <c r="T150" s="191"/>
      <c r="U150" s="24"/>
      <c r="V150" s="128">
        <v>4918.26</v>
      </c>
      <c r="W150" s="24" t="s">
        <v>12270</v>
      </c>
      <c r="X150" s="120"/>
      <c r="Y150" s="120"/>
      <c r="Z150" s="120"/>
      <c r="AA150" s="120"/>
      <c r="AB150" s="128"/>
      <c r="AC150" s="24"/>
      <c r="AD150" s="104">
        <v>3763.5</v>
      </c>
      <c r="AE150" s="24" t="s">
        <v>12417</v>
      </c>
      <c r="AF150" s="138"/>
      <c r="AH150" s="104"/>
      <c r="AI150" s="24"/>
      <c r="AJ150" s="96"/>
      <c r="AK150" s="127"/>
      <c r="AL150" s="120"/>
      <c r="AM150" s="120"/>
      <c r="AN150" s="128">
        <v>3498.15</v>
      </c>
      <c r="AO150" s="24" t="s">
        <v>12681</v>
      </c>
      <c r="AP150" s="199">
        <v>3320</v>
      </c>
      <c r="AQ150" s="24" t="s">
        <v>12765</v>
      </c>
      <c r="AR150" s="256"/>
      <c r="AS150" s="189"/>
      <c r="AT150" s="30"/>
      <c r="AU150" s="24"/>
      <c r="AV150" s="96">
        <v>2390</v>
      </c>
      <c r="AW150" s="120" t="s">
        <v>12899</v>
      </c>
      <c r="AX150" s="150"/>
      <c r="AY150" s="106"/>
      <c r="AZ150" s="227">
        <v>4234</v>
      </c>
      <c r="BA150" s="106" t="s">
        <v>12994</v>
      </c>
      <c r="BB150" s="96"/>
      <c r="BC150" s="26"/>
      <c r="BD150" s="183"/>
      <c r="BE150" s="24"/>
      <c r="BF150" s="199"/>
      <c r="BG150" s="24"/>
      <c r="BH150" s="227"/>
      <c r="BI150" s="24"/>
      <c r="BJ150" s="183"/>
      <c r="BK150" s="127"/>
      <c r="BL150" s="127"/>
      <c r="BM150" s="24"/>
      <c r="BN150" s="127"/>
      <c r="BO150" s="24"/>
      <c r="BP150" s="127"/>
      <c r="BQ150" s="127"/>
      <c r="BR150" s="236"/>
      <c r="BS150" s="127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</row>
    <row r="151" spans="1:96" x14ac:dyDescent="0.25">
      <c r="B151" s="24"/>
      <c r="C151" s="24"/>
      <c r="D151" s="127"/>
      <c r="E151" s="127"/>
      <c r="F151" s="237"/>
      <c r="G151" s="127"/>
      <c r="H151" s="127"/>
      <c r="I151" s="239"/>
      <c r="J151" s="9"/>
      <c r="K151" s="15"/>
      <c r="L151" s="127"/>
      <c r="M151" s="127"/>
      <c r="N151" s="128"/>
      <c r="O151" s="24"/>
      <c r="P151" s="258"/>
      <c r="Q151" s="120"/>
      <c r="R151" s="183"/>
      <c r="S151" s="24"/>
      <c r="T151" s="173"/>
      <c r="U151" s="24"/>
      <c r="V151" s="128">
        <v>1445.57</v>
      </c>
      <c r="W151" s="24" t="s">
        <v>12271</v>
      </c>
      <c r="X151" s="120"/>
      <c r="Y151" s="120"/>
      <c r="Z151" s="120"/>
      <c r="AA151" s="120"/>
      <c r="AB151" s="128"/>
      <c r="AC151" s="24"/>
      <c r="AD151" s="104">
        <v>4169.01</v>
      </c>
      <c r="AE151" s="24" t="s">
        <v>12418</v>
      </c>
      <c r="AH151" s="173">
        <v>5000</v>
      </c>
      <c r="AI151" s="24" t="s">
        <v>12509</v>
      </c>
      <c r="AJ151" s="179"/>
      <c r="AK151" s="127"/>
      <c r="AL151" s="120"/>
      <c r="AM151" s="120"/>
      <c r="AN151" s="128">
        <v>3498.15</v>
      </c>
      <c r="AO151" s="24" t="s">
        <v>12682</v>
      </c>
      <c r="AP151" s="199">
        <v>1169</v>
      </c>
      <c r="AQ151" s="24" t="s">
        <v>12766</v>
      </c>
      <c r="AR151" s="183"/>
      <c r="AS151" s="189"/>
      <c r="AT151" s="98"/>
      <c r="AU151" s="24"/>
      <c r="AV151" s="277">
        <v>4602</v>
      </c>
      <c r="AW151" s="120" t="s">
        <v>12900</v>
      </c>
      <c r="AX151" s="146"/>
      <c r="AY151" s="106"/>
      <c r="AZ151" s="128">
        <v>1099</v>
      </c>
      <c r="BA151" s="106" t="s">
        <v>12995</v>
      </c>
      <c r="BB151" s="199">
        <v>304855.28000000003</v>
      </c>
      <c r="BC151" s="15" t="s">
        <v>13061</v>
      </c>
      <c r="BD151" s="183"/>
      <c r="BE151" s="24"/>
      <c r="BF151" s="183"/>
      <c r="BG151" s="24"/>
      <c r="BH151" s="208"/>
      <c r="BI151" s="24"/>
      <c r="BJ151" s="183"/>
      <c r="BK151" s="127"/>
      <c r="BL151" s="9"/>
      <c r="BM151" s="15"/>
      <c r="BN151" s="127"/>
      <c r="BO151" s="24"/>
      <c r="BP151" s="127"/>
      <c r="BQ151" s="127"/>
      <c r="BR151" s="127"/>
      <c r="BS151" s="127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</row>
    <row r="152" spans="1:96" x14ac:dyDescent="0.25">
      <c r="B152" s="24"/>
      <c r="C152" s="24"/>
      <c r="D152" s="127"/>
      <c r="E152" s="127"/>
      <c r="F152" s="127"/>
      <c r="G152" s="127"/>
      <c r="H152" s="127"/>
      <c r="I152" s="127"/>
      <c r="J152" s="237"/>
      <c r="K152" s="127"/>
      <c r="L152" s="127"/>
      <c r="M152" s="127"/>
      <c r="N152" s="128"/>
      <c r="O152" s="24"/>
      <c r="P152" s="120"/>
      <c r="Q152" s="120"/>
      <c r="R152" s="183"/>
      <c r="S152" s="24"/>
      <c r="T152" s="249"/>
      <c r="U152" s="24"/>
      <c r="V152" s="151">
        <f>+SUM(V138:V151)</f>
        <v>467848.6</v>
      </c>
      <c r="W152" s="24"/>
      <c r="X152" s="120"/>
      <c r="Y152" s="120"/>
      <c r="Z152" s="120"/>
      <c r="AA152" s="120"/>
      <c r="AB152" s="128"/>
      <c r="AC152" s="24"/>
      <c r="AD152" s="96">
        <v>4395</v>
      </c>
      <c r="AE152" s="15" t="s">
        <v>12408</v>
      </c>
      <c r="AF152" s="127"/>
      <c r="AG152" s="127"/>
      <c r="AH152" s="173">
        <v>50000</v>
      </c>
      <c r="AI152" s="24" t="s">
        <v>12511</v>
      </c>
      <c r="AJ152" s="128"/>
      <c r="AK152" s="120"/>
      <c r="AL152" s="120"/>
      <c r="AM152" s="120"/>
      <c r="AN152" s="128">
        <v>11373.87</v>
      </c>
      <c r="AO152" s="24" t="s">
        <v>12683</v>
      </c>
      <c r="AP152" s="151">
        <f>+AP150+AP151</f>
        <v>4489</v>
      </c>
      <c r="AQ152" s="24"/>
      <c r="AR152" s="128"/>
      <c r="AS152" s="189"/>
      <c r="AT152" s="32"/>
      <c r="AU152" s="127"/>
      <c r="AV152" s="245"/>
      <c r="AW152" s="120"/>
      <c r="AX152" s="199"/>
      <c r="AY152" s="106"/>
      <c r="AZ152" s="151">
        <f>+AZ151+AZ150+AZ149</f>
        <v>500333</v>
      </c>
      <c r="BA152" s="120"/>
      <c r="BB152" s="96">
        <v>17215.04</v>
      </c>
      <c r="BC152" s="15" t="s">
        <v>13063</v>
      </c>
      <c r="BD152" s="183"/>
      <c r="BE152" s="24"/>
      <c r="BF152" s="183"/>
      <c r="BG152" s="24"/>
      <c r="BH152" s="128"/>
      <c r="BI152" s="24"/>
      <c r="BJ152" s="183"/>
      <c r="BK152" s="153"/>
      <c r="BL152" s="237"/>
      <c r="BM152" s="127"/>
      <c r="BN152" s="127"/>
      <c r="BO152" s="24"/>
      <c r="BP152" s="127"/>
      <c r="BQ152" s="127"/>
      <c r="BR152" s="127"/>
      <c r="BS152" s="127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</row>
    <row r="153" spans="1:96" x14ac:dyDescent="0.25">
      <c r="B153" s="24"/>
      <c r="C153" s="24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8"/>
      <c r="O153" s="24"/>
      <c r="P153" s="120"/>
      <c r="Q153" s="120"/>
      <c r="R153" s="96"/>
      <c r="S153" s="15"/>
      <c r="T153" s="173"/>
      <c r="U153" s="24"/>
      <c r="V153" s="146"/>
      <c r="W153" s="24"/>
      <c r="X153" s="120"/>
      <c r="Y153" s="120"/>
      <c r="Z153" s="120"/>
      <c r="AA153" s="120"/>
      <c r="AB153" s="199"/>
      <c r="AC153" s="24"/>
      <c r="AD153" s="115">
        <f>+SUM(AD140:AD152)</f>
        <v>649566.99</v>
      </c>
      <c r="AE153" s="24"/>
      <c r="AF153" s="127"/>
      <c r="AG153" s="127"/>
      <c r="AH153" s="173">
        <v>18000</v>
      </c>
      <c r="AI153" s="24" t="s">
        <v>12512</v>
      </c>
      <c r="AJ153" s="128"/>
      <c r="AK153" s="127"/>
      <c r="AL153" s="120"/>
      <c r="AM153" s="120"/>
      <c r="AN153" s="128">
        <v>3250</v>
      </c>
      <c r="AO153" s="24" t="s">
        <v>12693</v>
      </c>
      <c r="AP153" s="199"/>
      <c r="AQ153" s="24"/>
      <c r="AR153" s="146"/>
      <c r="AS153" s="189"/>
      <c r="AT153" s="128"/>
      <c r="AU153" s="127"/>
      <c r="AV153" s="257"/>
      <c r="AW153" s="120"/>
      <c r="AX153" s="128"/>
      <c r="AY153" s="106"/>
      <c r="AZ153" s="120"/>
      <c r="BA153" s="120"/>
      <c r="BB153" s="96">
        <v>54746.62</v>
      </c>
      <c r="BC153" s="15" t="s">
        <v>13064</v>
      </c>
      <c r="BD153" s="199"/>
      <c r="BE153" s="239"/>
      <c r="BF153" s="183"/>
      <c r="BG153" s="24"/>
      <c r="BH153" s="128"/>
      <c r="BI153" s="24"/>
      <c r="BJ153" s="199"/>
      <c r="BK153" s="127"/>
      <c r="BL153" s="127"/>
      <c r="BM153" s="127"/>
      <c r="BN153" s="127"/>
      <c r="BO153" s="24"/>
      <c r="BP153" s="127"/>
      <c r="BQ153" s="127"/>
      <c r="BR153" s="127"/>
      <c r="BS153" s="127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</row>
    <row r="154" spans="1:96" x14ac:dyDescent="0.25">
      <c r="B154" s="72"/>
      <c r="C154" s="24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8"/>
      <c r="O154" s="24"/>
      <c r="P154" s="120"/>
      <c r="Q154" s="120"/>
      <c r="R154" s="146"/>
      <c r="S154" s="120"/>
      <c r="T154" s="191"/>
      <c r="U154" s="120"/>
      <c r="V154" s="128"/>
      <c r="W154" s="24"/>
      <c r="X154" s="120"/>
      <c r="Y154" s="120"/>
      <c r="Z154" s="120"/>
      <c r="AA154" s="120"/>
      <c r="AB154" s="128"/>
      <c r="AC154" s="24"/>
      <c r="AD154" s="104"/>
      <c r="AE154" s="24"/>
      <c r="AF154" s="127"/>
      <c r="AG154" s="127"/>
      <c r="AH154" s="173">
        <v>20331.580000000002</v>
      </c>
      <c r="AI154" s="24" t="s">
        <v>12514</v>
      </c>
      <c r="AJ154" s="146"/>
      <c r="AK154" s="120"/>
      <c r="AL154" s="120"/>
      <c r="AM154" s="120"/>
      <c r="AN154" s="128">
        <v>1169</v>
      </c>
      <c r="AO154" s="24" t="s">
        <v>12694</v>
      </c>
      <c r="AP154" s="128"/>
      <c r="AQ154" s="24"/>
      <c r="AR154" s="146"/>
      <c r="AS154" s="127"/>
      <c r="AT154" s="128"/>
      <c r="AU154" s="127"/>
      <c r="AV154" s="120"/>
      <c r="AW154" s="120"/>
      <c r="AX154" s="146"/>
      <c r="AY154" s="106"/>
      <c r="AZ154" s="120"/>
      <c r="BA154" s="120"/>
      <c r="BB154" s="199">
        <v>37877.01</v>
      </c>
      <c r="BC154" s="15" t="s">
        <v>13067</v>
      </c>
      <c r="BD154" s="183"/>
      <c r="BE154" s="24"/>
      <c r="BF154" s="183"/>
      <c r="BG154" s="24"/>
      <c r="BH154" s="128"/>
      <c r="BI154" s="24"/>
      <c r="BJ154" s="183"/>
      <c r="BK154" s="127"/>
      <c r="BL154" s="127"/>
      <c r="BM154" s="127"/>
      <c r="BN154" s="9"/>
      <c r="BO154" s="15"/>
      <c r="BP154" s="127"/>
      <c r="BQ154" s="127"/>
      <c r="BR154" s="127"/>
      <c r="BS154" s="127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</row>
    <row r="155" spans="1:96" x14ac:dyDescent="0.25">
      <c r="B155" s="54"/>
      <c r="C155" s="54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8"/>
      <c r="O155" s="24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5"/>
      <c r="AC155" s="15"/>
      <c r="AD155" s="104"/>
      <c r="AE155" s="24"/>
      <c r="AF155" s="127"/>
      <c r="AG155" s="127"/>
      <c r="AH155" s="173">
        <v>50000</v>
      </c>
      <c r="AI155" s="24" t="s">
        <v>12516</v>
      </c>
      <c r="AJ155" s="128"/>
      <c r="AK155" s="120"/>
      <c r="AL155" s="120"/>
      <c r="AM155" s="120"/>
      <c r="AN155" s="128">
        <v>3320</v>
      </c>
      <c r="AO155" s="24" t="s">
        <v>12698</v>
      </c>
      <c r="AP155" s="128"/>
      <c r="AQ155" s="24"/>
      <c r="AR155" s="128"/>
      <c r="AS155" s="120"/>
      <c r="AT155" s="128"/>
      <c r="AU155" s="127"/>
      <c r="AV155" s="120"/>
      <c r="AW155" s="120"/>
      <c r="AX155" s="120"/>
      <c r="AY155" s="106"/>
      <c r="AZ155" s="120"/>
      <c r="BA155" s="120"/>
      <c r="BB155" s="183">
        <v>100000</v>
      </c>
      <c r="BC155" s="15" t="s">
        <v>13068</v>
      </c>
      <c r="BD155" s="183"/>
      <c r="BE155" s="24"/>
      <c r="BF155" s="183"/>
      <c r="BG155" s="24"/>
      <c r="BH155" s="150"/>
      <c r="BI155" s="120"/>
      <c r="BJ155" s="240"/>
      <c r="BK155" s="120"/>
      <c r="BL155" s="127"/>
      <c r="BM155" s="127"/>
      <c r="BN155" s="229"/>
      <c r="BO155" s="127"/>
      <c r="BP155" s="127"/>
      <c r="BQ155" s="127"/>
      <c r="BR155" s="127"/>
      <c r="BS155" s="127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</row>
    <row r="156" spans="1:96" x14ac:dyDescent="0.25">
      <c r="B156" s="72"/>
      <c r="C156" s="24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8"/>
      <c r="O156" s="24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237"/>
      <c r="AC156" s="127"/>
      <c r="AD156" s="146"/>
      <c r="AE156" s="127"/>
      <c r="AF156" s="127"/>
      <c r="AG156" s="127"/>
      <c r="AH156" s="173">
        <v>31451.27</v>
      </c>
      <c r="AI156" s="24" t="s">
        <v>12517</v>
      </c>
      <c r="AJ156" s="120"/>
      <c r="AK156" s="120"/>
      <c r="AL156" s="120"/>
      <c r="AM156" s="120"/>
      <c r="AN156" s="156">
        <f>+SUM(AN146:AN155)</f>
        <v>54342.830000000009</v>
      </c>
      <c r="AO156" s="120"/>
      <c r="AP156" s="146"/>
      <c r="AQ156" s="24"/>
      <c r="AR156" s="120"/>
      <c r="AS156" s="120"/>
      <c r="AT156" s="240"/>
      <c r="AU156" s="127"/>
      <c r="AV156" s="120"/>
      <c r="AW156" s="120"/>
      <c r="AX156" s="127"/>
      <c r="AY156" s="106"/>
      <c r="AZ156" s="120"/>
      <c r="BA156" s="120"/>
      <c r="BB156" s="183">
        <v>100000</v>
      </c>
      <c r="BC156" s="15" t="s">
        <v>13069</v>
      </c>
      <c r="BD156" s="183"/>
      <c r="BE156" s="24"/>
      <c r="BF156" s="199"/>
      <c r="BG156" s="24"/>
      <c r="BH156" s="120"/>
      <c r="BI156" s="120"/>
      <c r="BJ156" s="128"/>
      <c r="BK156" s="120"/>
      <c r="BL156" s="127"/>
      <c r="BM156" s="127"/>
      <c r="BN156" s="127"/>
      <c r="BO156" s="127"/>
      <c r="BP156" s="127"/>
      <c r="BQ156" s="127"/>
      <c r="BR156" s="127"/>
      <c r="BS156" s="127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</row>
    <row r="157" spans="1:96" x14ac:dyDescent="0.25">
      <c r="B157" s="72"/>
      <c r="C157" s="24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8"/>
      <c r="O157" s="24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7"/>
      <c r="AC157" s="127"/>
      <c r="AD157" s="127"/>
      <c r="AE157" s="127"/>
      <c r="AF157" s="127"/>
      <c r="AG157" s="127"/>
      <c r="AH157" s="270">
        <v>20000</v>
      </c>
      <c r="AI157" s="24" t="s">
        <v>12518</v>
      </c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7"/>
      <c r="AV157" s="120"/>
      <c r="AW157" s="120"/>
      <c r="AX157" s="127"/>
      <c r="AY157" s="106"/>
      <c r="AZ157" s="120"/>
      <c r="BA157" s="120"/>
      <c r="BB157" s="199">
        <v>4200</v>
      </c>
      <c r="BC157" s="15" t="s">
        <v>13070</v>
      </c>
      <c r="BD157" s="199"/>
      <c r="BE157" s="24"/>
      <c r="BF157" s="199"/>
      <c r="BG157" s="24"/>
      <c r="BH157" s="120"/>
      <c r="BI157" s="120"/>
      <c r="BJ157" s="120"/>
      <c r="BK157" s="120"/>
      <c r="BL157" s="127"/>
      <c r="BM157" s="127"/>
      <c r="BN157" s="127"/>
      <c r="BO157" s="127"/>
      <c r="BP157" s="127"/>
      <c r="BQ157" s="127"/>
      <c r="BR157" s="127"/>
      <c r="BS157" s="127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</row>
    <row r="158" spans="1:96" x14ac:dyDescent="0.25">
      <c r="B158" s="72"/>
      <c r="C158" s="24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8"/>
      <c r="O158" s="24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7"/>
      <c r="AC158" s="127"/>
      <c r="AD158" s="127"/>
      <c r="AE158" s="127"/>
      <c r="AF158" s="127"/>
      <c r="AG158" s="127"/>
      <c r="AH158" s="173">
        <v>5500</v>
      </c>
      <c r="AI158" s="24" t="s">
        <v>12519</v>
      </c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7"/>
      <c r="AV158" s="120"/>
      <c r="AW158" s="120"/>
      <c r="AX158" s="127"/>
      <c r="AY158" s="106"/>
      <c r="AZ158" s="120"/>
      <c r="BA158" s="120"/>
      <c r="BB158" s="183">
        <v>235000</v>
      </c>
      <c r="BC158" s="15" t="s">
        <v>13071</v>
      </c>
      <c r="BD158" s="146"/>
      <c r="BE158" s="127"/>
      <c r="BF158" s="29"/>
      <c r="BG158" s="15"/>
      <c r="BH158" s="9"/>
      <c r="BI158" s="120"/>
      <c r="BJ158" s="120"/>
      <c r="BK158" s="120"/>
      <c r="BL158" s="127"/>
      <c r="BM158" s="127"/>
      <c r="BN158" s="127"/>
      <c r="BO158" s="127"/>
      <c r="BP158" s="127"/>
      <c r="BQ158" s="127"/>
      <c r="BR158" s="127"/>
      <c r="BS158" s="127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</row>
    <row r="159" spans="1:96" x14ac:dyDescent="0.25">
      <c r="B159" s="74"/>
      <c r="C159" s="58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8"/>
      <c r="O159" s="24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7"/>
      <c r="AC159" s="127"/>
      <c r="AD159" s="127"/>
      <c r="AE159" s="127"/>
      <c r="AF159" s="127"/>
      <c r="AG159" s="127"/>
      <c r="AH159" s="173">
        <v>80000</v>
      </c>
      <c r="AI159" s="24" t="s">
        <v>12520</v>
      </c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7"/>
      <c r="AV159" s="120"/>
      <c r="AW159" s="120"/>
      <c r="AX159" s="127"/>
      <c r="AY159" s="106"/>
      <c r="AZ159" s="120"/>
      <c r="BA159" s="120"/>
      <c r="BB159" s="183">
        <v>214000</v>
      </c>
      <c r="BC159" s="15" t="s">
        <v>13072</v>
      </c>
      <c r="BD159" s="120"/>
      <c r="BE159" s="127"/>
      <c r="BF159" s="29"/>
      <c r="BG159" s="24"/>
      <c r="BH159" s="120"/>
      <c r="BI159" s="120"/>
      <c r="BJ159" s="120"/>
      <c r="BK159" s="120"/>
      <c r="BL159" s="127"/>
      <c r="BM159" s="127"/>
      <c r="BN159" s="228"/>
      <c r="BO159" s="127"/>
      <c r="BP159" s="127"/>
      <c r="BQ159" s="127"/>
      <c r="BR159" s="127"/>
      <c r="BS159" s="127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</row>
    <row r="160" spans="1:96" x14ac:dyDescent="0.25">
      <c r="B160" s="72"/>
      <c r="C160" s="24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8"/>
      <c r="O160" s="24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73">
        <v>5854</v>
      </c>
      <c r="AI160" s="24" t="s">
        <v>12527</v>
      </c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7"/>
      <c r="AV160" s="120"/>
      <c r="AW160" s="120"/>
      <c r="AX160" s="259"/>
      <c r="AY160" s="120"/>
      <c r="AZ160" s="120"/>
      <c r="BA160" s="120"/>
      <c r="BB160" s="183">
        <v>2902.86</v>
      </c>
      <c r="BC160" s="15" t="s">
        <v>13083</v>
      </c>
      <c r="BD160" s="120"/>
      <c r="BE160" s="120"/>
      <c r="BF160" s="146"/>
      <c r="BG160" s="120"/>
      <c r="BH160" s="120"/>
      <c r="BI160" s="120"/>
      <c r="BJ160" s="120"/>
      <c r="BK160" s="120"/>
      <c r="BL160" s="127"/>
      <c r="BM160" s="127"/>
      <c r="BN160" s="127"/>
      <c r="BO160" s="127"/>
      <c r="BP160" s="127"/>
      <c r="BQ160" s="127"/>
      <c r="BR160" s="127"/>
      <c r="BS160" s="127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</row>
    <row r="161" spans="2:71" x14ac:dyDescent="0.25">
      <c r="B161" s="11"/>
      <c r="C161" s="13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8"/>
      <c r="O161" s="24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73">
        <v>6410</v>
      </c>
      <c r="AI161" s="24" t="s">
        <v>12534</v>
      </c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7"/>
      <c r="AV161" s="120"/>
      <c r="AW161" s="120"/>
      <c r="AX161" s="120"/>
      <c r="AY161" s="120"/>
      <c r="AZ161" s="120"/>
      <c r="BA161" s="120"/>
      <c r="BB161" s="151">
        <f>+SUM(BB151:BB160)</f>
        <v>1070796.81</v>
      </c>
      <c r="BC161" s="120"/>
      <c r="BD161" s="120"/>
      <c r="BE161" s="120"/>
      <c r="BF161" s="15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</row>
    <row r="162" spans="2:71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51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73">
        <v>7025.3</v>
      </c>
      <c r="AI162" s="24" t="s">
        <v>12535</v>
      </c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7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4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</row>
    <row r="163" spans="2:71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73">
        <v>2345</v>
      </c>
      <c r="AI163" s="24" t="s">
        <v>12537</v>
      </c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4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</row>
    <row r="164" spans="2:71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73">
        <v>3390</v>
      </c>
      <c r="AI164" s="24" t="s">
        <v>12541</v>
      </c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</row>
    <row r="165" spans="2:71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271">
        <f>+SUM(AH151:AH164)</f>
        <v>305307.14999999997</v>
      </c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</row>
    <row r="166" spans="2:71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</row>
    <row r="167" spans="2:71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</row>
    <row r="168" spans="2:71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</row>
    <row r="169" spans="2:71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</row>
    <row r="170" spans="2:71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</row>
    <row r="171" spans="2:71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</row>
    <row r="172" spans="2:71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</row>
    <row r="173" spans="2:71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</row>
    <row r="174" spans="2:71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  <c r="BM174" s="120"/>
      <c r="BN174" s="120"/>
    </row>
    <row r="175" spans="2:71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</row>
    <row r="176" spans="2:71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  <c r="BM176" s="120"/>
      <c r="BN176" s="120"/>
    </row>
    <row r="177" spans="2:51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</row>
    <row r="178" spans="2:51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</row>
    <row r="179" spans="2:51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</row>
    <row r="180" spans="2:51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</row>
    <row r="181" spans="2:51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</row>
    <row r="182" spans="2:51" x14ac:dyDescent="0.25"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</row>
    <row r="183" spans="2:51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</row>
    <row r="184" spans="2:51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</row>
    <row r="185" spans="2:51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</row>
    <row r="186" spans="2:51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</row>
    <row r="187" spans="2:51" x14ac:dyDescent="0.25"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87"/>
  <sheetViews>
    <sheetView zoomScaleNormal="100" workbookViewId="0">
      <pane xSplit="1" ySplit="1" topLeftCell="AZ21" activePane="bottomRight" state="frozen"/>
      <selection pane="topRight" activeCell="B1" sqref="B1"/>
      <selection pane="bottomLeft" activeCell="A2" sqref="A2"/>
      <selection pane="bottomRight" activeCell="BD23" sqref="BD23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4.5703125" bestFit="1" customWidth="1"/>
    <col min="8" max="8" width="13.42578125" bestFit="1" customWidth="1"/>
    <col min="9" max="9" width="12.28515625" bestFit="1" customWidth="1"/>
    <col min="10" max="10" width="13.42578125" bestFit="1" customWidth="1"/>
    <col min="12" max="12" width="13.42578125" bestFit="1" customWidth="1"/>
    <col min="14" max="14" width="13.140625" bestFit="1" customWidth="1"/>
    <col min="16" max="16" width="13.42578125" bestFit="1" customWidth="1"/>
    <col min="18" max="18" width="14.85546875" bestFit="1" customWidth="1"/>
    <col min="20" max="20" width="14.5703125" bestFit="1" customWidth="1"/>
    <col min="22" max="22" width="13.140625" bestFit="1" customWidth="1"/>
    <col min="24" max="24" width="14.5703125" bestFit="1" customWidth="1"/>
    <col min="28" max="28" width="13.5703125" bestFit="1" customWidth="1"/>
    <col min="30" max="30" width="13.42578125" bestFit="1" customWidth="1"/>
    <col min="32" max="32" width="14.5703125" customWidth="1"/>
    <col min="34" max="34" width="13.85546875" bestFit="1" customWidth="1"/>
    <col min="35" max="35" width="13.140625" bestFit="1" customWidth="1"/>
    <col min="36" max="36" width="14.85546875" customWidth="1"/>
    <col min="38" max="38" width="13.5703125" bestFit="1" customWidth="1"/>
    <col min="40" max="40" width="13.42578125" bestFit="1" customWidth="1"/>
    <col min="42" max="42" width="15.28515625" bestFit="1" customWidth="1"/>
    <col min="44" max="44" width="13.85546875" bestFit="1" customWidth="1"/>
    <col min="46" max="46" width="13.7109375" customWidth="1"/>
    <col min="48" max="48" width="13" bestFit="1" customWidth="1"/>
    <col min="50" max="50" width="13.85546875" bestFit="1" customWidth="1"/>
    <col min="52" max="52" width="12.7109375" bestFit="1" customWidth="1"/>
    <col min="54" max="54" width="13.85546875" bestFit="1" customWidth="1"/>
    <col min="56" max="56" width="13.85546875" bestFit="1" customWidth="1"/>
    <col min="58" max="58" width="13.85546875" bestFit="1" customWidth="1"/>
    <col min="59" max="59" width="12.7109375" bestFit="1" customWidth="1"/>
    <col min="60" max="60" width="13.85546875" bestFit="1" customWidth="1"/>
    <col min="62" max="62" width="13.85546875" bestFit="1" customWidth="1"/>
    <col min="64" max="64" width="13.140625" bestFit="1" customWidth="1"/>
    <col min="65" max="65" width="11.5703125" bestFit="1" customWidth="1"/>
    <col min="66" max="66" width="13.42578125" bestFit="1" customWidth="1"/>
    <col min="68" max="68" width="13.42578125" bestFit="1" customWidth="1"/>
    <col min="70" max="70" width="15.28515625" bestFit="1" customWidth="1"/>
  </cols>
  <sheetData>
    <row r="1" spans="1:96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x14ac:dyDescent="0.25">
      <c r="A2" s="47"/>
      <c r="B2" s="142">
        <v>43040</v>
      </c>
      <c r="C2" s="142"/>
      <c r="D2" s="141">
        <v>43041</v>
      </c>
      <c r="E2" s="142"/>
      <c r="F2" s="141">
        <v>43042</v>
      </c>
      <c r="G2" s="142"/>
      <c r="H2" s="141">
        <v>43043</v>
      </c>
      <c r="I2" s="142"/>
      <c r="J2" s="141">
        <v>43045</v>
      </c>
      <c r="K2" s="142"/>
      <c r="L2" s="141">
        <v>43046</v>
      </c>
      <c r="M2" s="142"/>
      <c r="N2" s="141">
        <v>43047</v>
      </c>
      <c r="O2" s="142"/>
      <c r="P2" s="141">
        <v>43048</v>
      </c>
      <c r="Q2" s="142"/>
      <c r="R2" s="141">
        <v>43049</v>
      </c>
      <c r="S2" s="142"/>
      <c r="T2" s="141">
        <v>43050</v>
      </c>
      <c r="U2" s="142"/>
      <c r="V2" s="141">
        <v>43051</v>
      </c>
      <c r="W2" s="142"/>
      <c r="X2" s="141">
        <v>43052</v>
      </c>
      <c r="Y2" s="142"/>
      <c r="Z2" s="274">
        <v>43053</v>
      </c>
      <c r="AA2" s="142"/>
      <c r="AB2" s="141">
        <v>43054</v>
      </c>
      <c r="AC2" s="142"/>
      <c r="AD2" s="141">
        <v>43055</v>
      </c>
      <c r="AE2" s="142"/>
      <c r="AF2" s="141">
        <v>43056</v>
      </c>
      <c r="AG2" s="142"/>
      <c r="AH2" s="141">
        <v>43057</v>
      </c>
      <c r="AI2" s="142"/>
      <c r="AJ2" s="141">
        <v>43058</v>
      </c>
      <c r="AK2" s="142"/>
      <c r="AL2" s="141">
        <v>43059</v>
      </c>
      <c r="AM2" s="142"/>
      <c r="AN2" s="141">
        <v>43060</v>
      </c>
      <c r="AO2" s="142"/>
      <c r="AP2" s="141">
        <v>43061</v>
      </c>
      <c r="AQ2" s="142"/>
      <c r="AR2" s="141">
        <v>43062</v>
      </c>
      <c r="AS2" s="142"/>
      <c r="AT2" s="141">
        <v>43063</v>
      </c>
      <c r="AU2" s="142"/>
      <c r="AV2" s="141">
        <v>43064</v>
      </c>
      <c r="AW2" s="142"/>
      <c r="AX2" s="141">
        <v>43065</v>
      </c>
      <c r="AY2" s="142"/>
      <c r="AZ2" s="141">
        <v>43066</v>
      </c>
      <c r="BA2" s="142"/>
      <c r="BB2" s="141">
        <v>43067</v>
      </c>
      <c r="BC2" s="142"/>
      <c r="BD2" s="141">
        <v>43068</v>
      </c>
      <c r="BE2" s="142"/>
      <c r="BF2" s="141">
        <v>43069</v>
      </c>
      <c r="BG2" s="142"/>
      <c r="BH2" s="141"/>
      <c r="BI2" s="142"/>
      <c r="BJ2" s="141"/>
      <c r="BK2" s="142"/>
      <c r="BL2" s="231"/>
      <c r="BM2" s="232"/>
      <c r="BN2" s="231"/>
      <c r="BO2" s="232"/>
      <c r="BP2" s="231"/>
      <c r="BQ2" s="232"/>
      <c r="BR2" s="231"/>
      <c r="BS2" s="232"/>
      <c r="BT2" s="231"/>
      <c r="BU2" s="232"/>
      <c r="BV2" s="231"/>
      <c r="BW2" s="232"/>
      <c r="BX2" s="231"/>
      <c r="BY2" s="232"/>
      <c r="BZ2" s="231"/>
      <c r="CA2" s="232"/>
      <c r="CB2" s="231"/>
      <c r="CC2" s="232"/>
      <c r="CD2" s="231"/>
      <c r="CE2" s="232"/>
      <c r="CF2" s="231"/>
      <c r="CG2" s="232"/>
      <c r="CH2" s="65"/>
      <c r="CI2" s="233"/>
      <c r="CJ2" s="65"/>
      <c r="CK2" s="233"/>
      <c r="CL2" s="65"/>
      <c r="CM2" s="233"/>
      <c r="CN2" s="65"/>
      <c r="CO2" s="233"/>
      <c r="CP2" s="65"/>
      <c r="CQ2" s="233"/>
      <c r="CR2" s="65"/>
    </row>
    <row r="3" spans="1:96" x14ac:dyDescent="0.25">
      <c r="A3" s="38" t="s">
        <v>0</v>
      </c>
      <c r="B3" s="98">
        <v>55488.67</v>
      </c>
      <c r="C3" s="15"/>
      <c r="D3" s="143">
        <v>33610.9</v>
      </c>
      <c r="E3" s="15"/>
      <c r="F3" s="143">
        <v>123128.7</v>
      </c>
      <c r="G3" s="15"/>
      <c r="H3" s="143">
        <v>68102.37</v>
      </c>
      <c r="I3" s="15"/>
      <c r="J3" s="143">
        <v>250874.62</v>
      </c>
      <c r="K3" s="15"/>
      <c r="L3" s="143">
        <v>12047.5</v>
      </c>
      <c r="M3" s="15"/>
      <c r="N3" s="143">
        <v>10738.59</v>
      </c>
      <c r="O3" s="15"/>
      <c r="P3" s="143">
        <v>47817.01</v>
      </c>
      <c r="Q3" s="15"/>
      <c r="R3" s="143">
        <v>22683.17</v>
      </c>
      <c r="S3" s="15"/>
      <c r="T3" s="143">
        <v>29674.73</v>
      </c>
      <c r="U3" s="15"/>
      <c r="V3" s="143"/>
      <c r="W3" s="15"/>
      <c r="X3" s="143">
        <v>10108.629999999999</v>
      </c>
      <c r="Y3" s="15"/>
      <c r="Z3" s="256">
        <v>207422.68</v>
      </c>
      <c r="AA3" s="15"/>
      <c r="AB3" s="143">
        <v>13865.93</v>
      </c>
      <c r="AC3" s="15"/>
      <c r="AD3" s="98">
        <v>57408.72</v>
      </c>
      <c r="AE3" s="15"/>
      <c r="AF3" s="143">
        <v>24327.43</v>
      </c>
      <c r="AG3" s="15"/>
      <c r="AH3" s="143">
        <v>116010.37</v>
      </c>
      <c r="AI3" s="15"/>
      <c r="AJ3" s="143">
        <v>50346.879999999997</v>
      </c>
      <c r="AK3" s="15"/>
      <c r="AL3" s="143">
        <v>6000</v>
      </c>
      <c r="AM3" s="15"/>
      <c r="AN3" s="143">
        <v>105804.79</v>
      </c>
      <c r="AO3" s="15"/>
      <c r="AP3" s="143">
        <v>61795.06</v>
      </c>
      <c r="AQ3" s="15"/>
      <c r="AR3" s="143">
        <v>320285.02</v>
      </c>
      <c r="AS3" s="15"/>
      <c r="AT3" s="143">
        <v>238945.73</v>
      </c>
      <c r="AU3" s="15"/>
      <c r="AV3" s="143">
        <v>166597.54999999999</v>
      </c>
      <c r="AW3" s="15"/>
      <c r="AX3" s="143"/>
      <c r="AY3" s="15"/>
      <c r="AZ3" s="143">
        <v>34404.65</v>
      </c>
      <c r="BA3" s="15"/>
      <c r="BB3" s="143">
        <v>83493.03</v>
      </c>
      <c r="BC3" s="15"/>
      <c r="BD3" s="143">
        <v>37423.21</v>
      </c>
      <c r="BE3" s="15"/>
      <c r="BF3" s="143">
        <v>46717.97</v>
      </c>
      <c r="BG3" s="15"/>
      <c r="BH3" s="98"/>
      <c r="BI3" s="15"/>
      <c r="BJ3" s="143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</row>
    <row r="4" spans="1:96" x14ac:dyDescent="0.25">
      <c r="A4" s="39"/>
      <c r="B4" s="98">
        <v>147935.89000000001</v>
      </c>
      <c r="C4" s="15"/>
      <c r="D4" s="98"/>
      <c r="E4" s="15"/>
      <c r="F4" s="98"/>
      <c r="G4" s="15"/>
      <c r="H4" s="98"/>
      <c r="I4" s="15"/>
      <c r="J4" s="98">
        <v>53034.67</v>
      </c>
      <c r="K4" s="15"/>
      <c r="L4" s="98">
        <v>20503.18</v>
      </c>
      <c r="M4" s="15"/>
      <c r="N4" s="98">
        <v>99517.29</v>
      </c>
      <c r="O4" s="15"/>
      <c r="P4" s="98">
        <v>6828.72</v>
      </c>
      <c r="Q4" s="15"/>
      <c r="R4" s="98">
        <v>23800.28</v>
      </c>
      <c r="S4" s="15"/>
      <c r="T4" s="98"/>
      <c r="U4" s="15"/>
      <c r="V4" s="98"/>
      <c r="W4" s="15"/>
      <c r="X4" s="98">
        <v>255934.81</v>
      </c>
      <c r="Y4" s="15"/>
      <c r="Z4" s="283">
        <v>179392.38</v>
      </c>
      <c r="AA4" s="15"/>
      <c r="AB4" s="98">
        <v>38695.01</v>
      </c>
      <c r="AC4" s="15"/>
      <c r="AD4" s="98">
        <v>8457</v>
      </c>
      <c r="AE4" s="15"/>
      <c r="AF4" s="98">
        <v>6824.93</v>
      </c>
      <c r="AG4" s="15"/>
      <c r="AH4" s="98"/>
      <c r="AI4" s="15"/>
      <c r="AJ4" s="98"/>
      <c r="AK4" s="15"/>
      <c r="AL4" s="98"/>
      <c r="AM4" s="15"/>
      <c r="AN4" s="98">
        <v>4595.51</v>
      </c>
      <c r="AO4" s="15"/>
      <c r="AP4" s="98">
        <v>336852.06</v>
      </c>
      <c r="AQ4" s="15"/>
      <c r="AR4" s="98">
        <v>9712.7999999999993</v>
      </c>
      <c r="AS4" s="15"/>
      <c r="AT4" s="98">
        <v>191278.76</v>
      </c>
      <c r="AU4" s="15"/>
      <c r="AV4" s="98"/>
      <c r="AW4" s="15"/>
      <c r="AX4" s="98"/>
      <c r="AY4" s="15"/>
      <c r="AZ4" s="98">
        <v>20579.29</v>
      </c>
      <c r="BA4" s="15"/>
      <c r="BB4" s="98">
        <v>178451.11</v>
      </c>
      <c r="BC4" s="15"/>
      <c r="BD4" s="98">
        <v>374994.73</v>
      </c>
      <c r="BE4" s="15"/>
      <c r="BF4" s="98">
        <v>29686.59</v>
      </c>
      <c r="BG4" s="15"/>
      <c r="BH4" s="98"/>
      <c r="BI4" s="15"/>
      <c r="BJ4" s="98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</row>
    <row r="5" spans="1:96" x14ac:dyDescent="0.25">
      <c r="A5" s="48"/>
      <c r="B5" s="18"/>
      <c r="C5" s="59"/>
      <c r="D5" s="18"/>
      <c r="E5" s="59"/>
      <c r="F5" s="18"/>
      <c r="G5" s="59"/>
      <c r="H5" s="75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75"/>
      <c r="Y5" s="59"/>
      <c r="Z5" s="59"/>
      <c r="AA5" s="59"/>
      <c r="AB5" s="18"/>
      <c r="AC5" s="59"/>
      <c r="AD5" s="18"/>
      <c r="AE5" s="59"/>
      <c r="AF5" s="18"/>
      <c r="AG5" s="59"/>
      <c r="AH5" s="18"/>
      <c r="AI5" s="59"/>
      <c r="AJ5" s="18"/>
      <c r="AK5" s="59"/>
      <c r="AL5" s="18"/>
      <c r="AM5" s="59"/>
      <c r="AN5" s="75"/>
      <c r="AO5" s="25"/>
      <c r="AP5" s="75"/>
      <c r="AQ5" s="59"/>
      <c r="AR5" s="75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18"/>
      <c r="BK5" s="59"/>
      <c r="BL5" s="75"/>
      <c r="BM5" s="25"/>
      <c r="BN5" s="75"/>
      <c r="BO5" s="25"/>
      <c r="BP5" s="75"/>
      <c r="BQ5" s="25"/>
      <c r="BR5" s="75"/>
      <c r="BS5" s="25"/>
      <c r="BT5" s="75"/>
      <c r="BU5" s="25"/>
      <c r="BV5" s="75"/>
      <c r="BW5" s="25"/>
      <c r="BX5" s="75"/>
      <c r="BY5" s="25"/>
      <c r="BZ5" s="75"/>
      <c r="CA5" s="25"/>
      <c r="CB5" s="75"/>
      <c r="CC5" s="25"/>
      <c r="CD5" s="75"/>
      <c r="CE5" s="25"/>
      <c r="CF5" s="75"/>
      <c r="CG5" s="25"/>
      <c r="CH5" s="76"/>
      <c r="CI5" s="234"/>
      <c r="CJ5" s="76"/>
      <c r="CK5" s="234"/>
      <c r="CL5" s="76"/>
      <c r="CM5" s="234"/>
      <c r="CN5" s="76"/>
      <c r="CO5" s="234"/>
      <c r="CP5" s="76"/>
      <c r="CQ5" s="234"/>
      <c r="CR5" s="76"/>
    </row>
    <row r="6" spans="1:96" x14ac:dyDescent="0.25">
      <c r="A6" s="41"/>
      <c r="B6" s="9">
        <v>15000</v>
      </c>
      <c r="C6" s="15" t="s">
        <v>13084</v>
      </c>
      <c r="D6" s="9">
        <v>14475.41</v>
      </c>
      <c r="E6" s="15" t="s">
        <v>13137</v>
      </c>
      <c r="F6" s="9">
        <v>64939.73</v>
      </c>
      <c r="G6" s="15" t="s">
        <v>13217</v>
      </c>
      <c r="H6" s="9">
        <v>500</v>
      </c>
      <c r="I6" s="15" t="s">
        <v>13160</v>
      </c>
      <c r="J6" s="9">
        <v>1576</v>
      </c>
      <c r="K6" s="15" t="s">
        <v>13204</v>
      </c>
      <c r="L6" s="9">
        <v>992.5</v>
      </c>
      <c r="M6" s="15" t="s">
        <v>13311</v>
      </c>
      <c r="N6" s="9">
        <v>3000</v>
      </c>
      <c r="O6" s="15" t="s">
        <v>13361</v>
      </c>
      <c r="P6" s="9">
        <v>1000</v>
      </c>
      <c r="Q6" s="15" t="s">
        <v>13405</v>
      </c>
      <c r="R6" s="9">
        <v>150</v>
      </c>
      <c r="S6" s="15" t="s">
        <v>13459</v>
      </c>
      <c r="T6" s="9">
        <v>1000</v>
      </c>
      <c r="U6" s="15" t="s">
        <v>13507</v>
      </c>
      <c r="V6" s="9"/>
      <c r="W6" s="15"/>
      <c r="X6" s="9">
        <v>1970</v>
      </c>
      <c r="Y6" s="15" t="s">
        <v>13551</v>
      </c>
      <c r="Z6" s="15">
        <v>100</v>
      </c>
      <c r="AA6" s="15" t="s">
        <v>13592</v>
      </c>
      <c r="AB6" s="9">
        <v>159.69</v>
      </c>
      <c r="AC6" s="15" t="s">
        <v>13647</v>
      </c>
      <c r="AD6" s="9">
        <v>10000</v>
      </c>
      <c r="AE6" s="15" t="s">
        <v>13692</v>
      </c>
      <c r="AF6" s="72">
        <v>1200</v>
      </c>
      <c r="AG6" s="86" t="s">
        <v>13735</v>
      </c>
      <c r="AH6" s="72">
        <v>1236.01</v>
      </c>
      <c r="AI6" s="86" t="s">
        <v>13800</v>
      </c>
      <c r="AJ6" s="9">
        <v>30346.880000000001</v>
      </c>
      <c r="AK6" s="15" t="s">
        <v>13794</v>
      </c>
      <c r="AL6" s="72">
        <v>5000</v>
      </c>
      <c r="AM6" s="15" t="s">
        <v>13795</v>
      </c>
      <c r="AN6" s="9">
        <v>1970</v>
      </c>
      <c r="AO6" s="15" t="s">
        <v>13828</v>
      </c>
      <c r="AP6" s="9">
        <v>2900</v>
      </c>
      <c r="AQ6" s="26" t="s">
        <v>13867</v>
      </c>
      <c r="AR6" s="9">
        <v>5437.47</v>
      </c>
      <c r="AS6" s="15" t="s">
        <v>13927</v>
      </c>
      <c r="AT6" s="9">
        <v>20000</v>
      </c>
      <c r="AU6" s="15" t="s">
        <v>13985</v>
      </c>
      <c r="AV6" s="9">
        <v>500</v>
      </c>
      <c r="AW6" s="15" t="s">
        <v>14037</v>
      </c>
      <c r="AX6" s="9"/>
      <c r="AY6" s="15"/>
      <c r="AZ6" s="9">
        <v>737.37</v>
      </c>
      <c r="BA6" s="15" t="s">
        <v>14087</v>
      </c>
      <c r="BB6" s="9">
        <v>720.96</v>
      </c>
      <c r="BC6" s="15" t="s">
        <v>14151</v>
      </c>
      <c r="BD6" s="7">
        <v>32998.92</v>
      </c>
      <c r="BE6" s="26" t="s">
        <v>14169</v>
      </c>
      <c r="BF6" s="9">
        <v>5000</v>
      </c>
      <c r="BG6" s="15" t="s">
        <v>14195</v>
      </c>
      <c r="BH6" s="9"/>
      <c r="BI6" s="26"/>
      <c r="BJ6" s="7"/>
      <c r="BK6" s="26"/>
      <c r="BL6" s="9"/>
      <c r="BM6" s="15"/>
      <c r="BN6" s="9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  <c r="CO6" s="15"/>
      <c r="CP6" s="9"/>
      <c r="CQ6" s="15"/>
      <c r="CR6" s="9"/>
    </row>
    <row r="7" spans="1:96" x14ac:dyDescent="0.25">
      <c r="A7" s="41"/>
      <c r="B7" s="9">
        <v>13931.68</v>
      </c>
      <c r="C7" s="15" t="s">
        <v>13089</v>
      </c>
      <c r="D7" s="7">
        <f>10806.08-7400</f>
        <v>3406.08</v>
      </c>
      <c r="E7" s="26" t="s">
        <v>13140</v>
      </c>
      <c r="F7" s="9">
        <v>2028.21</v>
      </c>
      <c r="G7" s="26" t="s">
        <v>13218</v>
      </c>
      <c r="H7" s="9">
        <v>5000</v>
      </c>
      <c r="I7" s="15" t="s">
        <v>13161</v>
      </c>
      <c r="J7" s="9">
        <v>240000</v>
      </c>
      <c r="K7" s="26" t="s">
        <v>13205</v>
      </c>
      <c r="L7" s="7">
        <v>100</v>
      </c>
      <c r="M7" s="26" t="s">
        <v>13314</v>
      </c>
      <c r="N7" s="7">
        <v>3999.18</v>
      </c>
      <c r="O7" s="26" t="s">
        <v>13364</v>
      </c>
      <c r="P7" s="9">
        <v>3500</v>
      </c>
      <c r="Q7" s="26" t="s">
        <v>13410</v>
      </c>
      <c r="R7" s="9">
        <v>96.85</v>
      </c>
      <c r="S7" s="26" t="s">
        <v>13460</v>
      </c>
      <c r="T7" s="7">
        <f>1626.82-1426.82</f>
        <v>200</v>
      </c>
      <c r="U7" s="26" t="s">
        <v>13514</v>
      </c>
      <c r="V7" s="9"/>
      <c r="W7" s="26"/>
      <c r="X7" s="9">
        <v>500</v>
      </c>
      <c r="Y7" s="26" t="s">
        <v>13554</v>
      </c>
      <c r="Z7" s="26">
        <v>606.71</v>
      </c>
      <c r="AA7" s="26" t="s">
        <v>13600</v>
      </c>
      <c r="AB7" s="9">
        <v>4616.8999999999996</v>
      </c>
      <c r="AC7" s="26" t="s">
        <v>13651</v>
      </c>
      <c r="AD7" s="9">
        <v>1516.53</v>
      </c>
      <c r="AE7" s="15" t="s">
        <v>13700</v>
      </c>
      <c r="AF7" s="72">
        <v>1000</v>
      </c>
      <c r="AG7" s="86" t="s">
        <v>13739</v>
      </c>
      <c r="AH7" s="72">
        <v>5000</v>
      </c>
      <c r="AI7" s="86" t="s">
        <v>13801</v>
      </c>
      <c r="AJ7" s="9">
        <v>20000</v>
      </c>
      <c r="AK7" s="15" t="s">
        <v>13760</v>
      </c>
      <c r="AL7" s="72">
        <v>1000</v>
      </c>
      <c r="AM7" s="26" t="s">
        <v>13757</v>
      </c>
      <c r="AN7" s="9">
        <v>3000</v>
      </c>
      <c r="AO7" s="15" t="s">
        <v>13832</v>
      </c>
      <c r="AP7" s="9">
        <v>30000</v>
      </c>
      <c r="AQ7" s="15" t="s">
        <v>13868</v>
      </c>
      <c r="AR7" s="9">
        <v>40000</v>
      </c>
      <c r="AS7" s="26" t="s">
        <v>13929</v>
      </c>
      <c r="AT7" s="9">
        <v>200000</v>
      </c>
      <c r="AU7" s="26" t="s">
        <v>13989</v>
      </c>
      <c r="AV7" s="72">
        <v>64643.5</v>
      </c>
      <c r="AW7" s="24" t="s">
        <v>14038</v>
      </c>
      <c r="AX7" s="7"/>
      <c r="AY7" s="26"/>
      <c r="AZ7" s="9">
        <v>1083.3399999999999</v>
      </c>
      <c r="BA7" s="26" t="s">
        <v>14089</v>
      </c>
      <c r="BB7" s="7">
        <v>5000</v>
      </c>
      <c r="BC7" s="26" t="s">
        <v>14153</v>
      </c>
      <c r="BD7" s="9">
        <v>100</v>
      </c>
      <c r="BE7" s="15" t="s">
        <v>14178</v>
      </c>
      <c r="BF7" s="9">
        <v>36528.97</v>
      </c>
      <c r="BG7" s="26" t="s">
        <v>14202</v>
      </c>
      <c r="BH7" s="9"/>
      <c r="BI7" s="26"/>
      <c r="BJ7" s="9"/>
      <c r="BK7" s="15"/>
      <c r="BL7" s="9"/>
      <c r="BM7" s="15"/>
      <c r="BN7" s="9"/>
      <c r="BO7" s="15"/>
      <c r="BP7" s="9"/>
      <c r="BQ7" s="15"/>
      <c r="BR7" s="9"/>
      <c r="BS7" s="15"/>
      <c r="BT7" s="9"/>
      <c r="BU7" s="15"/>
      <c r="BV7" s="9"/>
      <c r="BW7" s="15"/>
      <c r="BX7" s="9"/>
      <c r="BY7" s="15"/>
      <c r="BZ7" s="9"/>
      <c r="CA7" s="15"/>
      <c r="CB7" s="9"/>
      <c r="CC7" s="15"/>
      <c r="CD7" s="9"/>
      <c r="CE7" s="15"/>
      <c r="CF7" s="9"/>
      <c r="CG7" s="15"/>
      <c r="CH7" s="9"/>
      <c r="CI7" s="15"/>
      <c r="CJ7" s="9"/>
      <c r="CK7" s="15"/>
      <c r="CL7" s="9"/>
      <c r="CM7" s="15"/>
      <c r="CN7" s="9"/>
      <c r="CO7" s="15"/>
      <c r="CP7" s="9"/>
      <c r="CQ7" s="15"/>
      <c r="CR7" s="9"/>
    </row>
    <row r="8" spans="1:96" x14ac:dyDescent="0.25">
      <c r="A8" s="41"/>
      <c r="B8" s="120">
        <v>850.63</v>
      </c>
      <c r="C8" s="15" t="s">
        <v>13093</v>
      </c>
      <c r="D8" s="7">
        <v>5500</v>
      </c>
      <c r="E8" s="26" t="s">
        <v>13142</v>
      </c>
      <c r="F8" s="9">
        <v>2900</v>
      </c>
      <c r="G8" s="26" t="s">
        <v>13226</v>
      </c>
      <c r="H8" s="9">
        <v>4000</v>
      </c>
      <c r="I8" s="15" t="s">
        <v>13163</v>
      </c>
      <c r="J8" s="9">
        <v>3731.86</v>
      </c>
      <c r="K8" s="26" t="s">
        <v>13208</v>
      </c>
      <c r="L8" s="7">
        <v>1970</v>
      </c>
      <c r="M8" s="26" t="s">
        <v>13318</v>
      </c>
      <c r="N8" s="7">
        <v>1549.19</v>
      </c>
      <c r="O8" s="26" t="s">
        <v>13366</v>
      </c>
      <c r="P8" s="9">
        <v>40299.269999999997</v>
      </c>
      <c r="Q8" s="26" t="s">
        <v>13412</v>
      </c>
      <c r="R8" s="9">
        <v>238.31</v>
      </c>
      <c r="S8" s="26" t="s">
        <v>13461</v>
      </c>
      <c r="T8" s="7">
        <v>150</v>
      </c>
      <c r="U8" s="26" t="s">
        <v>13517</v>
      </c>
      <c r="V8" s="9"/>
      <c r="W8" s="15"/>
      <c r="X8" s="9">
        <v>3320</v>
      </c>
      <c r="Y8" s="15" t="s">
        <v>13555</v>
      </c>
      <c r="Z8" s="15">
        <v>17950</v>
      </c>
      <c r="AA8" s="15" t="s">
        <v>13601</v>
      </c>
      <c r="AB8" s="7">
        <v>600</v>
      </c>
      <c r="AC8" s="26" t="s">
        <v>13656</v>
      </c>
      <c r="AD8" s="9">
        <v>1099</v>
      </c>
      <c r="AE8" s="26" t="s">
        <v>13705</v>
      </c>
      <c r="AF8" s="72">
        <v>526.64</v>
      </c>
      <c r="AG8" s="13" t="s">
        <v>13658</v>
      </c>
      <c r="AH8" s="72">
        <v>254.92</v>
      </c>
      <c r="AI8" s="86" t="s">
        <v>13802</v>
      </c>
      <c r="AJ8" s="9"/>
      <c r="AK8" s="15"/>
      <c r="AL8" s="72"/>
      <c r="AM8" s="26"/>
      <c r="AN8" s="9">
        <v>40000</v>
      </c>
      <c r="AO8" s="15" t="s">
        <v>13833</v>
      </c>
      <c r="AP8" s="9">
        <v>13886.11</v>
      </c>
      <c r="AQ8" s="15" t="s">
        <v>13873</v>
      </c>
      <c r="AR8" s="9">
        <v>619.51</v>
      </c>
      <c r="AS8" s="26" t="s">
        <v>13931</v>
      </c>
      <c r="AT8" s="9">
        <v>5000</v>
      </c>
      <c r="AU8" s="26" t="s">
        <v>13996</v>
      </c>
      <c r="AV8" s="9">
        <v>175</v>
      </c>
      <c r="AW8" s="15" t="s">
        <v>14039</v>
      </c>
      <c r="AX8" s="7"/>
      <c r="AY8" s="26"/>
      <c r="AZ8" s="9">
        <v>1238.23</v>
      </c>
      <c r="BA8" s="26" t="s">
        <v>14090</v>
      </c>
      <c r="BB8" s="7">
        <v>70000</v>
      </c>
      <c r="BC8" s="26" t="s">
        <v>14154</v>
      </c>
      <c r="BD8" s="7">
        <v>1970</v>
      </c>
      <c r="BE8" s="26" t="s">
        <v>14184</v>
      </c>
      <c r="BF8" s="9">
        <v>1970</v>
      </c>
      <c r="BG8" s="26" t="s">
        <v>14204</v>
      </c>
      <c r="BH8" s="9"/>
      <c r="BI8" s="26"/>
      <c r="BJ8" s="7"/>
      <c r="BK8" s="26"/>
      <c r="BL8" s="9"/>
      <c r="BM8" s="15"/>
      <c r="BN8" s="9"/>
      <c r="BO8" s="15"/>
      <c r="BP8" s="9"/>
      <c r="BQ8" s="15"/>
      <c r="BR8" s="9"/>
      <c r="BS8" s="15"/>
      <c r="BT8" s="9"/>
      <c r="BU8" s="15"/>
      <c r="BV8" s="9"/>
      <c r="BW8" s="15"/>
      <c r="BX8" s="9"/>
      <c r="BY8" s="15"/>
      <c r="BZ8" s="9"/>
      <c r="CA8" s="15"/>
      <c r="CB8" s="9"/>
      <c r="CC8" s="15"/>
      <c r="CD8" s="9"/>
      <c r="CE8" s="15"/>
      <c r="CF8" s="9"/>
      <c r="CG8" s="15"/>
      <c r="CH8" s="9"/>
      <c r="CI8" s="15"/>
      <c r="CJ8" s="9"/>
      <c r="CK8" s="15"/>
      <c r="CL8" s="9"/>
      <c r="CM8" s="15"/>
      <c r="CN8" s="9"/>
      <c r="CO8" s="15"/>
      <c r="CP8" s="9"/>
      <c r="CQ8" s="15"/>
      <c r="CR8" s="9"/>
    </row>
    <row r="9" spans="1:96" x14ac:dyDescent="0.25">
      <c r="A9" s="41"/>
      <c r="B9" s="9">
        <v>11464.49</v>
      </c>
      <c r="C9" s="15" t="s">
        <v>13095</v>
      </c>
      <c r="D9" s="9">
        <v>3250</v>
      </c>
      <c r="E9" s="15" t="s">
        <v>13145</v>
      </c>
      <c r="F9" s="9">
        <v>4239</v>
      </c>
      <c r="G9" s="15" t="s">
        <v>13229</v>
      </c>
      <c r="H9" s="9">
        <v>265.73</v>
      </c>
      <c r="I9" s="15" t="s">
        <v>13166</v>
      </c>
      <c r="J9" s="9">
        <v>1631.22</v>
      </c>
      <c r="K9" s="15" t="s">
        <v>13210</v>
      </c>
      <c r="L9" s="9">
        <f>4465-2000</f>
        <v>2465</v>
      </c>
      <c r="M9" s="15" t="s">
        <v>13321</v>
      </c>
      <c r="N9" s="9">
        <v>557.22</v>
      </c>
      <c r="O9" s="15" t="s">
        <v>13367</v>
      </c>
      <c r="P9" s="9">
        <v>524.46</v>
      </c>
      <c r="Q9" s="15" t="s">
        <v>13413</v>
      </c>
      <c r="R9" s="9">
        <v>1099</v>
      </c>
      <c r="S9" s="15" t="s">
        <v>13462</v>
      </c>
      <c r="T9" s="9">
        <v>5290.99</v>
      </c>
      <c r="U9" s="15" t="s">
        <v>13519</v>
      </c>
      <c r="V9" s="9"/>
      <c r="W9" s="15"/>
      <c r="X9" s="9">
        <v>1099</v>
      </c>
      <c r="Y9" s="15" t="s">
        <v>13556</v>
      </c>
      <c r="Z9" s="15">
        <v>145000</v>
      </c>
      <c r="AA9" s="15" t="s">
        <v>13602</v>
      </c>
      <c r="AB9" s="9">
        <v>150</v>
      </c>
      <c r="AC9" s="26" t="s">
        <v>13660</v>
      </c>
      <c r="AD9" s="9">
        <v>1970</v>
      </c>
      <c r="AE9" s="15" t="s">
        <v>13711</v>
      </c>
      <c r="AF9" s="72">
        <v>200</v>
      </c>
      <c r="AG9" s="85" t="s">
        <v>13754</v>
      </c>
      <c r="AH9" s="72">
        <v>100000</v>
      </c>
      <c r="AI9" s="86" t="s">
        <v>13803</v>
      </c>
      <c r="AJ9" s="9"/>
      <c r="AK9" s="15"/>
      <c r="AL9" s="72"/>
      <c r="AM9" s="15"/>
      <c r="AN9" s="9">
        <v>158.28</v>
      </c>
      <c r="AO9" s="15" t="s">
        <v>13836</v>
      </c>
      <c r="AP9" s="9">
        <v>702.95</v>
      </c>
      <c r="AQ9" s="26" t="s">
        <v>13874</v>
      </c>
      <c r="AR9" s="9">
        <v>240000</v>
      </c>
      <c r="AS9" s="15" t="s">
        <v>13932</v>
      </c>
      <c r="AT9" s="9">
        <v>1970</v>
      </c>
      <c r="AU9" s="15" t="s">
        <v>14003</v>
      </c>
      <c r="AV9" s="7">
        <v>4000</v>
      </c>
      <c r="AW9" s="26" t="s">
        <v>14040</v>
      </c>
      <c r="AX9" s="9"/>
      <c r="AY9" s="15"/>
      <c r="AZ9" s="9">
        <v>775.39</v>
      </c>
      <c r="BA9" s="15" t="s">
        <v>14093</v>
      </c>
      <c r="BB9" s="9">
        <v>211.67</v>
      </c>
      <c r="BC9" s="15" t="s">
        <v>14156</v>
      </c>
      <c r="BD9" s="9">
        <v>4.29</v>
      </c>
      <c r="BE9" s="15" t="s">
        <v>14187</v>
      </c>
      <c r="BF9" s="72">
        <v>1099</v>
      </c>
      <c r="BG9" s="24" t="s">
        <v>14205</v>
      </c>
      <c r="BH9" s="9"/>
      <c r="BI9" s="26"/>
      <c r="BJ9" s="9"/>
      <c r="BK9" s="15"/>
      <c r="BL9" s="9"/>
      <c r="BM9" s="15"/>
      <c r="BN9" s="9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  <c r="CO9" s="15"/>
      <c r="CP9" s="9"/>
      <c r="CQ9" s="15"/>
      <c r="CR9" s="9"/>
    </row>
    <row r="10" spans="1:96" x14ac:dyDescent="0.25">
      <c r="A10" s="41"/>
      <c r="B10" s="9">
        <v>92.02</v>
      </c>
      <c r="C10" s="15" t="s">
        <v>13096</v>
      </c>
      <c r="D10" s="7">
        <v>1099</v>
      </c>
      <c r="E10" s="26" t="s">
        <v>13147</v>
      </c>
      <c r="F10" s="9">
        <v>5000</v>
      </c>
      <c r="G10" s="26" t="s">
        <v>13232</v>
      </c>
      <c r="H10" s="9">
        <v>688.95</v>
      </c>
      <c r="I10" s="15" t="s">
        <v>13173</v>
      </c>
      <c r="J10" s="9">
        <v>543.78</v>
      </c>
      <c r="K10" s="26" t="s">
        <v>13211</v>
      </c>
      <c r="L10" s="7">
        <v>665</v>
      </c>
      <c r="M10" s="26" t="s">
        <v>13326</v>
      </c>
      <c r="N10" s="7">
        <v>1169.01</v>
      </c>
      <c r="O10" s="26" t="s">
        <v>13371</v>
      </c>
      <c r="P10" s="9">
        <v>371.48</v>
      </c>
      <c r="Q10" s="26" t="s">
        <v>13427</v>
      </c>
      <c r="R10" s="9">
        <v>1099</v>
      </c>
      <c r="S10" s="26" t="s">
        <v>13463</v>
      </c>
      <c r="T10" s="7">
        <v>3250.01</v>
      </c>
      <c r="U10" s="26" t="s">
        <v>13520</v>
      </c>
      <c r="V10" s="9"/>
      <c r="W10" s="26"/>
      <c r="X10" s="9">
        <v>175</v>
      </c>
      <c r="Y10" s="26" t="s">
        <v>13558</v>
      </c>
      <c r="Z10" s="26">
        <v>27050</v>
      </c>
      <c r="AA10" s="26" t="s">
        <v>13603</v>
      </c>
      <c r="AB10" s="9">
        <v>253.33</v>
      </c>
      <c r="AC10" s="26" t="s">
        <v>13661</v>
      </c>
      <c r="AD10" s="9">
        <v>39551.1</v>
      </c>
      <c r="AE10" s="26" t="s">
        <v>13713</v>
      </c>
      <c r="AF10" s="72">
        <v>79.44</v>
      </c>
      <c r="AG10" s="86" t="s">
        <v>13755</v>
      </c>
      <c r="AH10" s="72">
        <v>364.45</v>
      </c>
      <c r="AI10" s="86" t="s">
        <v>13804</v>
      </c>
      <c r="AJ10" s="9"/>
      <c r="AK10" s="15"/>
      <c r="AL10" s="72"/>
      <c r="AM10" s="26"/>
      <c r="AN10" s="9">
        <v>13000</v>
      </c>
      <c r="AO10" s="15" t="s">
        <v>13842</v>
      </c>
      <c r="AP10" s="9">
        <v>4000</v>
      </c>
      <c r="AQ10" s="26" t="s">
        <v>13880</v>
      </c>
      <c r="AR10" s="9">
        <v>9797.16</v>
      </c>
      <c r="AS10" s="26" t="s">
        <v>13933</v>
      </c>
      <c r="AT10" s="9">
        <v>1099.01</v>
      </c>
      <c r="AU10" s="26" t="s">
        <v>14008</v>
      </c>
      <c r="AV10" s="7">
        <v>77000</v>
      </c>
      <c r="AW10" s="26" t="s">
        <v>14049</v>
      </c>
      <c r="AX10" s="7"/>
      <c r="AY10" s="26"/>
      <c r="AZ10" s="9">
        <v>20000</v>
      </c>
      <c r="BA10" s="26" t="s">
        <v>14095</v>
      </c>
      <c r="BB10" s="7">
        <v>3250</v>
      </c>
      <c r="BC10" s="26" t="s">
        <v>14158</v>
      </c>
      <c r="BD10" s="9">
        <v>2350</v>
      </c>
      <c r="BE10" s="15" t="s">
        <v>14188</v>
      </c>
      <c r="BF10" s="9">
        <v>1970</v>
      </c>
      <c r="BG10" s="26" t="s">
        <v>14209</v>
      </c>
      <c r="BH10" s="9"/>
      <c r="BI10" s="26"/>
      <c r="BJ10" s="9"/>
      <c r="BK10" s="15"/>
      <c r="BL10" s="9"/>
      <c r="BM10" s="15"/>
      <c r="BN10" s="9"/>
      <c r="BO10" s="15"/>
      <c r="BP10" s="9"/>
      <c r="BQ10" s="15"/>
      <c r="BR10" s="9"/>
      <c r="BS10" s="15"/>
      <c r="BT10" s="9"/>
      <c r="BU10" s="15"/>
      <c r="BV10" s="9"/>
      <c r="BW10" s="15"/>
      <c r="BX10" s="9"/>
      <c r="BY10" s="15"/>
      <c r="BZ10" s="9"/>
      <c r="CA10" s="15"/>
      <c r="CB10" s="9"/>
      <c r="CC10" s="15"/>
      <c r="CD10" s="9"/>
      <c r="CE10" s="15"/>
      <c r="CF10" s="9"/>
      <c r="CG10" s="15"/>
      <c r="CH10" s="9"/>
      <c r="CI10" s="15"/>
      <c r="CJ10" s="9"/>
      <c r="CK10" s="15"/>
      <c r="CL10" s="9"/>
      <c r="CM10" s="15"/>
      <c r="CN10" s="9"/>
      <c r="CO10" s="15"/>
      <c r="CP10" s="9"/>
      <c r="CQ10" s="15"/>
      <c r="CR10" s="9"/>
    </row>
    <row r="11" spans="1:96" x14ac:dyDescent="0.25">
      <c r="A11" s="41"/>
      <c r="B11" s="9">
        <v>185.74</v>
      </c>
      <c r="C11" s="15" t="s">
        <v>13097</v>
      </c>
      <c r="D11" s="7">
        <v>1099.01</v>
      </c>
      <c r="E11" s="7" t="s">
        <v>13153</v>
      </c>
      <c r="F11" s="9">
        <v>175</v>
      </c>
      <c r="G11" s="26" t="s">
        <v>13236</v>
      </c>
      <c r="H11" s="9">
        <v>857.84</v>
      </c>
      <c r="I11" s="15" t="s">
        <v>13174</v>
      </c>
      <c r="J11" s="9">
        <v>322.76</v>
      </c>
      <c r="K11" s="26" t="s">
        <v>13212</v>
      </c>
      <c r="L11" s="7">
        <v>1970</v>
      </c>
      <c r="M11" s="26" t="s">
        <v>13329</v>
      </c>
      <c r="N11" s="7">
        <f>2492.21-2028.21</f>
        <v>464</v>
      </c>
      <c r="O11" s="26" t="s">
        <v>13373</v>
      </c>
      <c r="P11" s="9">
        <f>709.02-557.22</f>
        <v>151.79999999999995</v>
      </c>
      <c r="Q11" s="26" t="s">
        <v>13429</v>
      </c>
      <c r="R11" s="9">
        <f>21909.08-1909.08</f>
        <v>20000</v>
      </c>
      <c r="S11" s="26" t="s">
        <v>13471</v>
      </c>
      <c r="T11" s="7">
        <v>4395</v>
      </c>
      <c r="U11" s="26" t="s">
        <v>13523</v>
      </c>
      <c r="V11" s="9"/>
      <c r="W11" s="15"/>
      <c r="X11" s="9">
        <v>1945.63</v>
      </c>
      <c r="Y11" s="26" t="s">
        <v>13560</v>
      </c>
      <c r="Z11" s="26">
        <v>68.44</v>
      </c>
      <c r="AA11" s="26" t="s">
        <v>13605</v>
      </c>
      <c r="AB11" s="9">
        <v>1099</v>
      </c>
      <c r="AC11" s="26" t="s">
        <v>13665</v>
      </c>
      <c r="AD11" s="9">
        <v>1941.09</v>
      </c>
      <c r="AE11" s="26" t="s">
        <v>13716</v>
      </c>
      <c r="AF11" s="24">
        <v>411.96</v>
      </c>
      <c r="AG11" s="85" t="s">
        <v>13759</v>
      </c>
      <c r="AH11" s="72">
        <v>1099</v>
      </c>
      <c r="AI11" s="86" t="s">
        <v>13807</v>
      </c>
      <c r="AJ11" s="72"/>
      <c r="AK11" s="15"/>
      <c r="AL11" s="72"/>
      <c r="AM11" s="26"/>
      <c r="AN11" s="9">
        <v>2248.89</v>
      </c>
      <c r="AO11" s="15" t="s">
        <v>13848</v>
      </c>
      <c r="AP11" s="9">
        <v>3320.01</v>
      </c>
      <c r="AQ11" s="26" t="s">
        <v>13884</v>
      </c>
      <c r="AR11" s="9">
        <v>4395.01</v>
      </c>
      <c r="AS11" s="26" t="s">
        <v>13938</v>
      </c>
      <c r="AT11" s="9">
        <v>1279.71</v>
      </c>
      <c r="AU11" s="15" t="s">
        <v>14010</v>
      </c>
      <c r="AV11" s="7">
        <v>3250</v>
      </c>
      <c r="AW11" s="26" t="s">
        <v>14056</v>
      </c>
      <c r="AX11" s="9"/>
      <c r="AY11" s="26"/>
      <c r="AZ11" s="9">
        <v>4278.9399999999996</v>
      </c>
      <c r="BA11" s="26" t="s">
        <v>14096</v>
      </c>
      <c r="BB11" s="7">
        <v>1099</v>
      </c>
      <c r="BC11" s="26" t="s">
        <v>14160</v>
      </c>
      <c r="BD11" s="7">
        <v>105000</v>
      </c>
      <c r="BE11" s="26" t="s">
        <v>14289</v>
      </c>
      <c r="BF11" s="9">
        <v>150</v>
      </c>
      <c r="BG11" s="15" t="s">
        <v>14213</v>
      </c>
      <c r="BH11" s="9"/>
      <c r="BI11" s="26"/>
      <c r="BJ11" s="9"/>
      <c r="BK11" s="15"/>
      <c r="BL11" s="9"/>
      <c r="BM11" s="15"/>
      <c r="BN11" s="9"/>
      <c r="BO11" s="15"/>
      <c r="BP11" s="9"/>
      <c r="BQ11" s="15"/>
      <c r="BR11" s="9"/>
      <c r="BS11" s="15"/>
      <c r="BT11" s="9"/>
      <c r="BU11" s="15"/>
      <c r="BV11" s="9"/>
      <c r="BW11" s="15"/>
      <c r="BX11" s="9"/>
      <c r="BY11" s="15"/>
      <c r="BZ11" s="9"/>
      <c r="CA11" s="15"/>
      <c r="CB11" s="9"/>
      <c r="CC11" s="15"/>
      <c r="CD11" s="9"/>
      <c r="CE11" s="15"/>
      <c r="CF11" s="9"/>
      <c r="CG11" s="15"/>
      <c r="CH11" s="9"/>
      <c r="CI11" s="15"/>
      <c r="CJ11" s="9"/>
      <c r="CK11" s="15"/>
      <c r="CL11" s="9"/>
      <c r="CM11" s="15"/>
      <c r="CN11" s="9"/>
      <c r="CO11" s="15"/>
      <c r="CP11" s="9"/>
      <c r="CQ11" s="15"/>
      <c r="CR11" s="9"/>
    </row>
    <row r="12" spans="1:96" x14ac:dyDescent="0.25">
      <c r="A12" s="41"/>
      <c r="B12" s="9">
        <v>485.9</v>
      </c>
      <c r="C12" s="15" t="s">
        <v>13098</v>
      </c>
      <c r="D12" s="9">
        <v>3250.01</v>
      </c>
      <c r="E12" s="15" t="s">
        <v>13154</v>
      </c>
      <c r="F12" s="9">
        <v>475.19</v>
      </c>
      <c r="G12" s="15" t="s">
        <v>13239</v>
      </c>
      <c r="H12" s="9">
        <v>1099.01</v>
      </c>
      <c r="I12" s="15" t="s">
        <v>13178</v>
      </c>
      <c r="J12" s="9">
        <v>1970</v>
      </c>
      <c r="K12" s="15" t="s">
        <v>13213</v>
      </c>
      <c r="L12" s="9">
        <v>966</v>
      </c>
      <c r="M12" s="15" t="s">
        <v>13331</v>
      </c>
      <c r="N12" s="9"/>
      <c r="O12" s="15"/>
      <c r="P12" s="9">
        <v>1970</v>
      </c>
      <c r="Q12" s="15" t="s">
        <v>13434</v>
      </c>
      <c r="R12" s="9"/>
      <c r="S12" s="15"/>
      <c r="T12" s="9">
        <v>1099</v>
      </c>
      <c r="U12" s="15" t="s">
        <v>13525</v>
      </c>
      <c r="V12" s="9"/>
      <c r="W12" s="15"/>
      <c r="X12" s="9">
        <v>1099</v>
      </c>
      <c r="Y12" s="15" t="s">
        <v>13561</v>
      </c>
      <c r="Z12" s="15">
        <v>96.85</v>
      </c>
      <c r="AA12" s="15" t="s">
        <v>13606</v>
      </c>
      <c r="AB12" s="9">
        <v>2065.0100000000002</v>
      </c>
      <c r="AC12" s="26" t="s">
        <v>13666</v>
      </c>
      <c r="AD12" s="9">
        <v>232</v>
      </c>
      <c r="AE12" s="26" t="s">
        <v>13718</v>
      </c>
      <c r="AF12" s="72">
        <v>1099</v>
      </c>
      <c r="AG12" s="86" t="s">
        <v>13763</v>
      </c>
      <c r="AH12" s="72">
        <v>1099</v>
      </c>
      <c r="AI12" s="86" t="s">
        <v>13811</v>
      </c>
      <c r="AJ12" s="72"/>
      <c r="AK12" s="15"/>
      <c r="AL12" s="72"/>
      <c r="AM12" s="85"/>
      <c r="AN12" s="9">
        <v>1099</v>
      </c>
      <c r="AO12" s="15" t="s">
        <v>13849</v>
      </c>
      <c r="AP12" s="9">
        <v>1099</v>
      </c>
      <c r="AQ12" s="15" t="s">
        <v>13892</v>
      </c>
      <c r="AR12" s="9">
        <v>1082.51</v>
      </c>
      <c r="AS12" s="15" t="s">
        <v>13950</v>
      </c>
      <c r="AT12" s="9">
        <v>1970</v>
      </c>
      <c r="AU12" s="15" t="s">
        <v>14011</v>
      </c>
      <c r="AV12" s="7">
        <v>3250</v>
      </c>
      <c r="AW12" s="26" t="s">
        <v>14061</v>
      </c>
      <c r="AX12" s="222"/>
      <c r="AY12" s="106"/>
      <c r="AZ12" s="9">
        <v>1099</v>
      </c>
      <c r="BA12" s="15" t="s">
        <v>14098</v>
      </c>
      <c r="BB12" s="9">
        <v>1994.99</v>
      </c>
      <c r="BC12" s="15" t="s">
        <v>10465</v>
      </c>
      <c r="BD12" s="7">
        <v>64000</v>
      </c>
      <c r="BE12" s="26" t="s">
        <v>14294</v>
      </c>
      <c r="BF12" s="9"/>
      <c r="BG12" s="15"/>
      <c r="BH12" s="9"/>
      <c r="BI12" s="15"/>
      <c r="BJ12" s="120"/>
      <c r="BK12" s="15"/>
      <c r="BL12" s="9"/>
      <c r="BM12" s="15"/>
      <c r="BN12" s="9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  <c r="CO12" s="15"/>
      <c r="CP12" s="9"/>
      <c r="CQ12" s="15"/>
      <c r="CR12" s="9"/>
    </row>
    <row r="13" spans="1:96" x14ac:dyDescent="0.25">
      <c r="A13" s="41"/>
      <c r="B13" s="9">
        <v>1169.01</v>
      </c>
      <c r="C13" s="15" t="s">
        <v>13101</v>
      </c>
      <c r="D13" s="9">
        <v>92.87</v>
      </c>
      <c r="E13" s="15" t="s">
        <v>13155</v>
      </c>
      <c r="F13" s="9">
        <v>3250</v>
      </c>
      <c r="G13" s="15" t="s">
        <v>13243</v>
      </c>
      <c r="H13" s="9">
        <v>1898.99</v>
      </c>
      <c r="I13" s="15" t="s">
        <v>13179</v>
      </c>
      <c r="J13" s="9">
        <v>1099</v>
      </c>
      <c r="K13" s="15" t="s">
        <v>13215</v>
      </c>
      <c r="L13" s="9">
        <v>1169</v>
      </c>
      <c r="M13" s="15" t="s">
        <v>13335</v>
      </c>
      <c r="N13" s="9">
        <v>1000</v>
      </c>
      <c r="O13" s="15" t="s">
        <v>13374</v>
      </c>
      <c r="P13" s="9"/>
      <c r="Q13" s="15"/>
      <c r="R13" s="9">
        <v>1426.82</v>
      </c>
      <c r="S13" s="15" t="s">
        <v>13475</v>
      </c>
      <c r="T13" s="9">
        <v>11623.1</v>
      </c>
      <c r="U13" s="15" t="s">
        <v>13527</v>
      </c>
      <c r="V13" s="9"/>
      <c r="W13" s="26"/>
      <c r="X13" s="9"/>
      <c r="Y13" s="15"/>
      <c r="Z13" s="15">
        <v>590.85</v>
      </c>
      <c r="AA13" s="15" t="s">
        <v>13607</v>
      </c>
      <c r="AB13" s="9">
        <f>6055.94-4663.94</f>
        <v>1392</v>
      </c>
      <c r="AC13" s="15" t="s">
        <v>13669</v>
      </c>
      <c r="AD13" s="9">
        <v>1099</v>
      </c>
      <c r="AE13" s="15" t="s">
        <v>13708</v>
      </c>
      <c r="AF13" s="72">
        <v>27.84</v>
      </c>
      <c r="AG13" s="86" t="s">
        <v>13764</v>
      </c>
      <c r="AH13" s="72">
        <f>6038.99-1350</f>
        <v>4688.99</v>
      </c>
      <c r="AI13" s="15" t="s">
        <v>13814</v>
      </c>
      <c r="AJ13" s="9"/>
      <c r="AK13" s="15"/>
      <c r="AL13" s="72"/>
      <c r="AM13" s="26"/>
      <c r="AN13" s="9">
        <v>43248.08</v>
      </c>
      <c r="AO13" s="15" t="s">
        <v>13854</v>
      </c>
      <c r="AP13" s="9">
        <v>1970</v>
      </c>
      <c r="AQ13" s="26" t="s">
        <v>13893</v>
      </c>
      <c r="AR13" s="9">
        <v>1771.34</v>
      </c>
      <c r="AS13" s="26" t="s">
        <v>13951</v>
      </c>
      <c r="AT13" s="9">
        <v>1099.01</v>
      </c>
      <c r="AU13" s="26" t="s">
        <v>14013</v>
      </c>
      <c r="AV13" s="7">
        <v>1099</v>
      </c>
      <c r="AW13" s="26" t="s">
        <v>14063</v>
      </c>
      <c r="AX13" s="222"/>
      <c r="AY13" s="106"/>
      <c r="AZ13" s="9">
        <v>2270.9299999999998</v>
      </c>
      <c r="BA13" s="15" t="s">
        <v>14101</v>
      </c>
      <c r="BB13" s="9">
        <v>1216.4100000000001</v>
      </c>
      <c r="BC13" s="15" t="s">
        <v>14166</v>
      </c>
      <c r="BD13" s="7">
        <v>639.13</v>
      </c>
      <c r="BE13" s="26" t="s">
        <v>14295</v>
      </c>
      <c r="BF13" s="9">
        <v>4600</v>
      </c>
      <c r="BG13" s="15" t="s">
        <v>14308</v>
      </c>
      <c r="BH13" s="9"/>
      <c r="BI13" s="15"/>
      <c r="BJ13" s="9"/>
      <c r="BK13" s="15"/>
      <c r="BL13" s="9"/>
      <c r="BM13" s="15"/>
      <c r="BN13" s="9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  <c r="CO13" s="15"/>
      <c r="CP13" s="9"/>
      <c r="CQ13" s="15"/>
      <c r="CR13" s="9"/>
    </row>
    <row r="14" spans="1:96" x14ac:dyDescent="0.25">
      <c r="A14" s="41"/>
      <c r="B14" s="9">
        <v>6755</v>
      </c>
      <c r="C14" s="15" t="s">
        <v>13102</v>
      </c>
      <c r="D14" s="7">
        <v>729.52</v>
      </c>
      <c r="E14" s="26" t="s">
        <v>13156</v>
      </c>
      <c r="F14" s="9">
        <v>4146</v>
      </c>
      <c r="G14" s="26" t="s">
        <v>13249</v>
      </c>
      <c r="H14" s="9">
        <v>1099.01</v>
      </c>
      <c r="I14" s="15" t="s">
        <v>13181</v>
      </c>
      <c r="J14" s="9"/>
      <c r="K14" s="26"/>
      <c r="L14" s="9">
        <v>1750</v>
      </c>
      <c r="M14" s="26" t="s">
        <v>13337</v>
      </c>
      <c r="N14" s="7">
        <v>45000</v>
      </c>
      <c r="O14" s="26" t="s">
        <v>13375</v>
      </c>
      <c r="P14" s="9">
        <v>466.83</v>
      </c>
      <c r="Q14" s="26" t="s">
        <v>13438</v>
      </c>
      <c r="R14" s="9">
        <v>4990</v>
      </c>
      <c r="S14" s="26" t="s">
        <v>13477</v>
      </c>
      <c r="T14" s="7">
        <v>439.64</v>
      </c>
      <c r="U14" s="26" t="s">
        <v>13531</v>
      </c>
      <c r="V14" s="9"/>
      <c r="W14" s="26"/>
      <c r="X14" s="9">
        <v>45000</v>
      </c>
      <c r="Y14" s="26" t="s">
        <v>13562</v>
      </c>
      <c r="Z14" s="26">
        <v>1099</v>
      </c>
      <c r="AA14" s="26" t="s">
        <v>13614</v>
      </c>
      <c r="AB14" s="9">
        <v>1169</v>
      </c>
      <c r="AC14" s="15" t="s">
        <v>13671</v>
      </c>
      <c r="AD14" s="9">
        <v>57.42</v>
      </c>
      <c r="AE14" s="15" t="s">
        <v>13726</v>
      </c>
      <c r="AF14" s="72">
        <v>7960.95</v>
      </c>
      <c r="AG14" s="86" t="s">
        <v>13769</v>
      </c>
      <c r="AH14" s="72">
        <v>1099.01</v>
      </c>
      <c r="AI14" s="26" t="s">
        <v>13820</v>
      </c>
      <c r="AJ14" s="9"/>
      <c r="AK14" s="15"/>
      <c r="AL14" s="72"/>
      <c r="AM14" s="26"/>
      <c r="AN14" s="9">
        <v>1080.54</v>
      </c>
      <c r="AO14" s="15" t="s">
        <v>13844</v>
      </c>
      <c r="AP14" s="9">
        <v>1970</v>
      </c>
      <c r="AQ14" s="26" t="s">
        <v>13894</v>
      </c>
      <c r="AR14" s="9">
        <v>1995</v>
      </c>
      <c r="AS14" s="26" t="s">
        <v>13952</v>
      </c>
      <c r="AT14" s="9">
        <v>1099</v>
      </c>
      <c r="AU14" s="26" t="s">
        <v>14014</v>
      </c>
      <c r="AV14" s="7">
        <v>3169</v>
      </c>
      <c r="AW14" s="26" t="s">
        <v>14064</v>
      </c>
      <c r="AX14" s="9"/>
      <c r="AY14" s="26"/>
      <c r="AZ14" s="9">
        <v>654.07000000000005</v>
      </c>
      <c r="BA14" s="26" t="s">
        <v>14103</v>
      </c>
      <c r="BB14" s="7"/>
      <c r="BC14" s="26"/>
      <c r="BD14" s="7">
        <v>160000</v>
      </c>
      <c r="BE14" s="26" t="s">
        <v>14296</v>
      </c>
      <c r="BF14" s="9">
        <v>2970</v>
      </c>
      <c r="BG14" s="26" t="s">
        <v>14309</v>
      </c>
      <c r="BH14" s="9"/>
      <c r="BI14" s="26"/>
      <c r="BJ14" s="9"/>
      <c r="BK14" s="15"/>
      <c r="BL14" s="9"/>
      <c r="BM14" s="15"/>
      <c r="BN14" s="9"/>
      <c r="BO14" s="15"/>
      <c r="BP14" s="9"/>
      <c r="BQ14" s="15"/>
      <c r="BR14" s="9"/>
      <c r="BS14" s="15"/>
      <c r="BT14" s="9"/>
      <c r="BU14" s="15"/>
      <c r="BV14" s="9"/>
      <c r="BW14" s="15"/>
      <c r="BX14" s="9"/>
      <c r="BY14" s="15"/>
      <c r="BZ14" s="9"/>
      <c r="CA14" s="15"/>
      <c r="CB14" s="9"/>
      <c r="CC14" s="15"/>
      <c r="CD14" s="9"/>
      <c r="CE14" s="15"/>
      <c r="CF14" s="9"/>
      <c r="CG14" s="15"/>
      <c r="CH14" s="9"/>
      <c r="CI14" s="15"/>
      <c r="CJ14" s="9"/>
      <c r="CK14" s="15"/>
      <c r="CL14" s="9"/>
      <c r="CM14" s="15"/>
      <c r="CN14" s="9"/>
      <c r="CO14" s="15"/>
      <c r="CP14" s="9"/>
      <c r="CQ14" s="15"/>
      <c r="CR14" s="9"/>
    </row>
    <row r="15" spans="1:96" x14ac:dyDescent="0.25">
      <c r="A15" s="41"/>
      <c r="B15" s="9">
        <v>3356.18</v>
      </c>
      <c r="C15" s="15" t="s">
        <v>13103</v>
      </c>
      <c r="D15" s="7">
        <f>1805.77-1096.76</f>
        <v>709.01</v>
      </c>
      <c r="E15" s="26" t="s">
        <v>13157</v>
      </c>
      <c r="F15" s="9">
        <v>1099</v>
      </c>
      <c r="G15" s="26" t="s">
        <v>13251</v>
      </c>
      <c r="H15" s="9">
        <v>1099</v>
      </c>
      <c r="I15" s="15" t="s">
        <v>13186</v>
      </c>
      <c r="J15" s="112">
        <v>4673.3999999999996</v>
      </c>
      <c r="K15" s="26" t="s">
        <v>13270</v>
      </c>
      <c r="L15" s="9"/>
      <c r="M15" s="26"/>
      <c r="N15" s="7">
        <v>35000</v>
      </c>
      <c r="O15" s="26" t="s">
        <v>13377</v>
      </c>
      <c r="P15" s="9">
        <v>1099</v>
      </c>
      <c r="Q15" s="26" t="s">
        <v>13449</v>
      </c>
      <c r="R15" s="9">
        <v>159.69</v>
      </c>
      <c r="S15" s="26" t="s">
        <v>13480</v>
      </c>
      <c r="T15" s="7">
        <v>232</v>
      </c>
      <c r="U15" s="26" t="s">
        <v>13534</v>
      </c>
      <c r="V15" s="7"/>
      <c r="W15" s="26"/>
      <c r="X15" s="9">
        <v>100000</v>
      </c>
      <c r="Y15" s="26" t="s">
        <v>13564</v>
      </c>
      <c r="Z15" s="26">
        <v>9012.82</v>
      </c>
      <c r="AA15" s="26" t="s">
        <v>13615</v>
      </c>
      <c r="AB15" s="9">
        <v>464</v>
      </c>
      <c r="AC15" s="26" t="s">
        <v>13672</v>
      </c>
      <c r="AD15" s="9">
        <v>1857.69</v>
      </c>
      <c r="AE15" s="15" t="s">
        <v>13727</v>
      </c>
      <c r="AF15" s="72">
        <v>1970</v>
      </c>
      <c r="AG15" s="86" t="s">
        <v>13740</v>
      </c>
      <c r="AH15" s="72">
        <v>1168.99</v>
      </c>
      <c r="AI15" s="26" t="s">
        <v>13822</v>
      </c>
      <c r="AJ15" s="7"/>
      <c r="AK15" s="26"/>
      <c r="AL15" s="87"/>
      <c r="AM15" s="9"/>
      <c r="AN15" s="9"/>
      <c r="AO15" s="15"/>
      <c r="AP15" s="9">
        <f>1970-800</f>
        <v>1170</v>
      </c>
      <c r="AQ15" s="26" t="s">
        <v>13899</v>
      </c>
      <c r="AR15" s="11">
        <v>3169</v>
      </c>
      <c r="AS15" s="12" t="s">
        <v>13954</v>
      </c>
      <c r="AT15" s="9">
        <v>1970</v>
      </c>
      <c r="AU15" s="26" t="s">
        <v>14015</v>
      </c>
      <c r="AV15" s="7">
        <v>1970</v>
      </c>
      <c r="AW15" s="26" t="s">
        <v>14067</v>
      </c>
      <c r="AX15" s="9"/>
      <c r="AY15" s="26"/>
      <c r="AZ15" s="9">
        <v>409.99</v>
      </c>
      <c r="BA15" s="26" t="s">
        <v>14104</v>
      </c>
      <c r="BB15" s="9">
        <v>822.7</v>
      </c>
      <c r="BC15" s="26" t="s">
        <v>14227</v>
      </c>
      <c r="BD15" s="7">
        <v>41000</v>
      </c>
      <c r="BE15" s="26" t="s">
        <v>14298</v>
      </c>
      <c r="BF15" s="9">
        <v>522</v>
      </c>
      <c r="BG15" s="26" t="s">
        <v>14317</v>
      </c>
      <c r="BH15" s="9"/>
      <c r="BI15" s="26"/>
      <c r="BJ15" s="9"/>
      <c r="BK15" s="15"/>
      <c r="BL15" s="9"/>
      <c r="BM15" s="15"/>
      <c r="BN15" s="9"/>
      <c r="BO15" s="15"/>
      <c r="BP15" s="9"/>
      <c r="BQ15" s="15"/>
      <c r="BR15" s="9"/>
      <c r="BS15" s="15"/>
      <c r="BT15" s="9"/>
      <c r="BU15" s="15"/>
      <c r="BV15" s="9"/>
      <c r="BW15" s="15"/>
      <c r="BX15" s="9"/>
      <c r="BY15" s="15"/>
      <c r="BZ15" s="9"/>
      <c r="CA15" s="15"/>
      <c r="CB15" s="9"/>
      <c r="CC15" s="15"/>
      <c r="CD15" s="9"/>
      <c r="CE15" s="15"/>
      <c r="CF15" s="9"/>
      <c r="CG15" s="15"/>
      <c r="CH15" s="9"/>
      <c r="CI15" s="15"/>
      <c r="CJ15" s="9"/>
      <c r="CK15" s="15"/>
      <c r="CL15" s="9"/>
      <c r="CM15" s="15"/>
      <c r="CN15" s="9"/>
      <c r="CO15" s="15"/>
      <c r="CP15" s="9"/>
      <c r="CQ15" s="15"/>
      <c r="CR15" s="9"/>
    </row>
    <row r="16" spans="1:96" x14ac:dyDescent="0.25">
      <c r="A16" s="41"/>
      <c r="B16" s="9">
        <v>1099.01</v>
      </c>
      <c r="C16" s="15" t="s">
        <v>13107</v>
      </c>
      <c r="D16" s="7"/>
      <c r="E16" s="26"/>
      <c r="F16" s="9">
        <v>3250</v>
      </c>
      <c r="G16" s="26" t="s">
        <v>13252</v>
      </c>
      <c r="H16" s="9">
        <v>1994.99</v>
      </c>
      <c r="I16" s="15" t="s">
        <v>13187</v>
      </c>
      <c r="J16" s="112">
        <v>151.88</v>
      </c>
      <c r="K16" s="26" t="s">
        <v>13271</v>
      </c>
      <c r="L16" s="9">
        <v>350</v>
      </c>
      <c r="M16" s="26" t="s">
        <v>13338</v>
      </c>
      <c r="N16" s="7">
        <v>7737.4</v>
      </c>
      <c r="O16" s="26" t="s">
        <v>13379</v>
      </c>
      <c r="P16" s="9">
        <v>232</v>
      </c>
      <c r="Q16" s="26" t="s">
        <v>13451</v>
      </c>
      <c r="R16" s="9">
        <v>382.38</v>
      </c>
      <c r="S16" s="26" t="s">
        <v>13482</v>
      </c>
      <c r="T16" s="9">
        <v>1994.99</v>
      </c>
      <c r="U16" s="26" t="s">
        <v>13547</v>
      </c>
      <c r="V16" s="9"/>
      <c r="W16" s="26"/>
      <c r="X16" s="9">
        <v>4395</v>
      </c>
      <c r="Y16" s="26" t="s">
        <v>13565</v>
      </c>
      <c r="Z16" s="26">
        <v>464</v>
      </c>
      <c r="AA16" s="26" t="s">
        <v>13617</v>
      </c>
      <c r="AB16" s="9">
        <f>4118.07-2726.06</f>
        <v>1392.0099999999998</v>
      </c>
      <c r="AC16" s="26" t="s">
        <v>13673</v>
      </c>
      <c r="AD16" s="9">
        <v>1099.01</v>
      </c>
      <c r="AE16" s="15" t="s">
        <v>13728</v>
      </c>
      <c r="AF16" s="72">
        <v>1099.01</v>
      </c>
      <c r="AG16" s="86" t="s">
        <v>13770</v>
      </c>
      <c r="AH16" s="72"/>
      <c r="AI16" s="26"/>
      <c r="AJ16" s="7"/>
      <c r="AK16" s="26"/>
      <c r="AL16" s="87"/>
      <c r="AM16" s="26"/>
      <c r="AN16" s="9">
        <v>551.08000000000004</v>
      </c>
      <c r="AO16" s="15" t="s">
        <v>13823</v>
      </c>
      <c r="AP16" s="9">
        <v>776.99</v>
      </c>
      <c r="AQ16" s="26" t="s">
        <v>13900</v>
      </c>
      <c r="AR16" s="9">
        <v>1970</v>
      </c>
      <c r="AS16" s="26" t="s">
        <v>13955</v>
      </c>
      <c r="AT16" s="9">
        <v>3459</v>
      </c>
      <c r="AU16" s="7" t="s">
        <v>14017</v>
      </c>
      <c r="AV16" s="7">
        <v>505.01</v>
      </c>
      <c r="AW16" s="26" t="s">
        <v>14068</v>
      </c>
      <c r="AX16" s="9"/>
      <c r="AY16" s="26"/>
      <c r="AZ16" s="9">
        <v>1857.39</v>
      </c>
      <c r="BA16" s="26" t="s">
        <v>14105</v>
      </c>
      <c r="BB16" s="9">
        <v>60000</v>
      </c>
      <c r="BC16" s="26" t="s">
        <v>14228</v>
      </c>
      <c r="BD16" s="7">
        <v>92.87</v>
      </c>
      <c r="BE16" s="26" t="s">
        <v>14186</v>
      </c>
      <c r="BF16" s="9">
        <v>4000</v>
      </c>
      <c r="BG16" s="26" t="s">
        <v>14318</v>
      </c>
      <c r="BH16" s="9"/>
      <c r="BI16" s="26"/>
      <c r="BJ16" s="120"/>
      <c r="BK16" s="120"/>
      <c r="BL16" s="9"/>
      <c r="BM16" s="15"/>
      <c r="BN16" s="9"/>
      <c r="BO16" s="15"/>
      <c r="BP16" s="9"/>
      <c r="BQ16" s="15"/>
      <c r="BR16" s="9"/>
      <c r="BS16" s="15"/>
      <c r="BT16" s="9"/>
      <c r="BU16" s="15"/>
      <c r="BV16" s="9"/>
      <c r="BW16" s="15"/>
      <c r="BX16" s="9"/>
      <c r="BY16" s="15"/>
      <c r="BZ16" s="9"/>
      <c r="CA16" s="15"/>
      <c r="CB16" s="9"/>
      <c r="CC16" s="15"/>
      <c r="CD16" s="9"/>
      <c r="CE16" s="15"/>
      <c r="CF16" s="9"/>
      <c r="CG16" s="15"/>
      <c r="CH16" s="9"/>
      <c r="CI16" s="15"/>
      <c r="CJ16" s="9"/>
      <c r="CK16" s="15"/>
      <c r="CL16" s="9"/>
      <c r="CM16" s="15"/>
      <c r="CN16" s="9"/>
      <c r="CO16" s="15"/>
      <c r="CP16" s="9"/>
      <c r="CQ16" s="15"/>
      <c r="CR16" s="9"/>
    </row>
    <row r="17" spans="1:96" x14ac:dyDescent="0.25">
      <c r="A17" s="41"/>
      <c r="B17" s="9">
        <v>1099.01</v>
      </c>
      <c r="C17" s="15" t="s">
        <v>13108</v>
      </c>
      <c r="D17" s="7"/>
      <c r="E17" s="26"/>
      <c r="F17" s="9">
        <v>17759.25</v>
      </c>
      <c r="G17" s="26" t="s">
        <v>13254</v>
      </c>
      <c r="H17" s="9">
        <v>261</v>
      </c>
      <c r="I17" s="15" t="s">
        <v>13193</v>
      </c>
      <c r="J17" s="112">
        <v>25572.17</v>
      </c>
      <c r="K17" s="9" t="s">
        <v>13274</v>
      </c>
      <c r="L17" s="9">
        <v>308.56</v>
      </c>
      <c r="M17" s="26" t="s">
        <v>13341</v>
      </c>
      <c r="N17" s="7">
        <v>2800</v>
      </c>
      <c r="O17" s="26" t="s">
        <v>13383</v>
      </c>
      <c r="P17" s="9">
        <v>783</v>
      </c>
      <c r="Q17" s="26" t="s">
        <v>13452</v>
      </c>
      <c r="R17" s="9">
        <v>9</v>
      </c>
      <c r="S17" s="15" t="s">
        <v>13485</v>
      </c>
      <c r="T17" s="9"/>
      <c r="U17" s="26"/>
      <c r="V17" s="9"/>
      <c r="W17" s="26"/>
      <c r="X17" s="9">
        <v>1995</v>
      </c>
      <c r="Y17" s="26" t="s">
        <v>13566</v>
      </c>
      <c r="Z17" s="26">
        <v>1970</v>
      </c>
      <c r="AA17" s="26" t="s">
        <v>13619</v>
      </c>
      <c r="AB17" s="9">
        <v>504.99</v>
      </c>
      <c r="AC17" s="26" t="s">
        <v>13677</v>
      </c>
      <c r="AD17" s="9">
        <v>4376</v>
      </c>
      <c r="AE17" s="26" t="s">
        <v>13729</v>
      </c>
      <c r="AF17" s="72">
        <v>1994.99</v>
      </c>
      <c r="AG17" s="86" t="s">
        <v>13772</v>
      </c>
      <c r="AH17" s="72"/>
      <c r="AI17" s="26"/>
      <c r="AJ17" s="7"/>
      <c r="AK17" s="26"/>
      <c r="AL17" s="72"/>
      <c r="AM17" s="15"/>
      <c r="AN17" s="9">
        <v>79.44</v>
      </c>
      <c r="AO17" s="15" t="s">
        <v>13858</v>
      </c>
      <c r="AP17" s="9"/>
      <c r="AQ17" s="26"/>
      <c r="AR17" s="9">
        <v>3250</v>
      </c>
      <c r="AS17" s="26" t="s">
        <v>13956</v>
      </c>
      <c r="AT17" s="9"/>
      <c r="AU17" s="15"/>
      <c r="AV17" s="7">
        <v>1995</v>
      </c>
      <c r="AW17" s="26" t="s">
        <v>14072</v>
      </c>
      <c r="AX17" s="9"/>
      <c r="AY17" s="26"/>
      <c r="AZ17" s="9"/>
      <c r="BA17" s="26"/>
      <c r="BB17" s="9">
        <v>750</v>
      </c>
      <c r="BC17" s="26" t="s">
        <v>14233</v>
      </c>
      <c r="BD17" s="9">
        <v>1099.01</v>
      </c>
      <c r="BE17" s="15" t="s">
        <v>14301</v>
      </c>
      <c r="BF17" s="9">
        <v>3411.64</v>
      </c>
      <c r="BG17" s="26" t="s">
        <v>14319</v>
      </c>
      <c r="BH17" s="9"/>
      <c r="BI17" s="26"/>
      <c r="BJ17" s="9"/>
      <c r="BK17" s="15"/>
      <c r="BL17" s="9"/>
      <c r="BM17" s="15"/>
      <c r="BN17" s="9"/>
      <c r="BO17" s="15"/>
      <c r="BP17" s="9"/>
      <c r="BQ17" s="15"/>
      <c r="BR17" s="9"/>
      <c r="BS17" s="15"/>
      <c r="BT17" s="9"/>
      <c r="BU17" s="15"/>
      <c r="BV17" s="9"/>
      <c r="BW17" s="15"/>
      <c r="BX17" s="9"/>
      <c r="BY17" s="15"/>
      <c r="BZ17" s="9"/>
      <c r="CA17" s="15"/>
      <c r="CB17" s="9"/>
      <c r="CC17" s="15"/>
      <c r="CD17" s="9"/>
      <c r="CE17" s="15"/>
      <c r="CF17" s="9"/>
      <c r="CG17" s="15"/>
      <c r="CH17" s="9"/>
      <c r="CI17" s="15"/>
      <c r="CJ17" s="9"/>
      <c r="CK17" s="15"/>
      <c r="CL17" s="9"/>
      <c r="CM17" s="15"/>
      <c r="CN17" s="9"/>
      <c r="CO17" s="15"/>
      <c r="CP17" s="9"/>
      <c r="CQ17" s="15"/>
      <c r="CR17" s="9"/>
    </row>
    <row r="18" spans="1:96" x14ac:dyDescent="0.25">
      <c r="A18" s="41"/>
      <c r="B18" s="9"/>
      <c r="C18" s="15"/>
      <c r="D18" s="7"/>
      <c r="E18" s="26"/>
      <c r="F18" s="9">
        <v>2202</v>
      </c>
      <c r="G18" s="26" t="s">
        <v>13255</v>
      </c>
      <c r="H18" s="9">
        <v>7184</v>
      </c>
      <c r="I18" s="15" t="s">
        <v>13196</v>
      </c>
      <c r="J18" s="112">
        <v>4395.01</v>
      </c>
      <c r="K18" s="15" t="s">
        <v>13284</v>
      </c>
      <c r="L18" s="9">
        <v>8500</v>
      </c>
      <c r="M18" s="26" t="s">
        <v>13343</v>
      </c>
      <c r="N18" s="7">
        <v>1099</v>
      </c>
      <c r="O18" s="26" t="s">
        <v>13391</v>
      </c>
      <c r="P18" s="9">
        <v>1970</v>
      </c>
      <c r="Q18" s="26" t="s">
        <v>13453</v>
      </c>
      <c r="R18" s="9">
        <v>464</v>
      </c>
      <c r="S18" s="15" t="s">
        <v>13486</v>
      </c>
      <c r="T18" s="9"/>
      <c r="U18" s="26"/>
      <c r="V18" s="9"/>
      <c r="W18" s="26"/>
      <c r="X18" s="9">
        <v>10657.01</v>
      </c>
      <c r="Y18" s="26" t="s">
        <v>13569</v>
      </c>
      <c r="Z18" s="26">
        <v>3414.01</v>
      </c>
      <c r="AA18" s="26" t="s">
        <v>13622</v>
      </c>
      <c r="AB18" s="9"/>
      <c r="AC18" s="26"/>
      <c r="AD18" s="9">
        <v>949.22</v>
      </c>
      <c r="AE18" s="26" t="s">
        <v>13731</v>
      </c>
      <c r="AF18" s="72">
        <v>1169.01</v>
      </c>
      <c r="AG18" s="86" t="s">
        <v>13774</v>
      </c>
      <c r="AH18" s="72"/>
      <c r="AI18" s="26"/>
      <c r="AJ18" s="9"/>
      <c r="AK18" s="15"/>
      <c r="AL18" s="87"/>
      <c r="AM18" s="26"/>
      <c r="AN18" s="9">
        <v>1994.99</v>
      </c>
      <c r="AO18" s="15" t="s">
        <v>13862</v>
      </c>
      <c r="AP18" s="9">
        <v>100</v>
      </c>
      <c r="AQ18" s="26" t="s">
        <v>13903</v>
      </c>
      <c r="AR18" s="9">
        <v>1099</v>
      </c>
      <c r="AS18" s="26" t="s">
        <v>13957</v>
      </c>
      <c r="AT18" s="7">
        <v>187000</v>
      </c>
      <c r="AU18" s="26" t="s">
        <v>14024</v>
      </c>
      <c r="AV18" s="9">
        <v>1970</v>
      </c>
      <c r="AW18" s="15" t="s">
        <v>14081</v>
      </c>
      <c r="AX18" s="9"/>
      <c r="AY18" s="26"/>
      <c r="AZ18" s="9">
        <v>66.63</v>
      </c>
      <c r="BA18" s="26" t="s">
        <v>14106</v>
      </c>
      <c r="BB18" s="9">
        <v>2390</v>
      </c>
      <c r="BC18" s="26" t="s">
        <v>14234</v>
      </c>
      <c r="BD18" s="9">
        <v>1169</v>
      </c>
      <c r="BE18" s="15" t="s">
        <v>14305</v>
      </c>
      <c r="BF18" s="9">
        <v>79.44</v>
      </c>
      <c r="BG18" s="26" t="s">
        <v>14320</v>
      </c>
      <c r="BH18" s="9"/>
      <c r="BI18" s="26"/>
      <c r="BJ18" s="9"/>
      <c r="BK18" s="15"/>
      <c r="BL18" s="9"/>
      <c r="BM18" s="15"/>
      <c r="BN18" s="9"/>
      <c r="BO18" s="15"/>
      <c r="BP18" s="9"/>
      <c r="BQ18" s="15"/>
      <c r="BR18" s="9"/>
      <c r="BS18" s="15"/>
      <c r="BT18" s="9"/>
      <c r="BU18" s="15"/>
      <c r="BV18" s="9"/>
      <c r="BW18" s="15"/>
      <c r="BX18" s="9"/>
      <c r="BY18" s="15"/>
      <c r="BZ18" s="9"/>
      <c r="CA18" s="15"/>
      <c r="CB18" s="9"/>
      <c r="CC18" s="15"/>
      <c r="CD18" s="9"/>
      <c r="CE18" s="15"/>
      <c r="CF18" s="9"/>
      <c r="CG18" s="15"/>
      <c r="CH18" s="9"/>
      <c r="CI18" s="15"/>
      <c r="CJ18" s="9"/>
      <c r="CK18" s="15"/>
      <c r="CL18" s="9"/>
      <c r="CM18" s="15"/>
      <c r="CN18" s="9"/>
      <c r="CO18" s="15"/>
      <c r="CP18" s="9"/>
      <c r="CQ18" s="15"/>
      <c r="CR18" s="9"/>
    </row>
    <row r="19" spans="1:96" x14ac:dyDescent="0.25">
      <c r="A19" s="41"/>
      <c r="B19" s="9">
        <v>4224.9799999999996</v>
      </c>
      <c r="C19" s="15" t="s">
        <v>13110</v>
      </c>
      <c r="D19" s="7"/>
      <c r="E19" s="26"/>
      <c r="F19" s="9">
        <v>906.06</v>
      </c>
      <c r="G19" s="26" t="s">
        <v>13257</v>
      </c>
      <c r="H19" s="9">
        <v>510.01</v>
      </c>
      <c r="I19" s="15" t="s">
        <v>13197</v>
      </c>
      <c r="J19" s="112">
        <v>99</v>
      </c>
      <c r="K19" s="15" t="s">
        <v>13286</v>
      </c>
      <c r="L19" s="9">
        <v>1995</v>
      </c>
      <c r="M19" s="15" t="s">
        <v>13347</v>
      </c>
      <c r="N19" s="7">
        <v>1970</v>
      </c>
      <c r="O19" s="26" t="s">
        <v>13394</v>
      </c>
      <c r="P19" s="9">
        <v>2088</v>
      </c>
      <c r="Q19" s="26" t="s">
        <v>13455</v>
      </c>
      <c r="R19" s="9">
        <v>3320.01</v>
      </c>
      <c r="S19" s="26" t="s">
        <v>13487</v>
      </c>
      <c r="T19" s="9"/>
      <c r="U19" s="26"/>
      <c r="V19" s="9"/>
      <c r="W19" s="26"/>
      <c r="X19" s="9">
        <v>3600.11</v>
      </c>
      <c r="Y19" s="26" t="s">
        <v>13572</v>
      </c>
      <c r="Z19" s="26"/>
      <c r="AA19" s="26"/>
      <c r="AB19" s="9">
        <v>97</v>
      </c>
      <c r="AC19" s="26" t="s">
        <v>13682</v>
      </c>
      <c r="AD19" s="9">
        <v>117.66</v>
      </c>
      <c r="AE19" s="15" t="s">
        <v>13732</v>
      </c>
      <c r="AF19" s="72">
        <v>1970</v>
      </c>
      <c r="AG19" s="26" t="s">
        <v>13775</v>
      </c>
      <c r="AH19" s="72"/>
      <c r="AI19" s="26"/>
      <c r="AJ19" s="9"/>
      <c r="AK19" s="15"/>
      <c r="AL19" s="87"/>
      <c r="AM19" s="26"/>
      <c r="AN19" s="9">
        <v>1970</v>
      </c>
      <c r="AO19" s="15" t="s">
        <v>13863</v>
      </c>
      <c r="AP19" s="9">
        <v>36343.339999999997</v>
      </c>
      <c r="AQ19" s="26" t="s">
        <v>13908</v>
      </c>
      <c r="AR19" s="9">
        <v>3280</v>
      </c>
      <c r="AS19" s="26" t="s">
        <v>13958</v>
      </c>
      <c r="AT19" s="7">
        <v>628.51</v>
      </c>
      <c r="AU19" s="26" t="s">
        <v>14026</v>
      </c>
      <c r="AV19" s="7">
        <v>2099.9899999999998</v>
      </c>
      <c r="AW19" s="26" t="s">
        <v>14082</v>
      </c>
      <c r="AX19" s="9"/>
      <c r="AY19" s="26"/>
      <c r="AZ19" s="9">
        <v>1489.95</v>
      </c>
      <c r="BA19" s="26" t="s">
        <v>14108</v>
      </c>
      <c r="BB19" s="9">
        <v>5000</v>
      </c>
      <c r="BC19" s="26" t="s">
        <v>14240</v>
      </c>
      <c r="BD19" s="9">
        <v>1995</v>
      </c>
      <c r="BE19" s="15" t="s">
        <v>14307</v>
      </c>
      <c r="BF19" s="9">
        <v>1099</v>
      </c>
      <c r="BG19" s="26" t="s">
        <v>14322</v>
      </c>
      <c r="BH19" s="9"/>
      <c r="BI19" s="26"/>
      <c r="BJ19" s="9"/>
      <c r="BK19" s="15"/>
      <c r="BL19" s="9"/>
      <c r="BM19" s="15"/>
      <c r="BN19" s="9"/>
      <c r="BO19" s="15"/>
      <c r="BP19" s="9"/>
      <c r="BQ19" s="15"/>
      <c r="BR19" s="9"/>
      <c r="BS19" s="15"/>
      <c r="BT19" s="9"/>
      <c r="BU19" s="15"/>
      <c r="BV19" s="9"/>
      <c r="BW19" s="15"/>
      <c r="BX19" s="9"/>
      <c r="BY19" s="15"/>
      <c r="BZ19" s="9"/>
      <c r="CA19" s="15"/>
      <c r="CB19" s="9"/>
      <c r="CC19" s="15"/>
      <c r="CD19" s="9"/>
      <c r="CE19" s="15"/>
      <c r="CF19" s="9"/>
      <c r="CG19" s="15"/>
      <c r="CH19" s="9"/>
      <c r="CI19" s="15"/>
      <c r="CJ19" s="9"/>
      <c r="CK19" s="15"/>
      <c r="CL19" s="9"/>
      <c r="CM19" s="15"/>
      <c r="CN19" s="9"/>
      <c r="CO19" s="15"/>
      <c r="CP19" s="9"/>
      <c r="CQ19" s="15"/>
      <c r="CR19" s="9"/>
    </row>
    <row r="20" spans="1:96" x14ac:dyDescent="0.25">
      <c r="A20" s="41"/>
      <c r="B20" s="9">
        <v>785</v>
      </c>
      <c r="C20" s="15" t="s">
        <v>13114</v>
      </c>
      <c r="D20" s="7"/>
      <c r="E20" s="26"/>
      <c r="F20" s="9">
        <v>1169.01</v>
      </c>
      <c r="G20" s="26" t="s">
        <v>13258</v>
      </c>
      <c r="H20" s="9">
        <v>35411.9</v>
      </c>
      <c r="I20" s="15" t="s">
        <v>13198</v>
      </c>
      <c r="J20" s="112">
        <v>1664.41</v>
      </c>
      <c r="K20" s="15" t="s">
        <v>13287</v>
      </c>
      <c r="L20" s="9">
        <v>118.17</v>
      </c>
      <c r="M20" s="26" t="s">
        <v>13348</v>
      </c>
      <c r="N20" s="7">
        <v>2040.01</v>
      </c>
      <c r="O20" s="26" t="s">
        <v>13396</v>
      </c>
      <c r="P20" s="9">
        <v>189.89</v>
      </c>
      <c r="Q20" s="26" t="s">
        <v>13456</v>
      </c>
      <c r="R20" s="9">
        <v>7155.6</v>
      </c>
      <c r="S20" s="26" t="s">
        <v>13488</v>
      </c>
      <c r="T20" s="9"/>
      <c r="U20" s="26"/>
      <c r="V20" s="9"/>
      <c r="W20" s="26"/>
      <c r="X20" s="9">
        <v>9272.5400000000009</v>
      </c>
      <c r="Y20" s="26" t="s">
        <v>13573</v>
      </c>
      <c r="Z20" s="26">
        <v>546.27</v>
      </c>
      <c r="AA20" s="26" t="s">
        <v>13623</v>
      </c>
      <c r="AB20" s="9">
        <v>11900</v>
      </c>
      <c r="AC20" s="26" t="s">
        <v>13683</v>
      </c>
      <c r="AD20" s="9"/>
      <c r="AE20" s="26"/>
      <c r="AF20" s="72">
        <v>1648.59</v>
      </c>
      <c r="AG20" s="86" t="s">
        <v>13776</v>
      </c>
      <c r="AH20" s="72"/>
      <c r="AI20" s="26"/>
      <c r="AJ20" s="7"/>
      <c r="AK20" s="26"/>
      <c r="AL20" s="87"/>
      <c r="AM20" s="26"/>
      <c r="AN20" s="9"/>
      <c r="AO20" s="15"/>
      <c r="AP20" s="9">
        <v>90000</v>
      </c>
      <c r="AQ20" s="26" t="s">
        <v>13909</v>
      </c>
      <c r="AR20" s="9">
        <v>1970</v>
      </c>
      <c r="AS20" s="15" t="s">
        <v>13960</v>
      </c>
      <c r="AT20" s="72">
        <v>923.38</v>
      </c>
      <c r="AU20" s="24" t="s">
        <v>14027</v>
      </c>
      <c r="AV20" s="7">
        <v>971.05</v>
      </c>
      <c r="AW20" s="26" t="s">
        <v>14083</v>
      </c>
      <c r="AX20" s="9"/>
      <c r="AY20" s="26"/>
      <c r="AZ20" s="9">
        <v>7953.08</v>
      </c>
      <c r="BA20" s="26" t="s">
        <v>14116</v>
      </c>
      <c r="BB20" s="9">
        <v>21000</v>
      </c>
      <c r="BC20" s="26" t="s">
        <v>14241</v>
      </c>
      <c r="BD20" s="9"/>
      <c r="BE20" s="15"/>
      <c r="BF20" s="9">
        <v>2866</v>
      </c>
      <c r="BG20" s="26" t="s">
        <v>14323</v>
      </c>
      <c r="BH20" s="9"/>
      <c r="BI20" s="26"/>
      <c r="BJ20" s="9"/>
      <c r="BK20" s="15"/>
      <c r="BL20" s="9"/>
      <c r="BM20" s="15"/>
      <c r="BN20" s="9"/>
      <c r="BO20" s="15"/>
      <c r="BP20" s="9"/>
      <c r="BQ20" s="15"/>
      <c r="BR20" s="9"/>
      <c r="BS20" s="15"/>
      <c r="BT20" s="9"/>
      <c r="BU20" s="15"/>
      <c r="BV20" s="9"/>
      <c r="BW20" s="15"/>
      <c r="BX20" s="9"/>
      <c r="BY20" s="15"/>
      <c r="BZ20" s="9"/>
      <c r="CA20" s="15"/>
      <c r="CB20" s="9"/>
      <c r="CC20" s="15"/>
      <c r="CD20" s="9"/>
      <c r="CE20" s="15"/>
      <c r="CF20" s="9"/>
      <c r="CG20" s="15"/>
      <c r="CH20" s="9"/>
      <c r="CI20" s="15"/>
      <c r="CJ20" s="9"/>
      <c r="CK20" s="15"/>
      <c r="CL20" s="9"/>
      <c r="CM20" s="15"/>
      <c r="CN20" s="9"/>
      <c r="CO20" s="15"/>
      <c r="CP20" s="9"/>
      <c r="CQ20" s="15"/>
      <c r="CR20" s="9"/>
    </row>
    <row r="21" spans="1:96" x14ac:dyDescent="0.25">
      <c r="A21" s="41"/>
      <c r="B21" s="9">
        <f>13.91+2.22</f>
        <v>16.13</v>
      </c>
      <c r="C21" s="15" t="s">
        <v>13115</v>
      </c>
      <c r="D21" s="7"/>
      <c r="E21" s="26"/>
      <c r="F21" s="9">
        <v>1598.2</v>
      </c>
      <c r="G21" s="26" t="s">
        <v>13259</v>
      </c>
      <c r="H21" s="9">
        <v>6231.96</v>
      </c>
      <c r="I21" s="15" t="s">
        <v>13199</v>
      </c>
      <c r="J21" s="112">
        <v>35</v>
      </c>
      <c r="K21" s="26" t="s">
        <v>13292</v>
      </c>
      <c r="L21" s="9">
        <v>185.74</v>
      </c>
      <c r="M21" s="26" t="s">
        <v>13350</v>
      </c>
      <c r="N21" s="7">
        <v>580</v>
      </c>
      <c r="O21" s="26" t="s">
        <v>13397</v>
      </c>
      <c r="P21" s="9"/>
      <c r="Q21" s="26"/>
      <c r="R21" s="9">
        <v>1970</v>
      </c>
      <c r="S21" s="15" t="s">
        <v>13491</v>
      </c>
      <c r="T21" s="9"/>
      <c r="U21" s="26"/>
      <c r="V21" s="9"/>
      <c r="W21" s="26"/>
      <c r="X21" s="9">
        <v>60000</v>
      </c>
      <c r="Y21" s="26" t="s">
        <v>13575</v>
      </c>
      <c r="Z21" s="26">
        <v>127.46</v>
      </c>
      <c r="AA21" s="26" t="s">
        <v>13624</v>
      </c>
      <c r="AB21" s="9">
        <v>24500</v>
      </c>
      <c r="AC21" s="26" t="s">
        <v>13650</v>
      </c>
      <c r="AD21" s="9"/>
      <c r="AE21" s="26"/>
      <c r="AF21" s="72">
        <v>1970</v>
      </c>
      <c r="AG21" s="86" t="s">
        <v>13777</v>
      </c>
      <c r="AH21" s="72"/>
      <c r="AI21" s="26"/>
      <c r="AJ21" s="7"/>
      <c r="AK21" s="26"/>
      <c r="AL21" s="87"/>
      <c r="AM21" s="26"/>
      <c r="AN21" s="9"/>
      <c r="AO21" s="15"/>
      <c r="AP21" s="9">
        <v>1307.8499999999999</v>
      </c>
      <c r="AQ21" s="26" t="s">
        <v>13912</v>
      </c>
      <c r="AR21" s="9">
        <v>449.02</v>
      </c>
      <c r="AS21" s="26" t="s">
        <v>13961</v>
      </c>
      <c r="AT21" s="9">
        <v>528.87</v>
      </c>
      <c r="AU21" s="15" t="s">
        <v>14028</v>
      </c>
      <c r="AV21" s="7"/>
      <c r="AW21" s="26"/>
      <c r="AX21" s="9"/>
      <c r="AY21" s="26"/>
      <c r="AZ21" s="9">
        <v>628.51</v>
      </c>
      <c r="BA21" s="26" t="s">
        <v>14121</v>
      </c>
      <c r="BB21" s="9">
        <v>15000</v>
      </c>
      <c r="BC21" s="26" t="s">
        <v>14244</v>
      </c>
      <c r="BD21" s="9"/>
      <c r="BE21" s="15"/>
      <c r="BF21" s="9">
        <v>1995</v>
      </c>
      <c r="BG21" s="26" t="s">
        <v>1653</v>
      </c>
      <c r="BH21" s="9"/>
      <c r="BI21" s="26"/>
      <c r="BJ21" s="9"/>
      <c r="BK21" s="26"/>
      <c r="BL21" s="9"/>
      <c r="BM21" s="15"/>
      <c r="BN21" s="11"/>
      <c r="BO21" s="13"/>
      <c r="BP21" s="9"/>
      <c r="BQ21" s="15"/>
      <c r="BR21" s="9"/>
      <c r="BS21" s="15"/>
      <c r="BT21" s="9"/>
      <c r="BU21" s="15"/>
      <c r="BV21" s="9"/>
      <c r="BW21" s="15"/>
      <c r="BX21" s="9"/>
      <c r="BY21" s="15"/>
      <c r="BZ21" s="9"/>
      <c r="CA21" s="15"/>
      <c r="CB21" s="9"/>
      <c r="CC21" s="15"/>
      <c r="CD21" s="9"/>
      <c r="CE21" s="15"/>
      <c r="CF21" s="9"/>
      <c r="CG21" s="15"/>
      <c r="CH21" s="9"/>
      <c r="CI21" s="15"/>
      <c r="CJ21" s="9"/>
      <c r="CK21" s="15"/>
      <c r="CL21" s="9"/>
      <c r="CM21" s="15"/>
      <c r="CN21" s="9"/>
      <c r="CO21" s="15"/>
      <c r="CP21" s="9"/>
      <c r="CQ21" s="15"/>
      <c r="CR21" s="9"/>
    </row>
    <row r="22" spans="1:96" x14ac:dyDescent="0.25">
      <c r="A22" s="41"/>
      <c r="B22" s="9">
        <v>36000</v>
      </c>
      <c r="C22" s="15" t="s">
        <v>13116</v>
      </c>
      <c r="D22" s="7"/>
      <c r="E22" s="26"/>
      <c r="F22" s="9">
        <v>5189</v>
      </c>
      <c r="G22" s="26" t="s">
        <v>13260</v>
      </c>
      <c r="H22" s="15"/>
      <c r="I22" s="15"/>
      <c r="J22" s="112">
        <v>1594.42</v>
      </c>
      <c r="K22" s="26" t="s">
        <v>13293</v>
      </c>
      <c r="L22" s="9">
        <v>1970</v>
      </c>
      <c r="M22" s="26" t="s">
        <v>13353</v>
      </c>
      <c r="N22" s="7">
        <v>1099</v>
      </c>
      <c r="O22" s="26" t="s">
        <v>13342</v>
      </c>
      <c r="P22" s="9"/>
      <c r="Q22" s="15"/>
      <c r="R22" s="9">
        <v>1099.01</v>
      </c>
      <c r="S22" s="15" t="s">
        <v>13493</v>
      </c>
      <c r="T22" s="9"/>
      <c r="U22" s="15"/>
      <c r="V22" s="9"/>
      <c r="W22" s="26"/>
      <c r="X22" s="9">
        <v>2726.06</v>
      </c>
      <c r="Y22" s="26" t="s">
        <v>13576</v>
      </c>
      <c r="Z22" s="26">
        <v>150000</v>
      </c>
      <c r="AA22" s="26" t="s">
        <v>13628</v>
      </c>
      <c r="AB22" s="9">
        <v>1099</v>
      </c>
      <c r="AC22" s="9" t="s">
        <v>13685</v>
      </c>
      <c r="AD22" s="9"/>
      <c r="AE22" s="26"/>
      <c r="AF22" s="72"/>
      <c r="AG22" s="86"/>
      <c r="AH22" s="9"/>
      <c r="AI22" s="86"/>
      <c r="AJ22" s="72"/>
      <c r="AK22" s="24"/>
      <c r="AL22" s="87"/>
      <c r="AM22" s="26"/>
      <c r="AN22" s="15"/>
      <c r="AO22" s="15"/>
      <c r="AP22" s="9">
        <v>200000</v>
      </c>
      <c r="AQ22" s="26" t="s">
        <v>13913</v>
      </c>
      <c r="AR22" s="9"/>
      <c r="AS22" s="26"/>
      <c r="AT22" s="9">
        <v>1099</v>
      </c>
      <c r="AU22" s="15" t="s">
        <v>14030</v>
      </c>
      <c r="AV22" s="7"/>
      <c r="AW22" s="26"/>
      <c r="AX22" s="9"/>
      <c r="AY22" s="26"/>
      <c r="AZ22" s="9">
        <v>1099</v>
      </c>
      <c r="BA22" s="26" t="s">
        <v>14124</v>
      </c>
      <c r="BB22" s="9">
        <v>50000</v>
      </c>
      <c r="BC22" s="26" t="s">
        <v>14248</v>
      </c>
      <c r="BD22" s="9"/>
      <c r="BE22" s="15"/>
      <c r="BF22" s="9">
        <v>1099</v>
      </c>
      <c r="BG22" s="26" t="s">
        <v>14333</v>
      </c>
      <c r="BH22" s="9"/>
      <c r="BI22" s="26"/>
      <c r="BJ22" s="9"/>
      <c r="BK22" s="26"/>
      <c r="BL22" s="9"/>
      <c r="BM22" s="15"/>
      <c r="BN22" s="11"/>
      <c r="BO22" s="13"/>
      <c r="BP22" s="9"/>
      <c r="BQ22" s="15"/>
      <c r="BR22" s="9"/>
      <c r="BS22" s="15"/>
      <c r="BT22" s="9"/>
      <c r="BU22" s="15"/>
      <c r="BV22" s="9"/>
      <c r="BW22" s="15"/>
      <c r="BX22" s="9"/>
      <c r="BY22" s="15"/>
      <c r="BZ22" s="9"/>
      <c r="CA22" s="15"/>
      <c r="CB22" s="9"/>
      <c r="CC22" s="15"/>
      <c r="CD22" s="9"/>
      <c r="CE22" s="15"/>
      <c r="CF22" s="9"/>
      <c r="CG22" s="15"/>
      <c r="CH22" s="9"/>
      <c r="CI22" s="15"/>
      <c r="CJ22" s="9"/>
      <c r="CK22" s="15"/>
      <c r="CL22" s="9"/>
      <c r="CM22" s="15"/>
      <c r="CN22" s="9"/>
      <c r="CO22" s="15"/>
      <c r="CP22" s="9"/>
      <c r="CQ22" s="15"/>
      <c r="CR22" s="9"/>
    </row>
    <row r="23" spans="1:96" x14ac:dyDescent="0.25">
      <c r="A23" s="41"/>
      <c r="B23" s="9">
        <v>100</v>
      </c>
      <c r="C23" s="15" t="s">
        <v>13117</v>
      </c>
      <c r="D23" s="7"/>
      <c r="E23" s="26"/>
      <c r="F23" s="9">
        <v>696</v>
      </c>
      <c r="G23" s="26" t="s">
        <v>13261</v>
      </c>
      <c r="H23" s="9"/>
      <c r="I23" s="15"/>
      <c r="J23" s="112">
        <v>1099</v>
      </c>
      <c r="K23" s="15" t="s">
        <v>13295</v>
      </c>
      <c r="L23" s="9">
        <v>1558.11</v>
      </c>
      <c r="M23" s="15" t="s">
        <v>13354</v>
      </c>
      <c r="N23" s="9">
        <v>1099</v>
      </c>
      <c r="O23" s="15" t="s">
        <v>13401</v>
      </c>
      <c r="P23" s="9"/>
      <c r="Q23" s="15"/>
      <c r="R23" s="9">
        <v>410</v>
      </c>
      <c r="S23" s="15" t="s">
        <v>13495</v>
      </c>
      <c r="T23" s="9"/>
      <c r="U23" s="15"/>
      <c r="V23" s="9"/>
      <c r="W23" s="15"/>
      <c r="X23" s="9">
        <v>4146</v>
      </c>
      <c r="Y23" s="15" t="s">
        <v>13578</v>
      </c>
      <c r="Z23" s="15">
        <v>22400</v>
      </c>
      <c r="AA23" s="15" t="s">
        <v>13631</v>
      </c>
      <c r="AB23" s="9">
        <v>1099.01</v>
      </c>
      <c r="AC23" s="26" t="s">
        <v>13686</v>
      </c>
      <c r="AD23" s="9"/>
      <c r="AE23" s="15"/>
      <c r="AF23" s="72">
        <v>100</v>
      </c>
      <c r="AG23" s="86" t="s">
        <v>13780</v>
      </c>
      <c r="AH23" s="72"/>
      <c r="AI23" s="26"/>
      <c r="AJ23" s="7"/>
      <c r="AK23" s="26"/>
      <c r="AL23" s="87"/>
      <c r="AM23" s="26"/>
      <c r="AN23" s="9"/>
      <c r="AO23" s="15"/>
      <c r="AP23" s="9">
        <v>3250</v>
      </c>
      <c r="AQ23" s="26" t="s">
        <v>13914</v>
      </c>
      <c r="AR23" s="9">
        <v>175</v>
      </c>
      <c r="AS23" s="26" t="s">
        <v>13962</v>
      </c>
      <c r="AT23" s="9">
        <v>1099</v>
      </c>
      <c r="AU23" s="26" t="s">
        <v>14036</v>
      </c>
      <c r="AV23" s="7"/>
      <c r="AW23" s="26"/>
      <c r="AX23" s="9"/>
      <c r="AY23" s="15"/>
      <c r="AZ23" s="9">
        <v>1970</v>
      </c>
      <c r="BA23" s="15" t="s">
        <v>14125</v>
      </c>
      <c r="BB23" s="72">
        <v>1301.45</v>
      </c>
      <c r="BC23" s="15" t="s">
        <v>14253</v>
      </c>
      <c r="BD23" s="9"/>
      <c r="BE23" s="15"/>
      <c r="BF23" s="9">
        <v>1970</v>
      </c>
      <c r="BG23" s="26" t="s">
        <v>14334</v>
      </c>
      <c r="BH23" s="9"/>
      <c r="BI23" s="26"/>
      <c r="BJ23" s="9"/>
      <c r="BK23" s="26"/>
      <c r="BL23" s="9"/>
      <c r="BM23" s="15"/>
      <c r="BN23" s="9"/>
      <c r="BO23" s="15"/>
      <c r="BP23" s="9"/>
      <c r="BQ23" s="15"/>
      <c r="BR23" s="9"/>
      <c r="BS23" s="15"/>
      <c r="BT23" s="9"/>
      <c r="BU23" s="15"/>
      <c r="BV23" s="9"/>
      <c r="BW23" s="15"/>
      <c r="BX23" s="9"/>
      <c r="BY23" s="15"/>
      <c r="BZ23" s="9"/>
      <c r="CA23" s="15"/>
      <c r="CB23" s="9"/>
      <c r="CC23" s="15"/>
      <c r="CD23" s="9"/>
      <c r="CE23" s="15"/>
      <c r="CF23" s="9"/>
      <c r="CG23" s="15"/>
      <c r="CH23" s="9"/>
      <c r="CI23" s="15"/>
      <c r="CJ23" s="9"/>
      <c r="CK23" s="15"/>
      <c r="CL23" s="9"/>
      <c r="CM23" s="15"/>
      <c r="CN23" s="9"/>
      <c r="CO23" s="15"/>
      <c r="CP23" s="9"/>
      <c r="CQ23" s="15"/>
      <c r="CR23" s="9"/>
    </row>
    <row r="24" spans="1:96" x14ac:dyDescent="0.25">
      <c r="A24" s="41"/>
      <c r="B24" s="9">
        <v>28.03</v>
      </c>
      <c r="C24" s="15" t="s">
        <v>13120</v>
      </c>
      <c r="D24" s="7"/>
      <c r="E24" s="26"/>
      <c r="F24" s="9">
        <v>2000</v>
      </c>
      <c r="G24" s="26" t="s">
        <v>13267</v>
      </c>
      <c r="H24" s="9"/>
      <c r="I24" s="15"/>
      <c r="J24" s="112">
        <v>2400</v>
      </c>
      <c r="K24" s="15" t="s">
        <v>13296</v>
      </c>
      <c r="L24" s="9">
        <v>1113.5999999999999</v>
      </c>
      <c r="M24" s="15" t="s">
        <v>13355</v>
      </c>
      <c r="N24" s="9">
        <v>92.87</v>
      </c>
      <c r="O24" s="15" t="s">
        <v>13404</v>
      </c>
      <c r="P24" s="9"/>
      <c r="Q24" s="15"/>
      <c r="R24" s="9">
        <v>896</v>
      </c>
      <c r="S24" s="15" t="s">
        <v>13500</v>
      </c>
      <c r="T24" s="9"/>
      <c r="U24" s="15"/>
      <c r="V24" s="9"/>
      <c r="W24" s="15"/>
      <c r="X24" s="9">
        <v>10000</v>
      </c>
      <c r="Y24" s="15" t="s">
        <v>13579</v>
      </c>
      <c r="Z24" s="15">
        <v>1349.08</v>
      </c>
      <c r="AA24" s="15" t="s">
        <v>13633</v>
      </c>
      <c r="AB24" s="9"/>
      <c r="AC24" s="15"/>
      <c r="AD24" s="9"/>
      <c r="AE24" s="15"/>
      <c r="AF24" s="72">
        <v>1099.01</v>
      </c>
      <c r="AG24" s="86" t="s">
        <v>13785</v>
      </c>
      <c r="AH24" s="9"/>
      <c r="AI24" s="15"/>
      <c r="AJ24" s="7"/>
      <c r="AK24" s="26"/>
      <c r="AL24" s="87"/>
      <c r="AM24" s="26"/>
      <c r="AN24" s="9"/>
      <c r="AO24" s="15"/>
      <c r="AP24" s="9">
        <v>232.87</v>
      </c>
      <c r="AQ24" s="26" t="s">
        <v>13915</v>
      </c>
      <c r="AR24" s="9">
        <v>116.66</v>
      </c>
      <c r="AS24" s="26" t="s">
        <v>13963</v>
      </c>
      <c r="AT24" s="9"/>
      <c r="AU24" s="26"/>
      <c r="AV24" s="7"/>
      <c r="AW24" s="26"/>
      <c r="AX24" s="72"/>
      <c r="AY24" s="15"/>
      <c r="AZ24" s="9">
        <v>1895</v>
      </c>
      <c r="BA24" s="15" t="s">
        <v>14135</v>
      </c>
      <c r="BB24" s="9">
        <v>1994.99</v>
      </c>
      <c r="BC24" s="15" t="s">
        <v>14259</v>
      </c>
      <c r="BD24" s="9"/>
      <c r="BE24" s="15"/>
      <c r="BF24" s="9">
        <v>1099</v>
      </c>
      <c r="BG24" s="15" t="s">
        <v>7954</v>
      </c>
      <c r="BH24" s="9"/>
      <c r="BI24" s="26"/>
      <c r="BJ24" s="9"/>
      <c r="BK24" s="26"/>
      <c r="BL24" s="9"/>
      <c r="BM24" s="15"/>
      <c r="BN24" s="9"/>
      <c r="BO24" s="15"/>
      <c r="BP24" s="9"/>
      <c r="BQ24" s="15"/>
      <c r="BR24" s="9"/>
      <c r="BS24" s="15"/>
      <c r="BT24" s="9"/>
      <c r="BU24" s="15"/>
      <c r="BV24" s="9"/>
      <c r="BW24" s="15"/>
      <c r="BX24" s="9"/>
      <c r="BY24" s="15"/>
      <c r="BZ24" s="9"/>
      <c r="CA24" s="15"/>
      <c r="CB24" s="9"/>
      <c r="CC24" s="15"/>
      <c r="CD24" s="9"/>
      <c r="CE24" s="15"/>
      <c r="CF24" s="9"/>
      <c r="CG24" s="15"/>
      <c r="CH24" s="9"/>
      <c r="CI24" s="15"/>
      <c r="CJ24" s="9"/>
      <c r="CK24" s="15"/>
      <c r="CL24" s="9"/>
      <c r="CM24" s="15"/>
      <c r="CN24" s="9"/>
      <c r="CO24" s="15"/>
      <c r="CP24" s="9"/>
      <c r="CQ24" s="15"/>
      <c r="CR24" s="9"/>
    </row>
    <row r="25" spans="1:96" x14ac:dyDescent="0.25">
      <c r="A25" s="41"/>
      <c r="B25" s="9">
        <v>99000</v>
      </c>
      <c r="C25" s="15" t="s">
        <v>13121</v>
      </c>
      <c r="D25" s="7"/>
      <c r="E25" s="26"/>
      <c r="F25" s="9">
        <v>107.04</v>
      </c>
      <c r="G25" s="26" t="s">
        <v>13234</v>
      </c>
      <c r="H25" s="9"/>
      <c r="I25" s="9"/>
      <c r="J25" s="112">
        <v>10979.57</v>
      </c>
      <c r="K25" s="15" t="s">
        <v>13298</v>
      </c>
      <c r="L25" s="9">
        <v>1970</v>
      </c>
      <c r="M25" s="15" t="s">
        <v>13356</v>
      </c>
      <c r="N25" s="9"/>
      <c r="O25" s="15"/>
      <c r="P25" s="9"/>
      <c r="Q25" s="15"/>
      <c r="R25" s="9">
        <v>1099.01</v>
      </c>
      <c r="S25" s="15" t="s">
        <v>13501</v>
      </c>
      <c r="T25" s="72"/>
      <c r="U25" s="24"/>
      <c r="V25" s="9"/>
      <c r="W25" s="15"/>
      <c r="X25" s="9">
        <v>1495.34</v>
      </c>
      <c r="Y25" s="15" t="s">
        <v>13580</v>
      </c>
      <c r="Z25" s="15">
        <v>620.11</v>
      </c>
      <c r="AA25" s="15" t="s">
        <v>13634</v>
      </c>
      <c r="AB25" s="9"/>
      <c r="AC25" s="15"/>
      <c r="AD25" s="9"/>
      <c r="AE25" s="15"/>
      <c r="AF25" s="72">
        <v>1099</v>
      </c>
      <c r="AG25" s="86" t="s">
        <v>13787</v>
      </c>
      <c r="AH25" s="9"/>
      <c r="AI25" s="26"/>
      <c r="AJ25" s="7"/>
      <c r="AK25" s="26"/>
      <c r="AL25" s="87"/>
      <c r="AM25" s="26"/>
      <c r="AN25" s="9"/>
      <c r="AO25" s="15"/>
      <c r="AP25" s="9">
        <v>561.20000000000005</v>
      </c>
      <c r="AQ25" s="24" t="s">
        <v>13916</v>
      </c>
      <c r="AR25" s="9">
        <v>4909.51</v>
      </c>
      <c r="AS25" s="15" t="s">
        <v>13965</v>
      </c>
      <c r="AT25" s="9"/>
      <c r="AU25" s="26"/>
      <c r="AV25" s="7"/>
      <c r="AW25" s="26"/>
      <c r="AX25" s="9"/>
      <c r="AY25" s="15"/>
      <c r="AZ25" s="9">
        <v>1970</v>
      </c>
      <c r="BA25" s="15" t="s">
        <v>14138</v>
      </c>
      <c r="BB25" s="9">
        <v>1099.01</v>
      </c>
      <c r="BC25" s="26" t="s">
        <v>14260</v>
      </c>
      <c r="BD25" s="9"/>
      <c r="BE25" s="15"/>
      <c r="BF25" s="9">
        <v>2666</v>
      </c>
      <c r="BG25" s="15" t="s">
        <v>14337</v>
      </c>
      <c r="BH25" s="9"/>
      <c r="BI25" s="26"/>
      <c r="BJ25" s="72"/>
      <c r="BK25" s="24"/>
      <c r="BL25" s="9"/>
      <c r="BM25" s="15"/>
      <c r="BN25" s="9"/>
      <c r="BO25" s="15"/>
      <c r="BP25" s="9"/>
      <c r="BQ25" s="15"/>
      <c r="BR25" s="9"/>
      <c r="BS25" s="15"/>
      <c r="BT25" s="9"/>
      <c r="BU25" s="15"/>
      <c r="BV25" s="9"/>
      <c r="BW25" s="15"/>
      <c r="BX25" s="9"/>
      <c r="BY25" s="15"/>
      <c r="BZ25" s="9"/>
      <c r="CA25" s="15"/>
      <c r="CB25" s="9"/>
      <c r="CC25" s="15"/>
      <c r="CD25" s="9"/>
      <c r="CE25" s="15"/>
      <c r="CF25" s="9"/>
      <c r="CG25" s="15"/>
      <c r="CH25" s="9"/>
      <c r="CI25" s="15"/>
      <c r="CJ25" s="9"/>
      <c r="CK25" s="15"/>
      <c r="CL25" s="9"/>
      <c r="CM25" s="15"/>
      <c r="CN25" s="9"/>
      <c r="CO25" s="15"/>
      <c r="CP25" s="9"/>
      <c r="CQ25" s="15"/>
      <c r="CR25" s="9"/>
    </row>
    <row r="26" spans="1:96" x14ac:dyDescent="0.25">
      <c r="A26" s="41"/>
      <c r="B26" s="9">
        <v>768.79</v>
      </c>
      <c r="C26" s="15" t="s">
        <v>13122</v>
      </c>
      <c r="D26" s="7"/>
      <c r="E26" s="26"/>
      <c r="F26" s="7"/>
      <c r="G26" s="26"/>
      <c r="H26" s="9"/>
      <c r="I26" s="15"/>
      <c r="J26" s="112">
        <v>277.94</v>
      </c>
      <c r="K26" s="15" t="s">
        <v>13301</v>
      </c>
      <c r="L26" s="9">
        <v>1970</v>
      </c>
      <c r="M26" s="15" t="s">
        <v>13358</v>
      </c>
      <c r="N26" s="7"/>
      <c r="O26" s="26"/>
      <c r="P26" s="7"/>
      <c r="Q26" s="26"/>
      <c r="R26" s="7">
        <v>419.36</v>
      </c>
      <c r="S26" s="26" t="s">
        <v>13503</v>
      </c>
      <c r="T26" s="9"/>
      <c r="U26" s="26"/>
      <c r="V26" s="9"/>
      <c r="W26" s="15"/>
      <c r="X26" s="9">
        <v>96.85</v>
      </c>
      <c r="Y26" s="15" t="s">
        <v>13581</v>
      </c>
      <c r="Z26" s="15">
        <v>1099</v>
      </c>
      <c r="AA26" s="15" t="s">
        <v>13638</v>
      </c>
      <c r="AB26" s="9"/>
      <c r="AC26" s="15"/>
      <c r="AD26" s="9"/>
      <c r="AE26" s="15"/>
      <c r="AF26" s="228">
        <v>2691</v>
      </c>
      <c r="AG26" s="86" t="s">
        <v>13783</v>
      </c>
      <c r="AH26" s="87"/>
      <c r="AI26" s="26"/>
      <c r="AJ26" s="7"/>
      <c r="AK26" s="26"/>
      <c r="AL26" s="87"/>
      <c r="AM26" s="26"/>
      <c r="AN26" s="9"/>
      <c r="AO26" s="15"/>
      <c r="AP26" s="9">
        <v>3261.8</v>
      </c>
      <c r="AQ26" s="26" t="s">
        <v>13921</v>
      </c>
      <c r="AR26" s="9">
        <v>92.87</v>
      </c>
      <c r="AS26" s="15" t="s">
        <v>13972</v>
      </c>
      <c r="AT26" s="9"/>
      <c r="AU26" s="26"/>
      <c r="AV26" s="7"/>
      <c r="AW26" s="26"/>
      <c r="AX26" s="7"/>
      <c r="AY26" s="26"/>
      <c r="AZ26" s="9">
        <v>2866</v>
      </c>
      <c r="BA26" s="26" t="s">
        <v>14140</v>
      </c>
      <c r="BB26" s="9">
        <v>99.76</v>
      </c>
      <c r="BC26" s="15" t="s">
        <v>14262</v>
      </c>
      <c r="BD26" s="9"/>
      <c r="BE26" s="15"/>
      <c r="BF26" s="9">
        <v>1099</v>
      </c>
      <c r="BG26" s="15" t="s">
        <v>14338</v>
      </c>
      <c r="BH26" s="72"/>
      <c r="BI26" s="24"/>
      <c r="BJ26" s="9"/>
      <c r="BK26" s="26"/>
      <c r="BL26" s="9"/>
      <c r="BM26" s="15"/>
      <c r="BN26" s="9"/>
      <c r="BO26" s="15"/>
      <c r="BP26" s="9"/>
      <c r="BQ26" s="15"/>
      <c r="BR26" s="9"/>
      <c r="BS26" s="15"/>
      <c r="BT26" s="9"/>
      <c r="BU26" s="15"/>
      <c r="BV26" s="9"/>
      <c r="BW26" s="15"/>
      <c r="BX26" s="9"/>
      <c r="BY26" s="15"/>
      <c r="BZ26" s="9"/>
      <c r="CA26" s="15"/>
      <c r="CB26" s="9"/>
      <c r="CC26" s="15"/>
      <c r="CD26" s="9"/>
      <c r="CE26" s="15"/>
      <c r="CF26" s="9"/>
      <c r="CG26" s="15"/>
      <c r="CH26" s="9"/>
      <c r="CI26" s="15"/>
      <c r="CJ26" s="9"/>
      <c r="CK26" s="15"/>
      <c r="CL26" s="9"/>
      <c r="CM26" s="15"/>
      <c r="CN26" s="9"/>
      <c r="CO26" s="15"/>
      <c r="CP26" s="9"/>
      <c r="CQ26" s="15"/>
      <c r="CR26" s="9"/>
    </row>
    <row r="27" spans="1:96" x14ac:dyDescent="0.25">
      <c r="A27" s="41"/>
      <c r="B27" s="9">
        <v>2866</v>
      </c>
      <c r="C27" s="15" t="s">
        <v>13124</v>
      </c>
      <c r="D27" s="7"/>
      <c r="E27" s="15"/>
      <c r="F27" s="7"/>
      <c r="G27" s="26"/>
      <c r="H27" s="9"/>
      <c r="I27" s="15"/>
      <c r="J27" s="112">
        <v>92.87</v>
      </c>
      <c r="K27" s="9" t="s">
        <v>13302</v>
      </c>
      <c r="L27" s="7">
        <v>464</v>
      </c>
      <c r="M27" s="26" t="s">
        <v>13359</v>
      </c>
      <c r="N27" s="7"/>
      <c r="O27" s="26"/>
      <c r="P27" s="7"/>
      <c r="Q27" s="26"/>
      <c r="R27" s="7"/>
      <c r="S27" s="26"/>
      <c r="T27" s="9"/>
      <c r="U27" s="26"/>
      <c r="V27" s="7"/>
      <c r="W27" s="26"/>
      <c r="X27" s="7">
        <f>2231.38-1945.63</f>
        <v>285.75</v>
      </c>
      <c r="Y27" s="26" t="s">
        <v>13582</v>
      </c>
      <c r="Z27" s="26">
        <v>3250</v>
      </c>
      <c r="AA27" s="26" t="s">
        <v>13639</v>
      </c>
      <c r="AB27" s="9"/>
      <c r="AC27" s="26"/>
      <c r="AD27" s="9"/>
      <c r="AE27" s="26"/>
      <c r="AF27" s="72">
        <v>1168.99</v>
      </c>
      <c r="AG27" s="86" t="s">
        <v>13790</v>
      </c>
      <c r="AH27" s="87"/>
      <c r="AI27" s="26"/>
      <c r="AJ27" s="7"/>
      <c r="AK27" s="26"/>
      <c r="AL27" s="72"/>
      <c r="AM27" s="15"/>
      <c r="AN27" s="9"/>
      <c r="AO27" s="15"/>
      <c r="AP27" s="9">
        <v>1099.01</v>
      </c>
      <c r="AQ27" s="26" t="s">
        <v>13702</v>
      </c>
      <c r="AR27" s="9">
        <v>628.51</v>
      </c>
      <c r="AS27" s="26" t="s">
        <v>13973</v>
      </c>
      <c r="AT27" s="7"/>
      <c r="AU27" s="26"/>
      <c r="AV27" s="7"/>
      <c r="AW27" s="26"/>
      <c r="AX27" s="7"/>
      <c r="AY27" s="26"/>
      <c r="AZ27" s="9">
        <v>232</v>
      </c>
      <c r="BA27" s="15" t="s">
        <v>14147</v>
      </c>
      <c r="BB27" s="9">
        <v>1099.01</v>
      </c>
      <c r="BC27" s="26" t="s">
        <v>14263</v>
      </c>
      <c r="BD27" s="9"/>
      <c r="BE27" s="15"/>
      <c r="BF27" s="7">
        <v>210.51</v>
      </c>
      <c r="BG27" s="26" t="s">
        <v>14339</v>
      </c>
      <c r="BH27" s="9"/>
      <c r="BI27" s="15"/>
      <c r="BJ27" s="9"/>
      <c r="BK27" s="26"/>
      <c r="BL27" s="9"/>
      <c r="BM27" s="15"/>
      <c r="BN27" s="9"/>
      <c r="BO27" s="15"/>
      <c r="BP27" s="9"/>
      <c r="BQ27" s="15"/>
      <c r="BR27" s="9"/>
      <c r="BS27" s="15"/>
      <c r="BT27" s="9"/>
      <c r="BU27" s="15"/>
      <c r="BV27" s="9"/>
      <c r="BW27" s="15"/>
      <c r="BX27" s="9"/>
      <c r="BY27" s="15"/>
      <c r="BZ27" s="9"/>
      <c r="CA27" s="15"/>
      <c r="CB27" s="9"/>
      <c r="CC27" s="15"/>
      <c r="CD27" s="9"/>
      <c r="CE27" s="15"/>
      <c r="CF27" s="9"/>
      <c r="CG27" s="15"/>
      <c r="CH27" s="9"/>
      <c r="CI27" s="15"/>
      <c r="CJ27" s="9"/>
      <c r="CK27" s="15"/>
      <c r="CL27" s="9"/>
      <c r="CM27" s="15"/>
      <c r="CN27" s="9"/>
      <c r="CO27" s="15"/>
      <c r="CP27" s="9"/>
      <c r="CQ27" s="15"/>
      <c r="CR27" s="9"/>
    </row>
    <row r="28" spans="1:96" x14ac:dyDescent="0.25">
      <c r="A28" s="41"/>
      <c r="B28" s="9">
        <v>1099</v>
      </c>
      <c r="C28" s="15" t="s">
        <v>13125</v>
      </c>
      <c r="D28" s="7"/>
      <c r="E28" s="26"/>
      <c r="F28" s="14"/>
      <c r="G28" s="13"/>
      <c r="H28" s="9"/>
      <c r="I28" s="15"/>
      <c r="J28" s="9"/>
      <c r="K28" s="9"/>
      <c r="L28" s="7"/>
      <c r="M28" s="26"/>
      <c r="N28" s="7"/>
      <c r="O28" s="26"/>
      <c r="P28" s="7"/>
      <c r="Q28" s="26"/>
      <c r="R28" s="7"/>
      <c r="S28" s="26"/>
      <c r="T28" s="9"/>
      <c r="U28" s="15"/>
      <c r="V28" s="7"/>
      <c r="W28" s="26"/>
      <c r="X28" s="7">
        <v>295.14999999999998</v>
      </c>
      <c r="Y28" s="26" t="s">
        <v>13583</v>
      </c>
      <c r="Z28" s="26">
        <v>0.46</v>
      </c>
      <c r="AA28" s="26" t="s">
        <v>13642</v>
      </c>
      <c r="AB28" s="9"/>
      <c r="AC28" s="26"/>
      <c r="AD28" s="9"/>
      <c r="AE28" s="26"/>
      <c r="AF28" s="9">
        <v>666.93</v>
      </c>
      <c r="AG28" s="15" t="s">
        <v>13792</v>
      </c>
      <c r="AH28" s="87"/>
      <c r="AI28" s="26"/>
      <c r="AJ28" s="7"/>
      <c r="AK28" s="26"/>
      <c r="AL28" s="87"/>
      <c r="AM28" s="15"/>
      <c r="AN28" s="9"/>
      <c r="AO28" s="15"/>
      <c r="AP28" s="9">
        <v>696</v>
      </c>
      <c r="AQ28" s="26" t="s">
        <v>13923</v>
      </c>
      <c r="AR28" s="7">
        <v>232</v>
      </c>
      <c r="AS28" s="26" t="s">
        <v>13975</v>
      </c>
      <c r="AT28" s="7"/>
      <c r="AU28" s="26"/>
      <c r="AV28" s="7"/>
      <c r="AW28" s="26"/>
      <c r="AX28" s="9"/>
      <c r="AY28" s="15"/>
      <c r="AZ28" s="9">
        <v>409.12</v>
      </c>
      <c r="BA28" s="15" t="s">
        <v>14148</v>
      </c>
      <c r="BB28" s="9">
        <v>3250</v>
      </c>
      <c r="BC28" s="15" t="s">
        <v>14265</v>
      </c>
      <c r="BD28" s="9"/>
      <c r="BE28" s="15"/>
      <c r="BF28" s="7"/>
      <c r="BG28" s="26"/>
      <c r="BH28" s="9"/>
      <c r="BI28" s="15"/>
      <c r="BJ28" s="7"/>
      <c r="BK28" s="26"/>
      <c r="BL28" s="9"/>
      <c r="BM28" s="15"/>
      <c r="BN28" s="9"/>
      <c r="BO28" s="15"/>
      <c r="BP28" s="9"/>
      <c r="BQ28" s="15"/>
      <c r="BR28" s="9"/>
      <c r="BS28" s="15"/>
      <c r="BT28" s="9"/>
      <c r="BU28" s="15"/>
      <c r="BV28" s="9"/>
      <c r="BW28" s="15"/>
      <c r="BX28" s="9"/>
      <c r="BY28" s="15"/>
      <c r="BZ28" s="9"/>
      <c r="CA28" s="15"/>
      <c r="CB28" s="9"/>
      <c r="CC28" s="15"/>
      <c r="CD28" s="9"/>
      <c r="CE28" s="15"/>
      <c r="CF28" s="9"/>
      <c r="CG28" s="15"/>
      <c r="CH28" s="9"/>
      <c r="CI28" s="15"/>
      <c r="CJ28" s="9"/>
      <c r="CK28" s="15"/>
      <c r="CL28" s="9"/>
      <c r="CM28" s="15"/>
      <c r="CN28" s="9"/>
      <c r="CO28" s="15"/>
      <c r="CP28" s="9"/>
      <c r="CQ28" s="15"/>
      <c r="CR28" s="9"/>
    </row>
    <row r="29" spans="1:96" x14ac:dyDescent="0.25">
      <c r="A29" s="41"/>
      <c r="B29" s="7">
        <v>1169.01</v>
      </c>
      <c r="C29" s="26" t="s">
        <v>13126</v>
      </c>
      <c r="D29" s="7"/>
      <c r="E29" s="26"/>
      <c r="F29" s="7"/>
      <c r="G29" s="26"/>
      <c r="H29" s="9"/>
      <c r="I29" s="15"/>
      <c r="J29" s="9"/>
      <c r="K29" s="26"/>
      <c r="L29" s="7"/>
      <c r="M29" s="26"/>
      <c r="N29" s="7"/>
      <c r="O29" s="26"/>
      <c r="P29" s="7"/>
      <c r="Q29" s="26"/>
      <c r="R29" s="9"/>
      <c r="S29" s="15"/>
      <c r="T29" s="9"/>
      <c r="U29" s="15"/>
      <c r="V29" s="7"/>
      <c r="W29" s="26"/>
      <c r="X29" s="7">
        <v>1970</v>
      </c>
      <c r="Y29" s="26" t="s">
        <v>13587</v>
      </c>
      <c r="Z29" s="26"/>
      <c r="AA29" s="26"/>
      <c r="AB29" s="9"/>
      <c r="AC29" s="26"/>
      <c r="AD29" s="9"/>
      <c r="AE29" s="26"/>
      <c r="AF29" s="7"/>
      <c r="AG29" s="26"/>
      <c r="AH29" s="7"/>
      <c r="AI29" s="26"/>
      <c r="AJ29" s="7"/>
      <c r="AK29" s="26"/>
      <c r="AL29" s="87"/>
      <c r="AM29" s="26"/>
      <c r="AN29" s="9"/>
      <c r="AO29" s="15"/>
      <c r="AP29" s="9"/>
      <c r="AQ29" s="15"/>
      <c r="AR29" s="7">
        <v>261.23</v>
      </c>
      <c r="AS29" s="26" t="s">
        <v>13976</v>
      </c>
      <c r="AT29" s="7"/>
      <c r="AU29" s="26"/>
      <c r="AV29" s="7"/>
      <c r="AW29" s="26"/>
      <c r="AX29" s="9"/>
      <c r="AY29" s="15"/>
      <c r="AZ29" s="9"/>
      <c r="BA29" s="15"/>
      <c r="BB29" s="11">
        <v>2331.9899999999998</v>
      </c>
      <c r="BC29" s="12" t="s">
        <v>14266</v>
      </c>
      <c r="BD29" s="7"/>
      <c r="BE29" s="26"/>
      <c r="BF29" s="7"/>
      <c r="BG29" s="26"/>
      <c r="BH29" s="7"/>
      <c r="BI29" s="26"/>
      <c r="BJ29" s="7"/>
      <c r="BK29" s="26"/>
      <c r="BL29" s="9"/>
      <c r="BM29" s="15"/>
      <c r="BN29" s="9"/>
      <c r="BO29" s="15"/>
      <c r="BP29" s="9"/>
      <c r="BQ29" s="15"/>
      <c r="BR29" s="9"/>
      <c r="BS29" s="15"/>
      <c r="BT29" s="9"/>
      <c r="BU29" s="15"/>
      <c r="BV29" s="9"/>
      <c r="BW29" s="15"/>
      <c r="BX29" s="9"/>
      <c r="BY29" s="15"/>
      <c r="BZ29" s="9"/>
      <c r="CA29" s="15"/>
      <c r="CB29" s="9"/>
      <c r="CC29" s="15"/>
      <c r="CD29" s="9"/>
      <c r="CE29" s="15"/>
      <c r="CF29" s="9"/>
      <c r="CG29" s="15"/>
      <c r="CH29" s="9"/>
      <c r="CI29" s="15"/>
      <c r="CJ29" s="9"/>
      <c r="CK29" s="15"/>
      <c r="CL29" s="9"/>
      <c r="CM29" s="15"/>
      <c r="CN29" s="9"/>
      <c r="CO29" s="15"/>
      <c r="CP29" s="9"/>
      <c r="CQ29" s="15"/>
      <c r="CR29" s="9"/>
    </row>
    <row r="30" spans="1:96" x14ac:dyDescent="0.25">
      <c r="A30" s="41"/>
      <c r="B30" s="9">
        <v>1169.01</v>
      </c>
      <c r="C30" s="15" t="s">
        <v>13127</v>
      </c>
      <c r="D30" s="9"/>
      <c r="E30" s="15"/>
      <c r="F30" s="9"/>
      <c r="G30" s="15"/>
      <c r="H30" s="9"/>
      <c r="I30" s="15"/>
      <c r="J30" s="9"/>
      <c r="K30" s="15"/>
      <c r="L30" s="9"/>
      <c r="M30" s="15"/>
      <c r="N30" s="9"/>
      <c r="O30" s="15"/>
      <c r="P30" s="7"/>
      <c r="Q30" s="26"/>
      <c r="R30" s="10"/>
      <c r="S30" s="12"/>
      <c r="T30" s="9"/>
      <c r="U30" s="15"/>
      <c r="V30" s="9"/>
      <c r="W30" s="15"/>
      <c r="X30" s="9"/>
      <c r="Y30" s="15"/>
      <c r="Z30" s="15"/>
      <c r="AA30" s="15"/>
      <c r="AB30" s="9"/>
      <c r="AC30" s="15"/>
      <c r="AD30" s="11"/>
      <c r="AE30" s="13"/>
      <c r="AF30" s="9"/>
      <c r="AG30" s="15"/>
      <c r="AH30" s="9"/>
      <c r="AI30" s="15"/>
      <c r="AJ30" s="9"/>
      <c r="AK30" s="15"/>
      <c r="AL30" s="72"/>
      <c r="AM30" s="15"/>
      <c r="AN30" s="9"/>
      <c r="AO30" s="15"/>
      <c r="AP30" s="10"/>
      <c r="AQ30" s="12"/>
      <c r="AR30" s="9">
        <v>1099.01</v>
      </c>
      <c r="AS30" s="15" t="s">
        <v>13978</v>
      </c>
      <c r="AT30" s="9"/>
      <c r="AU30" s="15"/>
      <c r="AV30" s="9"/>
      <c r="AW30" s="15"/>
      <c r="AX30" s="9"/>
      <c r="AY30" s="15"/>
      <c r="AZ30" s="11"/>
      <c r="BA30" s="12"/>
      <c r="BB30" s="9">
        <v>4395</v>
      </c>
      <c r="BC30" s="26" t="s">
        <v>14271</v>
      </c>
      <c r="BD30" s="11"/>
      <c r="BE30" s="13"/>
      <c r="BF30" s="9"/>
      <c r="BG30" s="15"/>
      <c r="BH30" s="9"/>
      <c r="BI30" s="15"/>
      <c r="BJ30" s="9"/>
      <c r="BK30" s="15"/>
      <c r="BL30" s="9"/>
      <c r="BM30" s="15"/>
      <c r="BN30" s="9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  <c r="CO30" s="15"/>
      <c r="CP30" s="9"/>
      <c r="CQ30" s="15"/>
      <c r="CR30" s="9"/>
    </row>
    <row r="31" spans="1:96" x14ac:dyDescent="0.25">
      <c r="A31" s="43"/>
      <c r="B31" s="10">
        <v>485.84</v>
      </c>
      <c r="C31" s="12" t="s">
        <v>13133</v>
      </c>
      <c r="D31" s="10"/>
      <c r="E31" s="12"/>
      <c r="F31" s="10"/>
      <c r="G31" s="12"/>
      <c r="H31" s="9"/>
      <c r="I31" s="15"/>
      <c r="J31" s="11"/>
      <c r="K31" s="12"/>
      <c r="L31" s="10"/>
      <c r="M31" s="12"/>
      <c r="N31" s="10"/>
      <c r="O31" s="12"/>
      <c r="P31" s="9"/>
      <c r="Q31" s="15"/>
      <c r="R31" s="7"/>
      <c r="S31" s="26"/>
      <c r="T31" s="11"/>
      <c r="U31" s="12"/>
      <c r="V31" s="10"/>
      <c r="W31" s="12"/>
      <c r="X31" s="10"/>
      <c r="Y31" s="12"/>
      <c r="Z31" s="12"/>
      <c r="AA31" s="12"/>
      <c r="AB31" s="11"/>
      <c r="AC31" s="12"/>
      <c r="AD31" s="10"/>
      <c r="AE31" s="12"/>
      <c r="AF31" s="10"/>
      <c r="AG31" s="12"/>
      <c r="AH31" s="10"/>
      <c r="AI31" s="12"/>
      <c r="AJ31" s="10"/>
      <c r="AK31" s="12"/>
      <c r="AL31" s="87"/>
      <c r="AM31" s="12"/>
      <c r="AN31" s="10"/>
      <c r="AO31" s="12"/>
      <c r="AP31" s="10"/>
      <c r="AQ31" s="12"/>
      <c r="AR31" s="10">
        <v>1099</v>
      </c>
      <c r="AS31" s="12" t="s">
        <v>13980</v>
      </c>
      <c r="AT31" s="10"/>
      <c r="AU31" s="12"/>
      <c r="AV31" s="10"/>
      <c r="AW31" s="12"/>
      <c r="AX31" s="10"/>
      <c r="AY31" s="12"/>
      <c r="AZ31" s="9"/>
      <c r="BA31" s="26"/>
      <c r="BB31" s="9">
        <v>4395.01</v>
      </c>
      <c r="BC31" s="26" t="s">
        <v>14272</v>
      </c>
      <c r="BD31" s="9"/>
      <c r="BE31" s="15"/>
      <c r="BF31" s="10"/>
      <c r="BG31" s="12"/>
      <c r="BH31" s="10"/>
      <c r="BI31" s="12"/>
      <c r="BJ31" s="10"/>
      <c r="BK31" s="12"/>
      <c r="BL31" s="11"/>
      <c r="BM31" s="13"/>
      <c r="BN31" s="11"/>
      <c r="BO31" s="13"/>
      <c r="BP31" s="11"/>
      <c r="BQ31" s="13"/>
      <c r="BR31" s="11"/>
      <c r="BS31" s="13"/>
      <c r="BT31" s="11"/>
      <c r="BU31" s="13"/>
      <c r="BV31" s="11"/>
      <c r="BW31" s="13"/>
      <c r="BX31" s="11"/>
      <c r="BY31" s="13"/>
      <c r="BZ31" s="11"/>
      <c r="CA31" s="13"/>
      <c r="CB31" s="11"/>
      <c r="CC31" s="13"/>
      <c r="CD31" s="11"/>
      <c r="CE31" s="13"/>
      <c r="CF31" s="11"/>
      <c r="CG31" s="13"/>
      <c r="CH31" s="11"/>
      <c r="CI31" s="13"/>
      <c r="CJ31" s="11"/>
      <c r="CK31" s="13"/>
      <c r="CL31" s="11"/>
      <c r="CM31" s="13"/>
      <c r="CN31" s="11"/>
      <c r="CO31" s="13"/>
      <c r="CP31" s="11"/>
      <c r="CQ31" s="13"/>
      <c r="CR31" s="11"/>
    </row>
    <row r="32" spans="1:96" x14ac:dyDescent="0.25">
      <c r="A32" s="41"/>
      <c r="B32" s="7">
        <v>224.11</v>
      </c>
      <c r="C32" s="26" t="s">
        <v>13134</v>
      </c>
      <c r="D32" s="7"/>
      <c r="E32" s="26"/>
      <c r="F32" s="7"/>
      <c r="G32" s="26"/>
      <c r="H32" s="9"/>
      <c r="I32" s="15"/>
      <c r="J32" s="9"/>
      <c r="K32" s="26"/>
      <c r="L32" s="7"/>
      <c r="M32" s="26"/>
      <c r="N32" s="7"/>
      <c r="O32" s="26"/>
      <c r="P32" s="7"/>
      <c r="Q32" s="26"/>
      <c r="R32" s="7"/>
      <c r="S32" s="26"/>
      <c r="T32" s="9"/>
      <c r="U32" s="26"/>
      <c r="V32" s="7"/>
      <c r="W32" s="26"/>
      <c r="X32" s="7"/>
      <c r="Y32" s="26"/>
      <c r="Z32" s="26"/>
      <c r="AA32" s="26"/>
      <c r="AB32" s="9"/>
      <c r="AC32" s="26"/>
      <c r="AD32" s="7"/>
      <c r="AE32" s="26"/>
      <c r="AF32" s="7"/>
      <c r="AG32" s="26"/>
      <c r="AH32" s="7"/>
      <c r="AI32" s="26"/>
      <c r="AJ32" s="7"/>
      <c r="AK32" s="26"/>
      <c r="AL32" s="7"/>
      <c r="AM32" s="26"/>
      <c r="AN32" s="9"/>
      <c r="AO32" s="15"/>
      <c r="AP32" s="7"/>
      <c r="AQ32" s="26"/>
      <c r="AR32" s="7">
        <v>1099</v>
      </c>
      <c r="AS32" s="26" t="s">
        <v>13981</v>
      </c>
      <c r="AT32" s="7"/>
      <c r="AU32" s="26"/>
      <c r="AV32" s="7"/>
      <c r="AW32" s="26"/>
      <c r="AX32" s="7"/>
      <c r="AY32" s="26"/>
      <c r="AZ32" s="7"/>
      <c r="BA32" s="26"/>
      <c r="BB32" s="9">
        <v>1969.99</v>
      </c>
      <c r="BC32" s="26" t="s">
        <v>14274</v>
      </c>
      <c r="BD32" s="9"/>
      <c r="BE32" s="15"/>
      <c r="BF32" s="7"/>
      <c r="BG32" s="26"/>
      <c r="BH32" s="7"/>
      <c r="BI32" s="26"/>
      <c r="BJ32" s="7"/>
      <c r="BK32" s="26"/>
      <c r="BL32" s="9"/>
      <c r="BM32" s="15"/>
      <c r="BN32" s="9"/>
      <c r="BO32" s="15"/>
      <c r="BP32" s="9"/>
      <c r="BQ32" s="15"/>
      <c r="BR32" s="9"/>
      <c r="BS32" s="15"/>
      <c r="BT32" s="9"/>
      <c r="BU32" s="15"/>
      <c r="BV32" s="9"/>
      <c r="BW32" s="15"/>
      <c r="BX32" s="9"/>
      <c r="BY32" s="15"/>
      <c r="BZ32" s="9"/>
      <c r="CA32" s="15"/>
      <c r="CB32" s="9"/>
      <c r="CC32" s="15"/>
      <c r="CD32" s="9"/>
      <c r="CE32" s="15"/>
      <c r="CF32" s="9"/>
      <c r="CG32" s="15"/>
      <c r="CH32" s="9"/>
      <c r="CI32" s="15"/>
      <c r="CJ32" s="9"/>
      <c r="CK32" s="15"/>
      <c r="CL32" s="9"/>
      <c r="CM32" s="15"/>
      <c r="CN32" s="9"/>
      <c r="CO32" s="15"/>
      <c r="CP32" s="9"/>
      <c r="CQ32" s="15"/>
      <c r="CR32" s="9"/>
    </row>
    <row r="33" spans="1:96" x14ac:dyDescent="0.25">
      <c r="A33" s="41"/>
      <c r="B33" s="7"/>
      <c r="C33" s="26"/>
      <c r="D33" s="7"/>
      <c r="E33" s="26"/>
      <c r="F33" s="7"/>
      <c r="G33" s="26"/>
      <c r="H33" s="9"/>
      <c r="I33" s="15"/>
      <c r="J33" s="9"/>
      <c r="K33" s="26"/>
      <c r="L33" s="7"/>
      <c r="M33" s="26"/>
      <c r="N33" s="7"/>
      <c r="O33" s="26"/>
      <c r="P33" s="7"/>
      <c r="Q33" s="26"/>
      <c r="R33" s="7"/>
      <c r="S33" s="26"/>
      <c r="T33" s="9"/>
      <c r="U33" s="26"/>
      <c r="V33" s="7"/>
      <c r="W33" s="26"/>
      <c r="X33" s="7"/>
      <c r="Y33" s="26"/>
      <c r="Z33" s="26"/>
      <c r="AA33" s="26"/>
      <c r="AB33" s="9"/>
      <c r="AC33" s="26"/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/>
      <c r="AQ33" s="26"/>
      <c r="AR33" s="7"/>
      <c r="AS33" s="26"/>
      <c r="AT33" s="7"/>
      <c r="AU33" s="26"/>
      <c r="AV33" s="7"/>
      <c r="AW33" s="26"/>
      <c r="AX33" s="7"/>
      <c r="AY33" s="26"/>
      <c r="AZ33" s="7"/>
      <c r="BA33" s="26"/>
      <c r="BB33" s="9">
        <v>52.2</v>
      </c>
      <c r="BC33" s="26" t="s">
        <v>14275</v>
      </c>
      <c r="BD33" s="9"/>
      <c r="BE33" s="15"/>
      <c r="BF33" s="7"/>
      <c r="BG33" s="26"/>
      <c r="BH33" s="7"/>
      <c r="BI33" s="26"/>
      <c r="BJ33" s="7"/>
      <c r="BK33" s="26"/>
      <c r="BL33" s="9"/>
      <c r="BM33" s="15"/>
      <c r="BN33" s="9"/>
      <c r="BO33" s="15"/>
      <c r="BP33" s="9"/>
      <c r="BQ33" s="15"/>
      <c r="BR33" s="9"/>
      <c r="BS33" s="15"/>
      <c r="BT33" s="9"/>
      <c r="BU33" s="15"/>
      <c r="BV33" s="9"/>
      <c r="BW33" s="15"/>
      <c r="BX33" s="9"/>
      <c r="BY33" s="15"/>
      <c r="BZ33" s="9"/>
      <c r="CA33" s="15"/>
      <c r="CB33" s="9"/>
      <c r="CC33" s="15"/>
      <c r="CD33" s="9"/>
      <c r="CE33" s="15"/>
      <c r="CF33" s="9"/>
      <c r="CG33" s="15"/>
      <c r="CH33" s="9"/>
      <c r="CI33" s="15"/>
      <c r="CJ33" s="9"/>
      <c r="CK33" s="15"/>
      <c r="CL33" s="9"/>
      <c r="CM33" s="15"/>
      <c r="CN33" s="9"/>
      <c r="CO33" s="15"/>
      <c r="CP33" s="9"/>
      <c r="CQ33" s="15"/>
      <c r="CR33" s="9"/>
    </row>
    <row r="34" spans="1:96" x14ac:dyDescent="0.25">
      <c r="A34" s="41"/>
      <c r="B34" s="7"/>
      <c r="C34" s="26"/>
      <c r="D34" s="7"/>
      <c r="E34" s="26"/>
      <c r="F34" s="7"/>
      <c r="G34" s="26"/>
      <c r="H34" s="9"/>
      <c r="I34" s="15"/>
      <c r="J34" s="9"/>
      <c r="K34" s="26"/>
      <c r="L34" s="7"/>
      <c r="M34" s="26"/>
      <c r="N34" s="7"/>
      <c r="O34" s="26"/>
      <c r="P34" s="7"/>
      <c r="Q34" s="26"/>
      <c r="R34" s="7"/>
      <c r="S34" s="26"/>
      <c r="T34" s="9"/>
      <c r="U34" s="26"/>
      <c r="V34" s="7"/>
      <c r="W34" s="26"/>
      <c r="X34" s="7"/>
      <c r="Y34" s="26"/>
      <c r="Z34" s="26"/>
      <c r="AA34" s="26"/>
      <c r="AB34" s="9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/>
      <c r="AQ34" s="26"/>
      <c r="AR34" s="7"/>
      <c r="AS34" s="26"/>
      <c r="AT34" s="7"/>
      <c r="AU34" s="26"/>
      <c r="AV34" s="7"/>
      <c r="AW34" s="26"/>
      <c r="AX34" s="7"/>
      <c r="AY34" s="26"/>
      <c r="AZ34" s="7"/>
      <c r="BA34" s="26"/>
      <c r="BB34" s="9">
        <f>4395.01-2895.01</f>
        <v>1500</v>
      </c>
      <c r="BC34" s="26" t="s">
        <v>14276</v>
      </c>
      <c r="BD34" s="9"/>
      <c r="BE34" s="15"/>
      <c r="BF34" s="7"/>
      <c r="BG34" s="26"/>
      <c r="BH34" s="7"/>
      <c r="BI34" s="26"/>
      <c r="BJ34" s="7"/>
      <c r="BK34" s="26"/>
      <c r="BL34" s="9"/>
      <c r="BM34" s="15"/>
      <c r="BN34" s="9"/>
      <c r="BO34" s="15"/>
      <c r="BP34" s="9"/>
      <c r="BQ34" s="15"/>
      <c r="BR34" s="9"/>
      <c r="BS34" s="15"/>
      <c r="BT34" s="9"/>
      <c r="BU34" s="15"/>
      <c r="BV34" s="9"/>
      <c r="BW34" s="15"/>
      <c r="BX34" s="9"/>
      <c r="BY34" s="15"/>
      <c r="BZ34" s="9"/>
      <c r="CA34" s="15"/>
      <c r="CB34" s="9"/>
      <c r="CC34" s="15"/>
      <c r="CD34" s="9"/>
      <c r="CE34" s="15"/>
      <c r="CF34" s="9"/>
      <c r="CG34" s="15"/>
      <c r="CH34" s="9"/>
      <c r="CI34" s="15"/>
      <c r="CJ34" s="9"/>
      <c r="CK34" s="15"/>
      <c r="CL34" s="9"/>
      <c r="CM34" s="15"/>
      <c r="CN34" s="9"/>
      <c r="CO34" s="15"/>
      <c r="CP34" s="9"/>
      <c r="CQ34" s="15"/>
      <c r="CR34" s="9"/>
    </row>
    <row r="35" spans="1:96" x14ac:dyDescent="0.25">
      <c r="A35" s="41"/>
      <c r="B35" s="7"/>
      <c r="C35" s="26"/>
      <c r="D35" s="7"/>
      <c r="E35" s="26"/>
      <c r="F35" s="7"/>
      <c r="G35" s="26"/>
      <c r="H35" s="9"/>
      <c r="I35" s="15"/>
      <c r="J35" s="9"/>
      <c r="K35" s="26"/>
      <c r="L35" s="7"/>
      <c r="M35" s="26"/>
      <c r="N35" s="7"/>
      <c r="O35" s="26"/>
      <c r="P35" s="7"/>
      <c r="Q35" s="26"/>
      <c r="R35" s="7"/>
      <c r="S35" s="26"/>
      <c r="T35" s="9"/>
      <c r="U35" s="26"/>
      <c r="V35" s="7"/>
      <c r="W35" s="26"/>
      <c r="X35" s="7"/>
      <c r="Y35" s="26"/>
      <c r="Z35" s="26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/>
      <c r="AQ35" s="26"/>
      <c r="AR35" s="7"/>
      <c r="AS35" s="26"/>
      <c r="AT35" s="7"/>
      <c r="AU35" s="26"/>
      <c r="AV35" s="7"/>
      <c r="AW35" s="26"/>
      <c r="AX35" s="7"/>
      <c r="AY35" s="26"/>
      <c r="AZ35" s="7"/>
      <c r="BA35" s="26"/>
      <c r="BB35" s="9"/>
      <c r="BC35" s="15"/>
      <c r="BD35" s="9"/>
      <c r="BE35" s="15"/>
      <c r="BF35" s="7"/>
      <c r="BG35" s="26"/>
      <c r="BH35" s="7"/>
      <c r="BI35" s="26"/>
      <c r="BJ35" s="7"/>
      <c r="BK35" s="26"/>
      <c r="BL35" s="9"/>
      <c r="BM35" s="15"/>
      <c r="BN35" s="9"/>
      <c r="BO35" s="15"/>
      <c r="BP35" s="9"/>
      <c r="BQ35" s="15"/>
      <c r="BR35" s="9"/>
      <c r="BS35" s="15"/>
      <c r="BT35" s="9"/>
      <c r="BU35" s="15"/>
      <c r="BV35" s="9"/>
      <c r="BW35" s="15"/>
      <c r="BX35" s="9"/>
      <c r="BY35" s="15"/>
      <c r="BZ35" s="9"/>
      <c r="CA35" s="15"/>
      <c r="CB35" s="9"/>
      <c r="CC35" s="15"/>
      <c r="CD35" s="9"/>
      <c r="CE35" s="15"/>
      <c r="CF35" s="9"/>
      <c r="CG35" s="15"/>
      <c r="CH35" s="9"/>
      <c r="CI35" s="15"/>
      <c r="CJ35" s="9"/>
      <c r="CK35" s="15"/>
      <c r="CL35" s="9"/>
      <c r="CM35" s="15"/>
      <c r="CN35" s="9"/>
      <c r="CO35" s="15"/>
      <c r="CP35" s="9"/>
      <c r="CQ35" s="15"/>
      <c r="CR35" s="9"/>
    </row>
    <row r="36" spans="1:96" x14ac:dyDescent="0.25">
      <c r="A36" s="41"/>
      <c r="B36" s="7"/>
      <c r="C36" s="26"/>
      <c r="D36" s="7"/>
      <c r="E36" s="26"/>
      <c r="F36" s="7"/>
      <c r="G36" s="26"/>
      <c r="H36" s="9"/>
      <c r="I36" s="15"/>
      <c r="J36" s="9"/>
      <c r="K36" s="26"/>
      <c r="L36" s="7"/>
      <c r="M36" s="26"/>
      <c r="N36" s="7"/>
      <c r="O36" s="26"/>
      <c r="P36" s="7"/>
      <c r="Q36" s="26"/>
      <c r="R36" s="7"/>
      <c r="S36" s="26"/>
      <c r="T36" s="9"/>
      <c r="U36" s="26"/>
      <c r="V36" s="7"/>
      <c r="W36" s="26"/>
      <c r="X36" s="7"/>
      <c r="Y36" s="26"/>
      <c r="Z36" s="26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/>
      <c r="AU36" s="26"/>
      <c r="AV36" s="7"/>
      <c r="AW36" s="26"/>
      <c r="AX36" s="7"/>
      <c r="AY36" s="26"/>
      <c r="AZ36" s="7"/>
      <c r="BA36" s="26"/>
      <c r="BB36" s="9"/>
      <c r="BC36" s="15"/>
      <c r="BD36" s="9"/>
      <c r="BE36" s="15"/>
      <c r="BF36" s="7"/>
      <c r="BG36" s="26"/>
      <c r="BH36" s="7"/>
      <c r="BI36" s="26"/>
      <c r="BJ36" s="7"/>
      <c r="BK36" s="26"/>
      <c r="BL36" s="9"/>
      <c r="BM36" s="15"/>
      <c r="BN36" s="9"/>
      <c r="BO36" s="15"/>
      <c r="BP36" s="9"/>
      <c r="BQ36" s="15"/>
      <c r="BR36" s="9"/>
      <c r="BS36" s="15"/>
      <c r="BT36" s="9"/>
      <c r="BU36" s="15"/>
      <c r="BV36" s="9"/>
      <c r="BW36" s="15"/>
      <c r="BX36" s="9"/>
      <c r="BY36" s="15"/>
      <c r="BZ36" s="9"/>
      <c r="CA36" s="15"/>
      <c r="CB36" s="9"/>
      <c r="CC36" s="15"/>
      <c r="CD36" s="9"/>
      <c r="CE36" s="15"/>
      <c r="CF36" s="9"/>
      <c r="CG36" s="15"/>
      <c r="CH36" s="9"/>
      <c r="CI36" s="15"/>
      <c r="CJ36" s="9"/>
      <c r="CK36" s="15"/>
      <c r="CL36" s="9"/>
      <c r="CM36" s="15"/>
      <c r="CN36" s="9"/>
      <c r="CO36" s="15"/>
      <c r="CP36" s="9"/>
      <c r="CQ36" s="15"/>
      <c r="CR36" s="9"/>
    </row>
    <row r="37" spans="1:96" x14ac:dyDescent="0.25">
      <c r="A37" s="41"/>
      <c r="B37" s="7"/>
      <c r="C37" s="26"/>
      <c r="D37" s="7"/>
      <c r="E37" s="26"/>
      <c r="F37" s="7"/>
      <c r="G37" s="26"/>
      <c r="H37" s="72"/>
      <c r="I37" s="24"/>
      <c r="J37" s="9"/>
      <c r="K37" s="26"/>
      <c r="L37" s="7"/>
      <c r="M37" s="26"/>
      <c r="N37" s="7"/>
      <c r="O37" s="26"/>
      <c r="P37" s="7"/>
      <c r="Q37" s="26"/>
      <c r="R37" s="7"/>
      <c r="S37" s="26"/>
      <c r="T37" s="9"/>
      <c r="U37" s="26"/>
      <c r="V37" s="7"/>
      <c r="W37" s="26"/>
      <c r="X37" s="7"/>
      <c r="Y37" s="26"/>
      <c r="Z37" s="26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/>
      <c r="AU37" s="26"/>
      <c r="AV37" s="7"/>
      <c r="AW37" s="26"/>
      <c r="AX37" s="7"/>
      <c r="AY37" s="26"/>
      <c r="AZ37" s="7"/>
      <c r="BA37" s="26"/>
      <c r="BB37" s="7"/>
      <c r="BC37" s="26"/>
      <c r="BD37" s="9"/>
      <c r="BE37" s="15"/>
      <c r="BF37" s="7"/>
      <c r="BG37" s="26"/>
      <c r="BH37" s="7"/>
      <c r="BI37" s="26"/>
      <c r="BJ37" s="7"/>
      <c r="BK37" s="26"/>
      <c r="BL37" s="9"/>
      <c r="BM37" s="15"/>
      <c r="BN37" s="9"/>
      <c r="BO37" s="15"/>
      <c r="BP37" s="9"/>
      <c r="BQ37" s="15"/>
      <c r="BR37" s="9"/>
      <c r="BS37" s="15"/>
      <c r="BT37" s="9"/>
      <c r="BU37" s="15"/>
      <c r="BV37" s="9"/>
      <c r="BW37" s="15"/>
      <c r="BX37" s="9"/>
      <c r="BY37" s="15"/>
      <c r="BZ37" s="9"/>
      <c r="CA37" s="15"/>
      <c r="CB37" s="9"/>
      <c r="CC37" s="15"/>
      <c r="CD37" s="9"/>
      <c r="CE37" s="15"/>
      <c r="CF37" s="9"/>
      <c r="CG37" s="15"/>
      <c r="CH37" s="9"/>
      <c r="CI37" s="15"/>
      <c r="CJ37" s="9"/>
      <c r="CK37" s="15"/>
      <c r="CL37" s="9"/>
      <c r="CM37" s="15"/>
      <c r="CN37" s="9"/>
      <c r="CO37" s="15"/>
      <c r="CP37" s="9"/>
      <c r="CQ37" s="15"/>
      <c r="CR37" s="9"/>
    </row>
    <row r="38" spans="1:96" x14ac:dyDescent="0.25">
      <c r="A38" s="41"/>
      <c r="B38" s="7"/>
      <c r="C38" s="26"/>
      <c r="D38" s="7"/>
      <c r="E38" s="26"/>
      <c r="F38" s="7"/>
      <c r="G38" s="26"/>
      <c r="H38" s="9"/>
      <c r="I38" s="15"/>
      <c r="J38" s="9"/>
      <c r="K38" s="26"/>
      <c r="L38" s="7"/>
      <c r="M38" s="26"/>
      <c r="N38" s="7"/>
      <c r="O38" s="26"/>
      <c r="P38" s="7"/>
      <c r="Q38" s="26"/>
      <c r="R38" s="7"/>
      <c r="S38" s="26"/>
      <c r="T38" s="9"/>
      <c r="U38" s="26"/>
      <c r="V38" s="7"/>
      <c r="W38" s="26"/>
      <c r="X38" s="7"/>
      <c r="Y38" s="26"/>
      <c r="Z38" s="26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7"/>
      <c r="BA38" s="26"/>
      <c r="BB38" s="7"/>
      <c r="BC38" s="26"/>
      <c r="BD38" s="9"/>
      <c r="BE38" s="15"/>
      <c r="BF38" s="7"/>
      <c r="BG38" s="26"/>
      <c r="BH38" s="7"/>
      <c r="BI38" s="26"/>
      <c r="BJ38" s="7"/>
      <c r="BK38" s="26"/>
      <c r="BL38" s="9"/>
      <c r="BM38" s="15"/>
      <c r="BN38" s="9"/>
      <c r="BO38" s="15"/>
      <c r="BP38" s="9"/>
      <c r="BQ38" s="15"/>
      <c r="BR38" s="9"/>
      <c r="BS38" s="15"/>
      <c r="BT38" s="9"/>
      <c r="BU38" s="15"/>
      <c r="BV38" s="9"/>
      <c r="BW38" s="15"/>
      <c r="BX38" s="9"/>
      <c r="BY38" s="15"/>
      <c r="BZ38" s="9"/>
      <c r="CA38" s="15"/>
      <c r="CB38" s="9"/>
      <c r="CC38" s="15"/>
      <c r="CD38" s="9"/>
      <c r="CE38" s="15"/>
      <c r="CF38" s="9"/>
      <c r="CG38" s="15"/>
      <c r="CH38" s="9"/>
      <c r="CI38" s="15"/>
      <c r="CJ38" s="9"/>
      <c r="CK38" s="15"/>
      <c r="CL38" s="9"/>
      <c r="CM38" s="15"/>
      <c r="CN38" s="9"/>
      <c r="CO38" s="15"/>
      <c r="CP38" s="9"/>
      <c r="CQ38" s="15"/>
      <c r="CR38" s="9"/>
    </row>
    <row r="39" spans="1:96" x14ac:dyDescent="0.25">
      <c r="A39" s="41"/>
      <c r="B39" s="7"/>
      <c r="C39" s="26"/>
      <c r="D39" s="7"/>
      <c r="E39" s="26"/>
      <c r="F39" s="7"/>
      <c r="G39" s="26"/>
      <c r="H39" s="9"/>
      <c r="I39" s="15"/>
      <c r="J39" s="9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26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7"/>
      <c r="BA39" s="26"/>
      <c r="BB39" s="7"/>
      <c r="BC39" s="26"/>
      <c r="BD39" s="9"/>
      <c r="BE39" s="15"/>
      <c r="BF39" s="7"/>
      <c r="BG39" s="26"/>
      <c r="BH39" s="7"/>
      <c r="BI39" s="26"/>
      <c r="BJ39" s="7"/>
      <c r="BK39" s="26"/>
      <c r="BL39" s="9"/>
      <c r="BM39" s="15"/>
      <c r="BN39" s="9"/>
      <c r="BO39" s="15"/>
      <c r="BP39" s="9"/>
      <c r="BQ39" s="15"/>
      <c r="BR39" s="9"/>
      <c r="BS39" s="15"/>
      <c r="BT39" s="9"/>
      <c r="BU39" s="15"/>
      <c r="BV39" s="9"/>
      <c r="BW39" s="15"/>
      <c r="BX39" s="9"/>
      <c r="BY39" s="15"/>
      <c r="BZ39" s="9"/>
      <c r="CA39" s="15"/>
      <c r="CB39" s="9"/>
      <c r="CC39" s="15"/>
      <c r="CD39" s="9"/>
      <c r="CE39" s="15"/>
      <c r="CF39" s="9"/>
      <c r="CG39" s="15"/>
      <c r="CH39" s="9"/>
      <c r="CI39" s="15"/>
      <c r="CJ39" s="9"/>
      <c r="CK39" s="15"/>
      <c r="CL39" s="9"/>
      <c r="CM39" s="15"/>
      <c r="CN39" s="9"/>
      <c r="CO39" s="15"/>
      <c r="CP39" s="9"/>
      <c r="CQ39" s="15"/>
      <c r="CR39" s="9"/>
    </row>
    <row r="40" spans="1:96" x14ac:dyDescent="0.25">
      <c r="A40" s="41"/>
      <c r="B40" s="7"/>
      <c r="C40" s="26"/>
      <c r="D40" s="7"/>
      <c r="E40" s="26"/>
      <c r="F40" s="7"/>
      <c r="G40" s="26"/>
      <c r="H40" s="9"/>
      <c r="I40" s="15"/>
      <c r="J40" s="9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26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7"/>
      <c r="BA40" s="26"/>
      <c r="BB40" s="7"/>
      <c r="BC40" s="26"/>
      <c r="BD40" s="9"/>
      <c r="BE40" s="15"/>
      <c r="BF40" s="7"/>
      <c r="BG40" s="26"/>
      <c r="BH40" s="7"/>
      <c r="BI40" s="26"/>
      <c r="BJ40" s="7"/>
      <c r="BK40" s="26"/>
      <c r="BL40" s="9"/>
      <c r="BM40" s="15"/>
      <c r="BN40" s="9"/>
      <c r="BO40" s="15"/>
      <c r="BP40" s="9"/>
      <c r="BQ40" s="15"/>
      <c r="BR40" s="9"/>
      <c r="BS40" s="15"/>
      <c r="BT40" s="9"/>
      <c r="BU40" s="15"/>
      <c r="BV40" s="9"/>
      <c r="BW40" s="15"/>
      <c r="BX40" s="9"/>
      <c r="BY40" s="15"/>
      <c r="BZ40" s="9"/>
      <c r="CA40" s="15"/>
      <c r="CB40" s="9"/>
      <c r="CC40" s="15"/>
      <c r="CD40" s="9"/>
      <c r="CE40" s="15"/>
      <c r="CF40" s="9"/>
      <c r="CG40" s="15"/>
      <c r="CH40" s="9"/>
      <c r="CI40" s="15"/>
      <c r="CJ40" s="9"/>
      <c r="CK40" s="15"/>
      <c r="CL40" s="9"/>
      <c r="CM40" s="15"/>
      <c r="CN40" s="9"/>
      <c r="CO40" s="15"/>
      <c r="CP40" s="9"/>
      <c r="CQ40" s="15"/>
      <c r="CR40" s="9"/>
    </row>
    <row r="41" spans="1:96" x14ac:dyDescent="0.25">
      <c r="A41" s="41"/>
      <c r="B41" s="7"/>
      <c r="C41" s="26"/>
      <c r="D41" s="7"/>
      <c r="E41" s="26"/>
      <c r="F41" s="7"/>
      <c r="G41" s="26"/>
      <c r="H41" s="9"/>
      <c r="I41" s="15"/>
      <c r="J41" s="9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26"/>
      <c r="AA41" s="26"/>
      <c r="AB41" s="7"/>
      <c r="AC41" s="26"/>
      <c r="AD41" s="7"/>
      <c r="AE41" s="26"/>
      <c r="AF41" s="7"/>
      <c r="AG41" s="26"/>
      <c r="AH41" s="19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7"/>
      <c r="BA41" s="26"/>
      <c r="BB41" s="7"/>
      <c r="BC41" s="26"/>
      <c r="BD41" s="9"/>
      <c r="BE41" s="15"/>
      <c r="BF41" s="7"/>
      <c r="BG41" s="26"/>
      <c r="BH41" s="7"/>
      <c r="BI41" s="26"/>
      <c r="BJ41" s="7"/>
      <c r="BK41" s="26"/>
      <c r="BL41" s="9"/>
      <c r="BM41" s="15"/>
      <c r="BN41" s="9"/>
      <c r="BO41" s="15"/>
      <c r="BP41" s="9"/>
      <c r="BQ41" s="15"/>
      <c r="BR41" s="9"/>
      <c r="BS41" s="15"/>
      <c r="BT41" s="9"/>
      <c r="BU41" s="15"/>
      <c r="BV41" s="9"/>
      <c r="BW41" s="15"/>
      <c r="BX41" s="9"/>
      <c r="BY41" s="15"/>
      <c r="BZ41" s="9"/>
      <c r="CA41" s="15"/>
      <c r="CB41" s="9"/>
      <c r="CC41" s="15"/>
      <c r="CD41" s="9"/>
      <c r="CE41" s="15"/>
      <c r="CF41" s="9"/>
      <c r="CG41" s="15"/>
      <c r="CH41" s="9"/>
      <c r="CI41" s="15"/>
      <c r="CJ41" s="9"/>
      <c r="CK41" s="15"/>
      <c r="CL41" s="9"/>
      <c r="CM41" s="15"/>
      <c r="CN41" s="9"/>
      <c r="CO41" s="15"/>
      <c r="CP41" s="9"/>
      <c r="CQ41" s="15"/>
      <c r="CR41" s="9"/>
    </row>
    <row r="42" spans="1:96" x14ac:dyDescent="0.25">
      <c r="A42" s="41"/>
      <c r="B42" s="7"/>
      <c r="C42" s="26"/>
      <c r="D42" s="7"/>
      <c r="E42" s="26"/>
      <c r="F42" s="7"/>
      <c r="G42" s="26"/>
      <c r="H42" s="9"/>
      <c r="I42" s="15"/>
      <c r="J42" s="9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26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7"/>
      <c r="BA42" s="26"/>
      <c r="BB42" s="7"/>
      <c r="BC42" s="26"/>
      <c r="BD42" s="9"/>
      <c r="BE42" s="15"/>
      <c r="BF42" s="7"/>
      <c r="BG42" s="26"/>
      <c r="BH42" s="7"/>
      <c r="BI42" s="26"/>
      <c r="BJ42" s="7"/>
      <c r="BK42" s="26"/>
      <c r="BL42" s="9"/>
      <c r="BM42" s="15"/>
      <c r="BN42" s="9"/>
      <c r="BO42" s="15"/>
      <c r="BP42" s="9"/>
      <c r="BQ42" s="15"/>
      <c r="BR42" s="9"/>
      <c r="BS42" s="15"/>
      <c r="BT42" s="9"/>
      <c r="BU42" s="15"/>
      <c r="BV42" s="9"/>
      <c r="BW42" s="15"/>
      <c r="BX42" s="9"/>
      <c r="BY42" s="15"/>
      <c r="BZ42" s="9"/>
      <c r="CA42" s="15"/>
      <c r="CB42" s="9"/>
      <c r="CC42" s="15"/>
      <c r="CD42" s="9"/>
      <c r="CE42" s="15"/>
      <c r="CF42" s="9"/>
      <c r="CG42" s="15"/>
      <c r="CH42" s="9"/>
      <c r="CI42" s="15"/>
      <c r="CJ42" s="9"/>
      <c r="CK42" s="15"/>
      <c r="CL42" s="9"/>
      <c r="CM42" s="15"/>
      <c r="CN42" s="9"/>
      <c r="CO42" s="15"/>
      <c r="CP42" s="9"/>
      <c r="CQ42" s="15"/>
      <c r="CR42" s="9"/>
    </row>
    <row r="43" spans="1:96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26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7"/>
      <c r="BA43" s="26"/>
      <c r="BB43" s="7"/>
      <c r="BC43" s="26"/>
      <c r="BD43" s="9"/>
      <c r="BE43" s="15"/>
      <c r="BF43" s="7"/>
      <c r="BG43" s="26"/>
      <c r="BH43" s="7"/>
      <c r="BI43" s="26"/>
      <c r="BJ43" s="7"/>
      <c r="BK43" s="26"/>
      <c r="BL43" s="9"/>
      <c r="BM43" s="15"/>
      <c r="BN43" s="9"/>
      <c r="BO43" s="15"/>
      <c r="BP43" s="9"/>
      <c r="BQ43" s="15"/>
      <c r="BR43" s="9"/>
      <c r="BS43" s="15"/>
      <c r="BT43" s="9"/>
      <c r="BU43" s="15"/>
      <c r="BV43" s="9"/>
      <c r="BW43" s="15"/>
      <c r="BX43" s="9"/>
      <c r="BY43" s="15"/>
      <c r="BZ43" s="9"/>
      <c r="CA43" s="15"/>
      <c r="CB43" s="9"/>
      <c r="CC43" s="15"/>
      <c r="CD43" s="9"/>
      <c r="CE43" s="15"/>
      <c r="CF43" s="9"/>
      <c r="CG43" s="15"/>
      <c r="CH43" s="9"/>
      <c r="CI43" s="15"/>
      <c r="CJ43" s="9"/>
      <c r="CK43" s="15"/>
      <c r="CL43" s="9"/>
      <c r="CM43" s="15"/>
      <c r="CN43" s="9"/>
      <c r="CO43" s="15"/>
      <c r="CP43" s="9"/>
      <c r="CQ43" s="15"/>
      <c r="CR43" s="9"/>
    </row>
    <row r="44" spans="1:96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26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7"/>
      <c r="BA44" s="26"/>
      <c r="BB44" s="7"/>
      <c r="BC44" s="26"/>
      <c r="BD44" s="9"/>
      <c r="BE44" s="15"/>
      <c r="BF44" s="7"/>
      <c r="BG44" s="26"/>
      <c r="BH44" s="7"/>
      <c r="BI44" s="26"/>
      <c r="BJ44" s="7"/>
      <c r="BK44" s="26"/>
      <c r="BL44" s="9"/>
      <c r="BM44" s="15"/>
      <c r="BN44" s="9"/>
      <c r="BO44" s="15"/>
      <c r="BP44" s="9"/>
      <c r="BQ44" s="15"/>
      <c r="BR44" s="9"/>
      <c r="BS44" s="15"/>
      <c r="BT44" s="9"/>
      <c r="BU44" s="15"/>
      <c r="BV44" s="9"/>
      <c r="BW44" s="15"/>
      <c r="BX44" s="9"/>
      <c r="BY44" s="15"/>
      <c r="BZ44" s="9"/>
      <c r="CA44" s="15"/>
      <c r="CB44" s="9"/>
      <c r="CC44" s="15"/>
      <c r="CD44" s="9"/>
      <c r="CE44" s="15"/>
      <c r="CF44" s="9"/>
      <c r="CG44" s="15"/>
      <c r="CH44" s="9"/>
      <c r="CI44" s="15"/>
      <c r="CJ44" s="9"/>
      <c r="CK44" s="15"/>
      <c r="CL44" s="9"/>
      <c r="CM44" s="15"/>
      <c r="CN44" s="9"/>
      <c r="CO44" s="15"/>
      <c r="CP44" s="9"/>
      <c r="CQ44" s="15"/>
      <c r="CR44" s="9"/>
    </row>
    <row r="45" spans="1:96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26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7"/>
      <c r="BA45" s="26"/>
      <c r="BB45" s="7"/>
      <c r="BC45" s="26"/>
      <c r="BD45" s="9"/>
      <c r="BE45" s="15"/>
      <c r="BF45" s="7"/>
      <c r="BG45" s="26"/>
      <c r="BH45" s="7"/>
      <c r="BI45" s="26"/>
      <c r="BJ45" s="7"/>
      <c r="BK45" s="26"/>
      <c r="BL45" s="9"/>
      <c r="BM45" s="15"/>
      <c r="BN45" s="9"/>
      <c r="BO45" s="15"/>
      <c r="BP45" s="9"/>
      <c r="BQ45" s="15"/>
      <c r="BR45" s="9"/>
      <c r="BS45" s="15"/>
      <c r="BT45" s="9"/>
      <c r="BU45" s="15"/>
      <c r="BV45" s="9"/>
      <c r="BW45" s="15"/>
      <c r="BX45" s="9"/>
      <c r="BY45" s="15"/>
      <c r="BZ45" s="9"/>
      <c r="CA45" s="15"/>
      <c r="CB45" s="9"/>
      <c r="CC45" s="15"/>
      <c r="CD45" s="9"/>
      <c r="CE45" s="15"/>
      <c r="CF45" s="9"/>
      <c r="CG45" s="15"/>
      <c r="CH45" s="9"/>
      <c r="CI45" s="15"/>
      <c r="CJ45" s="9"/>
      <c r="CK45" s="15"/>
      <c r="CL45" s="9"/>
      <c r="CM45" s="15"/>
      <c r="CN45" s="9"/>
      <c r="CO45" s="15"/>
      <c r="CP45" s="9"/>
      <c r="CQ45" s="15"/>
      <c r="CR45" s="9"/>
    </row>
    <row r="46" spans="1:96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26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7"/>
      <c r="BA46" s="26"/>
      <c r="BB46" s="7"/>
      <c r="BC46" s="26"/>
      <c r="BD46" s="9"/>
      <c r="BE46" s="15"/>
      <c r="BF46" s="7"/>
      <c r="BG46" s="26"/>
      <c r="BH46" s="7"/>
      <c r="BI46" s="26"/>
      <c r="BJ46" s="7"/>
      <c r="BK46" s="26"/>
      <c r="BL46" s="9"/>
      <c r="BM46" s="15"/>
      <c r="BN46" s="9"/>
      <c r="BO46" s="15"/>
      <c r="BP46" s="9"/>
      <c r="BQ46" s="15"/>
      <c r="BR46" s="9"/>
      <c r="BS46" s="15"/>
      <c r="BT46" s="9"/>
      <c r="BU46" s="15"/>
      <c r="BV46" s="9"/>
      <c r="BW46" s="15"/>
      <c r="BX46" s="9"/>
      <c r="BY46" s="15"/>
      <c r="BZ46" s="9"/>
      <c r="CA46" s="15"/>
      <c r="CB46" s="9"/>
      <c r="CC46" s="15"/>
      <c r="CD46" s="9"/>
      <c r="CE46" s="15"/>
      <c r="CF46" s="9"/>
      <c r="CG46" s="15"/>
      <c r="CH46" s="9"/>
      <c r="CI46" s="15"/>
      <c r="CJ46" s="9"/>
      <c r="CK46" s="15"/>
      <c r="CL46" s="9"/>
      <c r="CM46" s="15"/>
      <c r="CN46" s="9"/>
      <c r="CO46" s="15"/>
      <c r="CP46" s="9"/>
      <c r="CQ46" s="15"/>
      <c r="CR46" s="9"/>
    </row>
    <row r="47" spans="1:96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26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7"/>
      <c r="BA47" s="26"/>
      <c r="BB47" s="7"/>
      <c r="BC47" s="26"/>
      <c r="BD47" s="9"/>
      <c r="BE47" s="15"/>
      <c r="BF47" s="7"/>
      <c r="BG47" s="26"/>
      <c r="BH47" s="7"/>
      <c r="BI47" s="26"/>
      <c r="BJ47" s="7"/>
      <c r="BK47" s="26"/>
      <c r="BL47" s="9"/>
      <c r="BM47" s="15"/>
      <c r="BN47" s="9"/>
      <c r="BO47" s="15"/>
      <c r="BP47" s="9"/>
      <c r="BQ47" s="15"/>
      <c r="BR47" s="9"/>
      <c r="BS47" s="15"/>
      <c r="BT47" s="9"/>
      <c r="BU47" s="15"/>
      <c r="BV47" s="9"/>
      <c r="BW47" s="15"/>
      <c r="BX47" s="9"/>
      <c r="BY47" s="15"/>
      <c r="BZ47" s="9"/>
      <c r="CA47" s="15"/>
      <c r="CB47" s="9"/>
      <c r="CC47" s="15"/>
      <c r="CD47" s="9"/>
      <c r="CE47" s="15"/>
      <c r="CF47" s="9"/>
      <c r="CG47" s="15"/>
      <c r="CH47" s="9"/>
      <c r="CI47" s="15"/>
      <c r="CJ47" s="9"/>
      <c r="CK47" s="15"/>
      <c r="CL47" s="9"/>
      <c r="CM47" s="15"/>
      <c r="CN47" s="9"/>
      <c r="CO47" s="15"/>
      <c r="CP47" s="9"/>
      <c r="CQ47" s="15"/>
      <c r="CR47" s="9"/>
    </row>
    <row r="48" spans="1:96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26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7"/>
      <c r="BA48" s="26"/>
      <c r="BB48" s="7"/>
      <c r="BC48" s="26"/>
      <c r="BD48" s="9"/>
      <c r="BE48" s="15"/>
      <c r="BF48" s="7"/>
      <c r="BG48" s="26"/>
      <c r="BH48" s="7"/>
      <c r="BI48" s="26"/>
      <c r="BJ48" s="7"/>
      <c r="BK48" s="26"/>
      <c r="BL48" s="9"/>
      <c r="BM48" s="15"/>
      <c r="BN48" s="9"/>
      <c r="BO48" s="15"/>
      <c r="BP48" s="9"/>
      <c r="BQ48" s="15"/>
      <c r="BR48" s="9"/>
      <c r="BS48" s="15"/>
      <c r="BT48" s="9"/>
      <c r="BU48" s="15"/>
      <c r="BV48" s="9"/>
      <c r="BW48" s="15"/>
      <c r="BX48" s="9"/>
      <c r="BY48" s="15"/>
      <c r="BZ48" s="9"/>
      <c r="CA48" s="15"/>
      <c r="CB48" s="9"/>
      <c r="CC48" s="15"/>
      <c r="CD48" s="9"/>
      <c r="CE48" s="15"/>
      <c r="CF48" s="9"/>
      <c r="CG48" s="15"/>
      <c r="CH48" s="9"/>
      <c r="CI48" s="15"/>
      <c r="CJ48" s="9"/>
      <c r="CK48" s="15"/>
      <c r="CL48" s="9"/>
      <c r="CM48" s="15"/>
      <c r="CN48" s="9"/>
      <c r="CO48" s="15"/>
      <c r="CP48" s="9"/>
      <c r="CQ48" s="15"/>
      <c r="CR48" s="9"/>
    </row>
    <row r="49" spans="1:96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26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7"/>
      <c r="BA49" s="26"/>
      <c r="BB49" s="7"/>
      <c r="BC49" s="26"/>
      <c r="BD49" s="9"/>
      <c r="BE49" s="15"/>
      <c r="BF49" s="7"/>
      <c r="BG49" s="26"/>
      <c r="BH49" s="7"/>
      <c r="BI49" s="26"/>
      <c r="BJ49" s="7"/>
      <c r="BK49" s="26"/>
      <c r="BL49" s="9"/>
      <c r="BM49" s="15"/>
      <c r="BN49" s="9"/>
      <c r="BO49" s="15"/>
      <c r="BP49" s="9"/>
      <c r="BQ49" s="15"/>
      <c r="BR49" s="9"/>
      <c r="BS49" s="15"/>
      <c r="BT49" s="9"/>
      <c r="BU49" s="15"/>
      <c r="BV49" s="9"/>
      <c r="BW49" s="15"/>
      <c r="BX49" s="9"/>
      <c r="BY49" s="15"/>
      <c r="BZ49" s="9"/>
      <c r="CA49" s="15"/>
      <c r="CB49" s="9"/>
      <c r="CC49" s="15"/>
      <c r="CD49" s="9"/>
      <c r="CE49" s="15"/>
      <c r="CF49" s="9"/>
      <c r="CG49" s="15"/>
      <c r="CH49" s="9"/>
      <c r="CI49" s="15"/>
      <c r="CJ49" s="9"/>
      <c r="CK49" s="15"/>
      <c r="CL49" s="9"/>
      <c r="CM49" s="15"/>
      <c r="CN49" s="9"/>
      <c r="CO49" s="15"/>
      <c r="CP49" s="9"/>
      <c r="CQ49" s="15"/>
      <c r="CR49" s="9"/>
    </row>
    <row r="50" spans="1:96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26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7"/>
      <c r="BA50" s="26"/>
      <c r="BB50" s="7"/>
      <c r="BC50" s="26"/>
      <c r="BD50" s="9"/>
      <c r="BE50" s="15"/>
      <c r="BF50" s="7"/>
      <c r="BG50" s="26"/>
      <c r="BH50" s="7"/>
      <c r="BI50" s="26"/>
      <c r="BJ50" s="7"/>
      <c r="BK50" s="26"/>
      <c r="BL50" s="9"/>
      <c r="BM50" s="15"/>
      <c r="BN50" s="9"/>
      <c r="BO50" s="15"/>
      <c r="BP50" s="9"/>
      <c r="BQ50" s="15"/>
      <c r="BR50" s="9"/>
      <c r="BS50" s="15"/>
      <c r="BT50" s="9"/>
      <c r="BU50" s="15"/>
      <c r="BV50" s="9"/>
      <c r="BW50" s="15"/>
      <c r="BX50" s="9"/>
      <c r="BY50" s="15"/>
      <c r="BZ50" s="9"/>
      <c r="CA50" s="15"/>
      <c r="CB50" s="9"/>
      <c r="CC50" s="15"/>
      <c r="CD50" s="9"/>
      <c r="CE50" s="15"/>
      <c r="CF50" s="9"/>
      <c r="CG50" s="15"/>
      <c r="CH50" s="9"/>
      <c r="CI50" s="15"/>
      <c r="CJ50" s="9"/>
      <c r="CK50" s="15"/>
      <c r="CL50" s="9"/>
      <c r="CM50" s="15"/>
      <c r="CN50" s="9"/>
      <c r="CO50" s="15"/>
      <c r="CP50" s="9"/>
      <c r="CQ50" s="15"/>
      <c r="CR50" s="9"/>
    </row>
    <row r="51" spans="1:96" x14ac:dyDescent="0.25">
      <c r="A51" s="39" t="s">
        <v>1</v>
      </c>
      <c r="B51" s="7">
        <f>+B3+B4</f>
        <v>203424.56</v>
      </c>
      <c r="C51" s="26"/>
      <c r="D51" s="7">
        <f>+D3+D4</f>
        <v>33610.9</v>
      </c>
      <c r="E51" s="26"/>
      <c r="F51" s="7">
        <f>+F3+F4</f>
        <v>123128.7</v>
      </c>
      <c r="G51" s="26"/>
      <c r="H51" s="7">
        <f>+H3+H4</f>
        <v>68102.37</v>
      </c>
      <c r="I51" s="26"/>
      <c r="J51" s="7">
        <f>+J3+J4</f>
        <v>303909.28999999998</v>
      </c>
      <c r="K51" s="26"/>
      <c r="L51" s="7">
        <f>+L3+L4</f>
        <v>32550.68</v>
      </c>
      <c r="M51" s="26"/>
      <c r="N51" s="7">
        <f>+N3+N4</f>
        <v>110255.87999999999</v>
      </c>
      <c r="O51" s="26"/>
      <c r="P51" s="7">
        <f>+P3+P4</f>
        <v>54645.73</v>
      </c>
      <c r="Q51" s="26"/>
      <c r="R51" s="7">
        <f>+R3+R4</f>
        <v>46483.45</v>
      </c>
      <c r="S51" s="26"/>
      <c r="T51" s="7">
        <f>+T3+T4</f>
        <v>29674.73</v>
      </c>
      <c r="U51" s="26"/>
      <c r="V51" s="7">
        <f>+V3+V4</f>
        <v>0</v>
      </c>
      <c r="W51" s="26"/>
      <c r="X51" s="7">
        <f>+X3+X4</f>
        <v>266043.44</v>
      </c>
      <c r="Y51" s="26"/>
      <c r="Z51" s="7">
        <f>+Z3+Z4</f>
        <v>386815.06</v>
      </c>
      <c r="AA51" s="26"/>
      <c r="AB51" s="7">
        <f>+AB3+AB4</f>
        <v>52560.94</v>
      </c>
      <c r="AC51" s="26"/>
      <c r="AD51" s="7">
        <f>+AD3+AD4</f>
        <v>65865.72</v>
      </c>
      <c r="AE51" s="26"/>
      <c r="AF51" s="7">
        <f>+AF3+AF4</f>
        <v>31152.36</v>
      </c>
      <c r="AG51" s="26"/>
      <c r="AH51" s="7">
        <f>+AH3+AH4</f>
        <v>116010.37</v>
      </c>
      <c r="AI51" s="26"/>
      <c r="AJ51" s="7">
        <f>+AJ3+AJ4</f>
        <v>50346.879999999997</v>
      </c>
      <c r="AK51" s="26"/>
      <c r="AL51" s="7">
        <f>+AL3+AL4</f>
        <v>6000</v>
      </c>
      <c r="AM51" s="26"/>
      <c r="AN51" s="7">
        <f>+AN3+AN4</f>
        <v>110400.29999999999</v>
      </c>
      <c r="AO51" s="26"/>
      <c r="AP51" s="7">
        <f>+AP3+AP4</f>
        <v>398647.12</v>
      </c>
      <c r="AQ51" s="26"/>
      <c r="AR51" s="7">
        <f>+AR3+AR4</f>
        <v>329997.82</v>
      </c>
      <c r="AS51" s="26"/>
      <c r="AT51" s="7">
        <f>+AT3+AT4</f>
        <v>430224.49</v>
      </c>
      <c r="AU51" s="26"/>
      <c r="AV51" s="7">
        <f>+AV3+AV4</f>
        <v>166597.54999999999</v>
      </c>
      <c r="AW51" s="26"/>
      <c r="AX51" s="7">
        <f>+AX3+AX4</f>
        <v>0</v>
      </c>
      <c r="AY51" s="26"/>
      <c r="AZ51" s="7">
        <f>+AZ3+AZ4</f>
        <v>54983.94</v>
      </c>
      <c r="BA51" s="26"/>
      <c r="BB51" s="7">
        <f>+BB3+BB4</f>
        <v>261944.13999999998</v>
      </c>
      <c r="BC51" s="26"/>
      <c r="BD51" s="7">
        <f>+BD3+BD4</f>
        <v>412417.94</v>
      </c>
      <c r="BE51" s="15"/>
      <c r="BF51" s="7">
        <f>+BF3+BF4</f>
        <v>76404.56</v>
      </c>
      <c r="BG51" s="26"/>
      <c r="BH51" s="7"/>
      <c r="BI51" s="26"/>
      <c r="BJ51" s="7"/>
      <c r="BK51" s="26"/>
      <c r="BL51" s="9"/>
      <c r="BM51" s="15"/>
      <c r="BN51" s="9"/>
      <c r="BO51" s="15"/>
      <c r="BP51" s="9"/>
      <c r="BQ51" s="15"/>
      <c r="BR51" s="9"/>
      <c r="BS51" s="15"/>
      <c r="BT51" s="9"/>
      <c r="BU51" s="15"/>
      <c r="BV51" s="9"/>
      <c r="BW51" s="15"/>
      <c r="BX51" s="9"/>
      <c r="BY51" s="15"/>
      <c r="BZ51" s="9"/>
      <c r="CA51" s="15"/>
      <c r="CB51" s="9"/>
      <c r="CC51" s="15"/>
      <c r="CD51" s="9"/>
      <c r="CE51" s="15"/>
      <c r="CF51" s="9"/>
      <c r="CG51" s="15"/>
      <c r="CH51" s="66"/>
      <c r="CI51" s="60"/>
      <c r="CJ51" s="66"/>
      <c r="CK51" s="60"/>
      <c r="CL51" s="66"/>
      <c r="CM51" s="60"/>
      <c r="CN51" s="66"/>
      <c r="CO51" s="60"/>
      <c r="CP51" s="66"/>
      <c r="CQ51" s="60"/>
      <c r="CR51" s="66"/>
    </row>
    <row r="52" spans="1:96" x14ac:dyDescent="0.25">
      <c r="A52" s="39" t="s">
        <v>2</v>
      </c>
      <c r="B52" s="26">
        <f>+SUM(B6:B49)</f>
        <v>203424.57</v>
      </c>
      <c r="C52" s="26"/>
      <c r="D52" s="26">
        <f>+SUM(D6:D49)</f>
        <v>33610.909999999996</v>
      </c>
      <c r="E52" s="26"/>
      <c r="F52" s="26">
        <f>+SUM(F6:F49)</f>
        <v>123128.68999999999</v>
      </c>
      <c r="G52" s="26"/>
      <c r="H52" s="26">
        <f>+SUM(H6:H49)</f>
        <v>68102.39</v>
      </c>
      <c r="I52" s="26"/>
      <c r="J52" s="26">
        <f>+SUM(J6:J49)</f>
        <v>303909.28999999998</v>
      </c>
      <c r="K52" s="26"/>
      <c r="L52" s="26">
        <f>+SUM(L6:L49)</f>
        <v>32550.679999999997</v>
      </c>
      <c r="M52" s="26"/>
      <c r="N52" s="26">
        <f>+SUM(N6:N49)</f>
        <v>110255.87999999999</v>
      </c>
      <c r="O52" s="26"/>
      <c r="P52" s="26">
        <f>+SUM(P6:P49)</f>
        <v>54645.73</v>
      </c>
      <c r="Q52" s="26"/>
      <c r="R52" s="26">
        <f>+SUM(R6:R49)</f>
        <v>46484.04</v>
      </c>
      <c r="S52" s="26"/>
      <c r="T52" s="26">
        <f>+SUM(T6:T49)</f>
        <v>29674.73</v>
      </c>
      <c r="U52" s="26"/>
      <c r="V52" s="26">
        <f>+SUM(V6:V49)</f>
        <v>0</v>
      </c>
      <c r="W52" s="26"/>
      <c r="X52" s="26">
        <f>+SUM(X6:X49)</f>
        <v>266043.44</v>
      </c>
      <c r="Y52" s="26"/>
      <c r="Z52" s="26">
        <f>+SUM(Z6:Z49)</f>
        <v>386815.06000000006</v>
      </c>
      <c r="AA52" s="26"/>
      <c r="AB52" s="26">
        <f>+SUM(AB6:AB49)</f>
        <v>52560.94</v>
      </c>
      <c r="AC52" s="26"/>
      <c r="AD52" s="26">
        <f>+SUM(AD6:AD49)</f>
        <v>65865.72</v>
      </c>
      <c r="AE52" s="26"/>
      <c r="AF52" s="26">
        <f>+SUM(AF6:AF49)</f>
        <v>31152.36</v>
      </c>
      <c r="AG52" s="26"/>
      <c r="AH52" s="26">
        <f>+SUM(AH6:AH49)</f>
        <v>116010.37</v>
      </c>
      <c r="AI52" s="26"/>
      <c r="AJ52" s="26">
        <f>+SUM(AJ6:AJ49)</f>
        <v>50346.880000000005</v>
      </c>
      <c r="AK52" s="26"/>
      <c r="AL52" s="26">
        <f>+SUM(AL6:AL49)</f>
        <v>6000</v>
      </c>
      <c r="AM52" s="26"/>
      <c r="AN52" s="26">
        <f>+SUM(AN6:AN49)</f>
        <v>110400.3</v>
      </c>
      <c r="AO52" s="26"/>
      <c r="AP52" s="26">
        <f>+SUM(AP6:AP49)</f>
        <v>398647.13</v>
      </c>
      <c r="AQ52" s="26"/>
      <c r="AR52" s="26">
        <f>+SUM(AR6:AR49)</f>
        <v>329997.81</v>
      </c>
      <c r="AS52" s="26"/>
      <c r="AT52" s="26">
        <f>+SUM(AT6:AT49)</f>
        <v>430224.49</v>
      </c>
      <c r="AU52" s="26"/>
      <c r="AV52" s="26">
        <f>+SUM(AV6:AV49)</f>
        <v>166597.54999999999</v>
      </c>
      <c r="AW52" s="26"/>
      <c r="AX52" s="26">
        <f>+SUM(AX6:AX49)</f>
        <v>0</v>
      </c>
      <c r="AY52" s="26"/>
      <c r="AZ52" s="26">
        <f>+SUM(AZ6:AZ49)</f>
        <v>54983.94</v>
      </c>
      <c r="BA52" s="26"/>
      <c r="BB52" s="26">
        <f>+SUM(BB6:BB49)</f>
        <v>261944.14000000004</v>
      </c>
      <c r="BC52" s="26"/>
      <c r="BD52" s="26">
        <f>+SUM(BD6:BD49)</f>
        <v>412418.22</v>
      </c>
      <c r="BE52" s="15"/>
      <c r="BF52" s="26">
        <f>+SUM(BF6:BF49)</f>
        <v>76404.56</v>
      </c>
      <c r="BG52" s="26"/>
      <c r="BH52" s="26"/>
      <c r="BI52" s="26"/>
      <c r="BJ52" s="26"/>
      <c r="BK52" s="26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</row>
    <row r="53" spans="1:96" x14ac:dyDescent="0.25">
      <c r="A53" s="39" t="s">
        <v>3</v>
      </c>
      <c r="B53" s="117">
        <f>+B51-B52</f>
        <v>-1.0000000009313226E-2</v>
      </c>
      <c r="C53" s="117"/>
      <c r="D53" s="117">
        <f>+D51-D52</f>
        <v>-9.9999999947613105E-3</v>
      </c>
      <c r="E53" s="117"/>
      <c r="F53" s="117">
        <f>+F51-F52</f>
        <v>1.0000000009313226E-2</v>
      </c>
      <c r="G53" s="117"/>
      <c r="H53" s="117">
        <f>+H51-H52</f>
        <v>-2.0000000004074536E-2</v>
      </c>
      <c r="I53" s="117"/>
      <c r="J53" s="117">
        <f>+J51-J52</f>
        <v>0</v>
      </c>
      <c r="K53" s="117"/>
      <c r="L53" s="117">
        <f>+L51-L52</f>
        <v>0</v>
      </c>
      <c r="M53" s="117"/>
      <c r="N53" s="117">
        <f>+N51-N52</f>
        <v>0</v>
      </c>
      <c r="O53" s="117"/>
      <c r="P53" s="117">
        <f>+P51-P52</f>
        <v>0</v>
      </c>
      <c r="Q53" s="117"/>
      <c r="R53" s="117">
        <f>+R51-R52</f>
        <v>-0.5900000000037835</v>
      </c>
      <c r="S53" s="117"/>
      <c r="T53" s="117">
        <f>+T51-T52</f>
        <v>0</v>
      </c>
      <c r="U53" s="117"/>
      <c r="V53" s="117">
        <f>+V51-V52</f>
        <v>0</v>
      </c>
      <c r="W53" s="117"/>
      <c r="X53" s="117">
        <f>+X51-X52</f>
        <v>0</v>
      </c>
      <c r="Y53" s="117"/>
      <c r="Z53" s="117">
        <f>+Z51-Z52</f>
        <v>0</v>
      </c>
      <c r="AA53" s="117"/>
      <c r="AB53" s="117">
        <f>+AB51-AB52</f>
        <v>0</v>
      </c>
      <c r="AC53" s="117"/>
      <c r="AD53" s="117">
        <f>+AD51-AD52</f>
        <v>0</v>
      </c>
      <c r="AE53" s="117"/>
      <c r="AF53" s="117">
        <f>+AF51-AF52</f>
        <v>0</v>
      </c>
      <c r="AG53" s="117"/>
      <c r="AH53" s="117">
        <f>+AH51-AH52</f>
        <v>0</v>
      </c>
      <c r="AI53" s="117"/>
      <c r="AJ53" s="117">
        <f>+AJ51-AJ52</f>
        <v>0</v>
      </c>
      <c r="AK53" s="117"/>
      <c r="AL53" s="117">
        <f>+AL51-AL52</f>
        <v>0</v>
      </c>
      <c r="AM53" s="117"/>
      <c r="AN53" s="117">
        <f>+AN51-AN52</f>
        <v>0</v>
      </c>
      <c r="AO53" s="117"/>
      <c r="AP53" s="117">
        <f>+AP51-AP52</f>
        <v>-1.0000000009313226E-2</v>
      </c>
      <c r="AQ53" s="117"/>
      <c r="AR53" s="117">
        <f>+AR51-AR52</f>
        <v>1.0000000009313226E-2</v>
      </c>
      <c r="AS53" s="117"/>
      <c r="AT53" s="117">
        <f>+AT51-AT52</f>
        <v>0</v>
      </c>
      <c r="AU53" s="117"/>
      <c r="AV53" s="117">
        <f>+AV51-AV52</f>
        <v>0</v>
      </c>
      <c r="AW53" s="117"/>
      <c r="AX53" s="117">
        <f>+AX51-AX52</f>
        <v>0</v>
      </c>
      <c r="AY53" s="117"/>
      <c r="AZ53" s="117">
        <f>+AZ51-AZ52</f>
        <v>0</v>
      </c>
      <c r="BA53" s="117"/>
      <c r="BB53" s="117">
        <f>+BB51-BB52</f>
        <v>0</v>
      </c>
      <c r="BC53" s="117"/>
      <c r="BD53" s="117">
        <f>+BD51-BD52</f>
        <v>-0.27999999996973202</v>
      </c>
      <c r="BE53" s="134"/>
      <c r="BF53" s="117">
        <f>+BF51-BF52</f>
        <v>0</v>
      </c>
      <c r="BG53" s="117"/>
      <c r="BH53" s="117"/>
      <c r="BI53" s="117"/>
      <c r="BJ53" s="117"/>
      <c r="BK53" s="117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</row>
    <row r="54" spans="1:96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59"/>
      <c r="AA54" s="59"/>
      <c r="AB54" s="18"/>
      <c r="AC54" s="59"/>
      <c r="AD54" s="18"/>
      <c r="AE54" s="59"/>
      <c r="AF54" s="18"/>
      <c r="AG54" s="59"/>
      <c r="AH54" s="18"/>
      <c r="AI54" s="59"/>
      <c r="AJ54" s="18"/>
      <c r="AK54" s="59"/>
      <c r="AL54" s="117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59"/>
      <c r="AX54" s="18"/>
      <c r="AY54" s="59"/>
      <c r="AZ54" s="18"/>
      <c r="BA54" s="59"/>
      <c r="BB54" s="18"/>
      <c r="BC54" s="59"/>
      <c r="BD54" s="18"/>
      <c r="BE54" s="25"/>
      <c r="BF54" s="18"/>
      <c r="BG54" s="59"/>
      <c r="BH54" s="18"/>
      <c r="BI54" s="59"/>
      <c r="BJ54" s="18"/>
      <c r="BK54" s="59"/>
      <c r="BL54" s="75"/>
      <c r="BM54" s="25"/>
      <c r="BN54" s="75"/>
      <c r="BO54" s="25"/>
      <c r="BP54" s="75"/>
      <c r="BQ54" s="25"/>
      <c r="BR54" s="75"/>
      <c r="BS54" s="25"/>
      <c r="BT54" s="75"/>
      <c r="BU54" s="25"/>
      <c r="BV54" s="75"/>
      <c r="BW54" s="25"/>
      <c r="BX54" s="75"/>
      <c r="BY54" s="25"/>
      <c r="BZ54" s="75"/>
      <c r="CA54" s="25"/>
      <c r="CB54" s="75"/>
      <c r="CC54" s="25"/>
      <c r="CD54" s="75"/>
      <c r="CE54" s="25"/>
      <c r="CF54" s="75"/>
      <c r="CG54" s="25"/>
      <c r="CH54" s="76"/>
      <c r="CI54" s="234"/>
      <c r="CJ54" s="76"/>
      <c r="CK54" s="234"/>
      <c r="CL54" s="76"/>
      <c r="CM54" s="234"/>
      <c r="CN54" s="76"/>
      <c r="CO54" s="234"/>
      <c r="CP54" s="76"/>
      <c r="CQ54" s="234"/>
      <c r="CR54" s="76"/>
    </row>
    <row r="55" spans="1:96" x14ac:dyDescent="0.25">
      <c r="A55" s="48"/>
      <c r="B55" s="163"/>
      <c r="C55" s="59"/>
      <c r="D55" s="163"/>
      <c r="E55" s="59"/>
      <c r="F55" s="163"/>
      <c r="G55" s="59"/>
      <c r="H55" s="163"/>
      <c r="I55" s="59"/>
      <c r="J55" s="163"/>
      <c r="K55" s="59"/>
      <c r="L55" s="163"/>
      <c r="M55" s="59"/>
      <c r="N55" s="163"/>
      <c r="O55" s="59"/>
      <c r="P55" s="163"/>
      <c r="Q55" s="59"/>
      <c r="R55" s="18"/>
      <c r="S55" s="59"/>
      <c r="T55" s="141"/>
      <c r="U55" s="59"/>
      <c r="V55" s="141"/>
      <c r="W55" s="59"/>
      <c r="X55" s="141"/>
      <c r="Y55" s="59"/>
      <c r="Z55" s="59"/>
      <c r="AA55" s="59"/>
      <c r="AB55" s="163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59"/>
      <c r="AX55" s="18"/>
      <c r="AY55" s="59"/>
      <c r="AZ55" s="18"/>
      <c r="BA55" s="59"/>
      <c r="BB55" s="18"/>
      <c r="BC55" s="59"/>
      <c r="BD55" s="75"/>
      <c r="BE55" s="25"/>
      <c r="BF55" s="18"/>
      <c r="BG55" s="59"/>
      <c r="BH55" s="18"/>
      <c r="BI55" s="59"/>
      <c r="BJ55" s="18"/>
      <c r="BK55" s="59"/>
      <c r="BL55" s="75"/>
      <c r="BM55" s="25"/>
      <c r="BN55" s="75"/>
      <c r="BO55" s="25"/>
      <c r="BP55" s="75"/>
      <c r="BQ55" s="25"/>
      <c r="BR55" s="75"/>
      <c r="BS55" s="25"/>
      <c r="BT55" s="75"/>
      <c r="BU55" s="25"/>
      <c r="BV55" s="75"/>
      <c r="BW55" s="25"/>
      <c r="BX55" s="75"/>
      <c r="BY55" s="25"/>
      <c r="BZ55" s="75"/>
      <c r="CA55" s="25"/>
      <c r="CB55" s="75"/>
      <c r="CC55" s="25"/>
      <c r="CD55" s="75"/>
      <c r="CE55" s="25"/>
      <c r="CF55" s="75"/>
      <c r="CG55" s="25"/>
      <c r="CH55" s="76"/>
      <c r="CI55" s="234"/>
      <c r="CJ55" s="76"/>
      <c r="CK55" s="234"/>
      <c r="CL55" s="76"/>
      <c r="CM55" s="234"/>
      <c r="CN55" s="76"/>
      <c r="CO55" s="234"/>
      <c r="CP55" s="76"/>
      <c r="CQ55" s="234"/>
      <c r="CR55" s="76"/>
    </row>
    <row r="56" spans="1:96" x14ac:dyDescent="0.25">
      <c r="A56" s="43"/>
      <c r="B56" s="278">
        <v>43040</v>
      </c>
      <c r="C56" s="12"/>
      <c r="D56" s="278">
        <v>43041</v>
      </c>
      <c r="E56" s="12"/>
      <c r="F56" s="278">
        <v>43042</v>
      </c>
      <c r="G56" s="12"/>
      <c r="H56" s="278">
        <v>43043</v>
      </c>
      <c r="I56" s="12"/>
      <c r="J56" s="278">
        <v>43045</v>
      </c>
      <c r="K56" s="12"/>
      <c r="L56" s="278">
        <v>43046</v>
      </c>
      <c r="M56" s="12"/>
      <c r="N56" s="278">
        <v>43047</v>
      </c>
      <c r="O56" s="12"/>
      <c r="P56" s="278">
        <v>43048</v>
      </c>
      <c r="Q56" s="12"/>
      <c r="R56" s="278">
        <v>43049</v>
      </c>
      <c r="S56" s="12"/>
      <c r="T56" s="278">
        <v>43050</v>
      </c>
      <c r="U56" s="12"/>
      <c r="V56" s="278">
        <v>43051</v>
      </c>
      <c r="W56" s="12"/>
      <c r="X56" s="278">
        <v>43052</v>
      </c>
      <c r="Y56" s="12"/>
      <c r="Z56" s="282">
        <v>43053</v>
      </c>
      <c r="AA56" s="12"/>
      <c r="AB56" s="278">
        <v>43054</v>
      </c>
      <c r="AC56" s="12"/>
      <c r="AD56" s="278">
        <v>43055</v>
      </c>
      <c r="AE56" s="12"/>
      <c r="AF56" s="278">
        <v>43056</v>
      </c>
      <c r="AG56" s="12"/>
      <c r="AH56" s="278">
        <v>43057</v>
      </c>
      <c r="AI56" s="12"/>
      <c r="AJ56" s="278">
        <v>43058</v>
      </c>
      <c r="AK56" s="12"/>
      <c r="AL56" s="278">
        <v>43059</v>
      </c>
      <c r="AM56" s="12"/>
      <c r="AN56" s="278">
        <v>43060</v>
      </c>
      <c r="AO56" s="12"/>
      <c r="AP56" s="278">
        <v>43061</v>
      </c>
      <c r="AQ56" s="12"/>
      <c r="AR56" s="278">
        <v>43062</v>
      </c>
      <c r="AS56" s="12"/>
      <c r="AT56" s="278">
        <v>43063</v>
      </c>
      <c r="AU56" s="12"/>
      <c r="AV56" s="278">
        <v>43064</v>
      </c>
      <c r="AW56" s="12"/>
      <c r="AX56" s="278">
        <v>43065</v>
      </c>
      <c r="AY56" s="12"/>
      <c r="AZ56" s="278">
        <v>43066</v>
      </c>
      <c r="BA56" s="12"/>
      <c r="BB56" s="278">
        <v>43067</v>
      </c>
      <c r="BC56" s="12"/>
      <c r="BD56" s="286">
        <v>43068</v>
      </c>
      <c r="BE56" s="13"/>
      <c r="BF56" s="278">
        <v>43069</v>
      </c>
      <c r="BG56" s="12"/>
      <c r="BH56" s="10"/>
      <c r="BI56" s="12"/>
      <c r="BJ56" s="10"/>
      <c r="BK56" s="12"/>
      <c r="BL56" s="11"/>
      <c r="BM56" s="13"/>
      <c r="BN56" s="11"/>
      <c r="BO56" s="13"/>
      <c r="BP56" s="11"/>
      <c r="BQ56" s="13"/>
      <c r="BR56" s="11"/>
      <c r="BS56" s="13"/>
      <c r="BT56" s="11"/>
      <c r="BU56" s="13"/>
      <c r="BV56" s="11"/>
      <c r="BW56" s="13"/>
      <c r="BX56" s="11"/>
      <c r="BY56" s="13"/>
      <c r="BZ56" s="11"/>
      <c r="CA56" s="13"/>
      <c r="CB56" s="11"/>
      <c r="CC56" s="13"/>
      <c r="CD56" s="11"/>
      <c r="CE56" s="13"/>
      <c r="CF56" s="11"/>
      <c r="CG56" s="13"/>
      <c r="CH56" s="11"/>
      <c r="CI56" s="13"/>
      <c r="CJ56" s="11"/>
      <c r="CK56" s="13"/>
      <c r="CL56" s="11"/>
      <c r="CM56" s="13"/>
      <c r="CN56" s="11"/>
      <c r="CO56" s="13"/>
      <c r="CP56" s="11"/>
      <c r="CQ56" s="13"/>
      <c r="CR56" s="11"/>
    </row>
    <row r="57" spans="1:96" x14ac:dyDescent="0.25">
      <c r="A57" s="40" t="s">
        <v>4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</row>
    <row r="58" spans="1:96" x14ac:dyDescent="0.25">
      <c r="A58" s="49"/>
      <c r="B58" s="68"/>
      <c r="C58" s="135"/>
      <c r="D58" s="68"/>
      <c r="E58" s="135"/>
      <c r="F58" s="68"/>
      <c r="G58" s="135"/>
      <c r="H58" s="68"/>
      <c r="I58" s="135"/>
      <c r="J58" s="68"/>
      <c r="K58" s="135"/>
      <c r="L58" s="68"/>
      <c r="M58" s="135"/>
      <c r="N58" s="68"/>
      <c r="O58" s="135"/>
      <c r="P58" s="68"/>
      <c r="Q58" s="135"/>
      <c r="R58" s="19"/>
      <c r="S58" s="21"/>
      <c r="T58" s="19"/>
      <c r="U58" s="21"/>
      <c r="V58" s="19"/>
      <c r="W58" s="21"/>
      <c r="X58" s="68"/>
      <c r="Y58" s="21"/>
      <c r="Z58" s="21"/>
      <c r="AA58" s="21"/>
      <c r="AB58" s="68"/>
      <c r="AC58" s="21"/>
      <c r="AD58" s="19"/>
      <c r="AE58" s="21"/>
      <c r="AF58" s="19"/>
      <c r="AG58" s="21"/>
      <c r="AH58" s="68"/>
      <c r="AI58" s="135"/>
      <c r="AJ58" s="68"/>
      <c r="AK58" s="135"/>
      <c r="AL58" s="68"/>
      <c r="AM58" s="135"/>
      <c r="AN58" s="68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19"/>
      <c r="BA58" s="21"/>
      <c r="BB58" s="19"/>
      <c r="BC58" s="21"/>
      <c r="BD58" s="68"/>
      <c r="BE58" s="135"/>
      <c r="BF58" s="19"/>
      <c r="BG58" s="21"/>
      <c r="BH58" s="19"/>
      <c r="BI58" s="21"/>
      <c r="BJ58" s="19"/>
      <c r="BK58" s="21"/>
      <c r="BL58" s="68"/>
      <c r="BM58" s="135"/>
      <c r="BN58" s="68"/>
      <c r="BO58" s="135"/>
      <c r="BP58" s="68"/>
      <c r="BQ58" s="135"/>
      <c r="BR58" s="68"/>
      <c r="BS58" s="135"/>
      <c r="BT58" s="68"/>
      <c r="BU58" s="135"/>
      <c r="BV58" s="68"/>
      <c r="BW58" s="135"/>
      <c r="BX58" s="68"/>
      <c r="BY58" s="135"/>
      <c r="BZ58" s="68"/>
      <c r="CA58" s="135"/>
      <c r="CB58" s="68"/>
      <c r="CC58" s="135"/>
      <c r="CD58" s="68"/>
      <c r="CE58" s="135"/>
      <c r="CF58" s="68"/>
      <c r="CG58" s="135"/>
      <c r="CH58" s="68"/>
      <c r="CI58" s="135"/>
      <c r="CJ58" s="68"/>
      <c r="CK58" s="135"/>
      <c r="CL58" s="68"/>
      <c r="CM58" s="135"/>
      <c r="CN58" s="68"/>
      <c r="CO58" s="135"/>
      <c r="CP58" s="68"/>
      <c r="CQ58" s="135"/>
      <c r="CR58" s="68"/>
    </row>
    <row r="59" spans="1:96" x14ac:dyDescent="0.25">
      <c r="A59" s="41" t="s">
        <v>5</v>
      </c>
      <c r="B59" s="9">
        <v>6387.81</v>
      </c>
      <c r="C59" s="15" t="s">
        <v>13085</v>
      </c>
      <c r="D59" s="9">
        <v>2866</v>
      </c>
      <c r="E59" s="15" t="s">
        <v>13141</v>
      </c>
      <c r="F59" s="9">
        <v>1387.89</v>
      </c>
      <c r="G59" s="15" t="s">
        <v>13238</v>
      </c>
      <c r="H59" s="9">
        <v>5202</v>
      </c>
      <c r="I59" s="15" t="s">
        <v>13164</v>
      </c>
      <c r="J59" s="9">
        <v>1099</v>
      </c>
      <c r="K59" s="15" t="s">
        <v>13214</v>
      </c>
      <c r="L59" s="9">
        <v>3000</v>
      </c>
      <c r="M59" s="15" t="s">
        <v>13304</v>
      </c>
      <c r="N59" s="9">
        <v>100</v>
      </c>
      <c r="O59" s="15" t="s">
        <v>13360</v>
      </c>
      <c r="P59" s="9">
        <v>4168.99</v>
      </c>
      <c r="Q59" s="15" t="s">
        <v>13443</v>
      </c>
      <c r="R59" s="9">
        <v>2900</v>
      </c>
      <c r="S59" s="15" t="s">
        <v>13457</v>
      </c>
      <c r="T59" s="9">
        <v>20000</v>
      </c>
      <c r="U59" s="15" t="s">
        <v>13506</v>
      </c>
      <c r="V59" s="9"/>
      <c r="W59" s="15"/>
      <c r="X59" s="9">
        <v>2296</v>
      </c>
      <c r="Y59" s="15" t="s">
        <v>13550</v>
      </c>
      <c r="Z59" s="9">
        <v>336.57</v>
      </c>
      <c r="AA59" s="15" t="s">
        <v>13589</v>
      </c>
      <c r="AB59" s="9">
        <v>1218.2</v>
      </c>
      <c r="AC59" s="15" t="s">
        <v>13659</v>
      </c>
      <c r="AD59" s="9">
        <v>5000</v>
      </c>
      <c r="AE59" s="15" t="s">
        <v>13693</v>
      </c>
      <c r="AF59" s="9">
        <v>14813.76</v>
      </c>
      <c r="AG59" s="15" t="s">
        <v>13737</v>
      </c>
      <c r="AH59" s="72">
        <v>500</v>
      </c>
      <c r="AI59" s="15" t="s">
        <v>13799</v>
      </c>
      <c r="AJ59" s="9">
        <v>1000</v>
      </c>
      <c r="AK59" s="15" t="s">
        <v>13762</v>
      </c>
      <c r="AL59" s="9">
        <v>20000</v>
      </c>
      <c r="AM59" s="15" t="s">
        <v>13796</v>
      </c>
      <c r="AN59" s="9">
        <v>1452.33</v>
      </c>
      <c r="AO59" s="15" t="s">
        <v>13831</v>
      </c>
      <c r="AP59" s="9">
        <v>20000</v>
      </c>
      <c r="AQ59" s="15" t="s">
        <v>13869</v>
      </c>
      <c r="AR59" s="9">
        <v>3249</v>
      </c>
      <c r="AS59" s="9" t="s">
        <v>13926</v>
      </c>
      <c r="AT59" s="9">
        <v>20000</v>
      </c>
      <c r="AU59" s="15" t="s">
        <v>13984</v>
      </c>
      <c r="AV59" s="9">
        <v>2097.85</v>
      </c>
      <c r="AW59" s="15" t="s">
        <v>14041</v>
      </c>
      <c r="AX59" s="9">
        <v>10000</v>
      </c>
      <c r="AY59" s="15" t="s">
        <v>14086</v>
      </c>
      <c r="AZ59" s="9">
        <v>3250</v>
      </c>
      <c r="BA59" s="15" t="s">
        <v>14097</v>
      </c>
      <c r="BB59" s="9">
        <v>5000</v>
      </c>
      <c r="BC59" s="15" t="s">
        <v>14152</v>
      </c>
      <c r="BD59" s="10">
        <v>130000</v>
      </c>
      <c r="BE59" s="12" t="s">
        <v>14167</v>
      </c>
      <c r="BF59" s="9">
        <v>3807.76</v>
      </c>
      <c r="BG59" s="15" t="s">
        <v>14193</v>
      </c>
      <c r="BH59" s="9"/>
      <c r="BI59" s="15"/>
      <c r="BJ59" s="120"/>
      <c r="BK59" s="120"/>
      <c r="BL59" s="9"/>
      <c r="BM59" s="9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  <c r="CO59" s="15"/>
      <c r="CP59" s="9"/>
      <c r="CQ59" s="15"/>
      <c r="CR59" s="9"/>
    </row>
    <row r="60" spans="1:96" x14ac:dyDescent="0.25">
      <c r="A60" s="41"/>
      <c r="B60" s="9">
        <v>1603.25</v>
      </c>
      <c r="C60" s="15" t="s">
        <v>13087</v>
      </c>
      <c r="D60" s="9">
        <f>6760.72-5500</f>
        <v>1260.7200000000003</v>
      </c>
      <c r="E60" s="15" t="s">
        <v>13142</v>
      </c>
      <c r="F60" s="9">
        <v>1169</v>
      </c>
      <c r="G60" s="15" t="s">
        <v>13240</v>
      </c>
      <c r="H60" s="9">
        <v>250.53</v>
      </c>
      <c r="I60" s="13" t="s">
        <v>13168</v>
      </c>
      <c r="J60" s="72"/>
      <c r="K60" s="24"/>
      <c r="L60" s="9">
        <v>1740</v>
      </c>
      <c r="M60" s="15" t="s">
        <v>13305</v>
      </c>
      <c r="N60" s="9">
        <v>100</v>
      </c>
      <c r="O60" s="15" t="s">
        <v>13362</v>
      </c>
      <c r="P60" s="9">
        <v>928</v>
      </c>
      <c r="Q60" s="26" t="s">
        <v>13444</v>
      </c>
      <c r="R60" s="9">
        <v>279.33999999999997</v>
      </c>
      <c r="S60" s="15" t="s">
        <v>13458</v>
      </c>
      <c r="T60" s="9">
        <v>4663.9399999999996</v>
      </c>
      <c r="U60" s="15" t="s">
        <v>13509</v>
      </c>
      <c r="V60" s="9"/>
      <c r="W60" s="15"/>
      <c r="X60" s="11">
        <v>1099</v>
      </c>
      <c r="Y60" s="12" t="s">
        <v>13552</v>
      </c>
      <c r="Z60" s="10">
        <v>500</v>
      </c>
      <c r="AA60" s="12" t="s">
        <v>13593</v>
      </c>
      <c r="AB60" s="9">
        <v>669.93</v>
      </c>
      <c r="AC60" s="15" t="s">
        <v>13652</v>
      </c>
      <c r="AD60" s="9">
        <v>2800</v>
      </c>
      <c r="AE60" s="15" t="s">
        <v>13697</v>
      </c>
      <c r="AF60" s="72">
        <v>3000</v>
      </c>
      <c r="AG60" s="15" t="s">
        <v>13741</v>
      </c>
      <c r="AH60" s="72">
        <v>3250</v>
      </c>
      <c r="AI60" s="15" t="s">
        <v>13808</v>
      </c>
      <c r="AJ60" s="272"/>
      <c r="AK60" s="108"/>
      <c r="AL60" s="72">
        <v>5000</v>
      </c>
      <c r="AM60" s="15" t="s">
        <v>13797</v>
      </c>
      <c r="AN60" s="9">
        <v>5000</v>
      </c>
      <c r="AO60" s="15" t="s">
        <v>13835</v>
      </c>
      <c r="AP60" s="9">
        <v>10000</v>
      </c>
      <c r="AQ60" s="15" t="s">
        <v>13870</v>
      </c>
      <c r="AR60" s="9">
        <v>2593.1</v>
      </c>
      <c r="AS60" s="15" t="s">
        <v>13925</v>
      </c>
      <c r="AT60" s="9">
        <v>20000</v>
      </c>
      <c r="AU60" s="15" t="s">
        <v>13991</v>
      </c>
      <c r="AV60" s="9">
        <v>238.12</v>
      </c>
      <c r="AW60" s="15" t="s">
        <v>14048</v>
      </c>
      <c r="AX60" s="9"/>
      <c r="AY60" s="15"/>
      <c r="AZ60" s="9">
        <v>2666</v>
      </c>
      <c r="BA60" s="15" t="s">
        <v>14099</v>
      </c>
      <c r="BB60" s="11">
        <v>3250</v>
      </c>
      <c r="BC60" s="12" t="s">
        <v>14157</v>
      </c>
      <c r="BD60" s="7">
        <v>2483</v>
      </c>
      <c r="BE60" s="26" t="s">
        <v>14179</v>
      </c>
      <c r="BF60" s="72">
        <v>19000</v>
      </c>
      <c r="BG60" s="24" t="s">
        <v>14197</v>
      </c>
      <c r="BH60" s="72"/>
      <c r="BI60" s="24"/>
      <c r="BJ60" s="120"/>
      <c r="BK60" s="120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  <c r="CO60" s="15"/>
      <c r="CP60" s="9"/>
      <c r="CQ60" s="15"/>
      <c r="CR60" s="9"/>
    </row>
    <row r="61" spans="1:96" x14ac:dyDescent="0.25">
      <c r="A61" s="43"/>
      <c r="B61" s="9">
        <v>5000</v>
      </c>
      <c r="C61" s="15" t="s">
        <v>13091</v>
      </c>
      <c r="D61" s="9">
        <v>1832.52</v>
      </c>
      <c r="E61" s="15" t="s">
        <v>13143</v>
      </c>
      <c r="F61" s="9">
        <v>1099</v>
      </c>
      <c r="G61" s="15" t="s">
        <v>13221</v>
      </c>
      <c r="H61" s="9">
        <v>561.20000000000005</v>
      </c>
      <c r="I61" s="15" t="s">
        <v>13169</v>
      </c>
      <c r="J61" s="168">
        <v>1363.08</v>
      </c>
      <c r="K61" s="24" t="s">
        <v>13273</v>
      </c>
      <c r="L61" s="11">
        <v>20000</v>
      </c>
      <c r="M61" s="13" t="s">
        <v>13315</v>
      </c>
      <c r="N61" s="9">
        <v>1994.99</v>
      </c>
      <c r="O61" s="15" t="s">
        <v>13369</v>
      </c>
      <c r="P61" s="11">
        <v>1169</v>
      </c>
      <c r="Q61" s="13" t="s">
        <v>13445</v>
      </c>
      <c r="R61" s="14">
        <v>1169</v>
      </c>
      <c r="S61" s="12" t="s">
        <v>13473</v>
      </c>
      <c r="T61" s="9">
        <v>371.48</v>
      </c>
      <c r="U61" s="15" t="s">
        <v>13516</v>
      </c>
      <c r="V61" s="10"/>
      <c r="W61" s="12"/>
      <c r="X61" s="95">
        <f>+X59+X60</f>
        <v>3395</v>
      </c>
      <c r="Y61" s="15"/>
      <c r="Z61" s="9">
        <v>5000</v>
      </c>
      <c r="AA61" s="15" t="s">
        <v>13599</v>
      </c>
      <c r="AB61" s="9">
        <v>668.86</v>
      </c>
      <c r="AC61" s="15" t="s">
        <v>13662</v>
      </c>
      <c r="AD61" s="11">
        <v>1175.3</v>
      </c>
      <c r="AE61" s="12" t="s">
        <v>13699</v>
      </c>
      <c r="AF61" s="127">
        <v>705</v>
      </c>
      <c r="AG61" s="120" t="s">
        <v>13756</v>
      </c>
      <c r="AH61" s="72">
        <f>3854.18-1218.2</f>
        <v>2635.9799999999996</v>
      </c>
      <c r="AI61" s="15" t="s">
        <v>13812</v>
      </c>
      <c r="AJ61" s="9"/>
      <c r="AK61" s="15"/>
      <c r="AL61" s="99">
        <f>+AL59+AL60</f>
        <v>25000</v>
      </c>
      <c r="AM61" s="13"/>
      <c r="AN61" s="9">
        <v>1099</v>
      </c>
      <c r="AO61" s="15" t="s">
        <v>13838</v>
      </c>
      <c r="AP61" s="9">
        <v>10000</v>
      </c>
      <c r="AQ61" s="15" t="s">
        <v>13872</v>
      </c>
      <c r="AR61" s="9">
        <v>1991.57</v>
      </c>
      <c r="AS61" s="15" t="s">
        <v>13928</v>
      </c>
      <c r="AT61" s="10">
        <v>5000</v>
      </c>
      <c r="AU61" s="12" t="s">
        <v>13993</v>
      </c>
      <c r="AV61" s="7">
        <v>9504.0499999999993</v>
      </c>
      <c r="AW61" s="26" t="s">
        <v>14050</v>
      </c>
      <c r="AX61" s="14"/>
      <c r="AY61" s="12"/>
      <c r="AZ61" s="9">
        <v>1099.01</v>
      </c>
      <c r="BA61" s="15" t="s">
        <v>14100</v>
      </c>
      <c r="BB61" s="9">
        <v>1099</v>
      </c>
      <c r="BC61" s="26" t="s">
        <v>14159</v>
      </c>
      <c r="BD61" s="9">
        <v>252.53</v>
      </c>
      <c r="BE61" s="10" t="s">
        <v>14186</v>
      </c>
      <c r="BF61" s="10">
        <v>1970</v>
      </c>
      <c r="BG61" s="12" t="s">
        <v>14206</v>
      </c>
      <c r="BH61" s="10"/>
      <c r="BI61" s="12"/>
      <c r="BJ61" s="15"/>
      <c r="BK61" s="15"/>
      <c r="BL61" s="11"/>
      <c r="BM61" s="13"/>
      <c r="BN61" s="23"/>
      <c r="BO61" s="13"/>
      <c r="BP61" s="11"/>
      <c r="BQ61" s="13"/>
      <c r="BR61" s="11"/>
      <c r="BS61" s="13"/>
      <c r="BT61" s="11"/>
      <c r="BU61" s="13"/>
      <c r="BV61" s="11"/>
      <c r="BW61" s="13"/>
      <c r="BX61" s="11"/>
      <c r="BY61" s="13"/>
      <c r="BZ61" s="11"/>
      <c r="CA61" s="13"/>
      <c r="CB61" s="11"/>
      <c r="CC61" s="13"/>
      <c r="CD61" s="11"/>
      <c r="CE61" s="13"/>
      <c r="CF61" s="11"/>
      <c r="CG61" s="13"/>
      <c r="CH61" s="11"/>
      <c r="CI61" s="13"/>
      <c r="CJ61" s="11"/>
      <c r="CK61" s="13"/>
      <c r="CL61" s="11"/>
      <c r="CM61" s="13"/>
      <c r="CN61" s="11"/>
      <c r="CO61" s="13"/>
      <c r="CP61" s="11"/>
      <c r="CQ61" s="13"/>
      <c r="CR61" s="11"/>
    </row>
    <row r="62" spans="1:96" x14ac:dyDescent="0.25">
      <c r="A62" s="41"/>
      <c r="B62" s="193">
        <v>14000</v>
      </c>
      <c r="C62" s="15" t="s">
        <v>13092</v>
      </c>
      <c r="D62" s="11">
        <v>1099.01</v>
      </c>
      <c r="E62" s="13" t="s">
        <v>13144</v>
      </c>
      <c r="F62" s="9">
        <v>1970</v>
      </c>
      <c r="G62" s="15" t="s">
        <v>13241</v>
      </c>
      <c r="H62" s="9">
        <v>839.13</v>
      </c>
      <c r="I62" s="15" t="s">
        <v>13170</v>
      </c>
      <c r="J62" s="168">
        <v>5000</v>
      </c>
      <c r="K62" s="24" t="s">
        <v>13275</v>
      </c>
      <c r="L62" s="9">
        <v>20000</v>
      </c>
      <c r="M62" s="15" t="s">
        <v>13316</v>
      </c>
      <c r="N62" s="51">
        <f>+SUM(N59:N61)</f>
        <v>2194.9899999999998</v>
      </c>
      <c r="O62" s="15"/>
      <c r="P62" s="9">
        <v>3168.99</v>
      </c>
      <c r="Q62" s="15" t="s">
        <v>13423</v>
      </c>
      <c r="R62" s="95">
        <f>+SUM(R59:R61)</f>
        <v>4348.34</v>
      </c>
      <c r="S62" s="26"/>
      <c r="T62" s="9">
        <v>1994.99</v>
      </c>
      <c r="U62" s="26" t="s">
        <v>13483</v>
      </c>
      <c r="V62" s="9"/>
      <c r="W62" s="15"/>
      <c r="X62" s="9"/>
      <c r="Y62" s="15"/>
      <c r="Z62" s="9">
        <v>2342.5700000000002</v>
      </c>
      <c r="AA62" s="15" t="s">
        <v>13604</v>
      </c>
      <c r="AB62" s="9">
        <v>1169</v>
      </c>
      <c r="AC62" s="15" t="s">
        <v>13664</v>
      </c>
      <c r="AD62" s="9">
        <v>1099.01</v>
      </c>
      <c r="AE62" s="26" t="s">
        <v>13701</v>
      </c>
      <c r="AF62" s="72">
        <v>1970</v>
      </c>
      <c r="AG62" s="26" t="s">
        <v>13761</v>
      </c>
      <c r="AH62" s="72">
        <v>1970</v>
      </c>
      <c r="AI62" s="13" t="s">
        <v>13813</v>
      </c>
      <c r="AJ62" s="9"/>
      <c r="AK62" s="15"/>
      <c r="AL62" s="72"/>
      <c r="AM62" s="15"/>
      <c r="AN62" s="9">
        <v>569.49</v>
      </c>
      <c r="AO62" s="15" t="s">
        <v>13839</v>
      </c>
      <c r="AP62" s="11">
        <v>6323.68</v>
      </c>
      <c r="AQ62" s="13" t="s">
        <v>13877</v>
      </c>
      <c r="AR62" s="9">
        <v>8793</v>
      </c>
      <c r="AS62" s="15" t="s">
        <v>13935</v>
      </c>
      <c r="AT62" s="9">
        <v>500</v>
      </c>
      <c r="AU62" s="15" t="s">
        <v>13994</v>
      </c>
      <c r="AV62" s="9">
        <v>516.86</v>
      </c>
      <c r="AW62" s="15" t="s">
        <v>14051</v>
      </c>
      <c r="AX62" s="9"/>
      <c r="AY62" s="15"/>
      <c r="AZ62" s="111">
        <f>+AZ59+AZ60+AZ61</f>
        <v>7015.01</v>
      </c>
      <c r="BA62" s="13"/>
      <c r="BB62" s="9">
        <v>4145.99</v>
      </c>
      <c r="BC62" s="15" t="s">
        <v>14161</v>
      </c>
      <c r="BD62" s="9">
        <v>1440.55</v>
      </c>
      <c r="BE62" s="15" t="s">
        <v>14182</v>
      </c>
      <c r="BF62" s="9">
        <v>1099.01</v>
      </c>
      <c r="BG62" s="15" t="s">
        <v>14207</v>
      </c>
      <c r="BH62" s="9"/>
      <c r="BI62" s="15"/>
      <c r="BJ62" s="7"/>
      <c r="BK62" s="26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  <c r="CO62" s="15"/>
      <c r="CP62" s="9"/>
      <c r="CQ62" s="15"/>
      <c r="CR62" s="9"/>
    </row>
    <row r="63" spans="1:96" x14ac:dyDescent="0.25">
      <c r="A63" s="41"/>
      <c r="B63" s="9">
        <v>1168.99</v>
      </c>
      <c r="C63" s="15" t="s">
        <v>13099</v>
      </c>
      <c r="D63" s="121">
        <v>1169.01</v>
      </c>
      <c r="E63" s="15" t="s">
        <v>13146</v>
      </c>
      <c r="F63" s="9">
        <v>1099</v>
      </c>
      <c r="G63" s="15" t="s">
        <v>13246</v>
      </c>
      <c r="H63" s="9">
        <v>1168.99</v>
      </c>
      <c r="I63" s="15" t="s">
        <v>13175</v>
      </c>
      <c r="J63" s="112">
        <v>6476.84</v>
      </c>
      <c r="K63" s="15" t="s">
        <v>13276</v>
      </c>
      <c r="L63" s="9">
        <v>7000</v>
      </c>
      <c r="M63" s="15" t="s">
        <v>13319</v>
      </c>
      <c r="N63" s="95"/>
      <c r="O63" s="15"/>
      <c r="P63" s="9">
        <v>5290.99</v>
      </c>
      <c r="Q63" s="15" t="s">
        <v>13425</v>
      </c>
      <c r="R63" s="9"/>
      <c r="S63" s="26"/>
      <c r="T63" s="9">
        <v>1970</v>
      </c>
      <c r="U63" s="15" t="s">
        <v>13522</v>
      </c>
      <c r="V63" s="9"/>
      <c r="W63" s="15"/>
      <c r="X63" s="9">
        <v>4633</v>
      </c>
      <c r="Y63" s="15" t="s">
        <v>13567</v>
      </c>
      <c r="Z63" s="9">
        <v>1764.88</v>
      </c>
      <c r="AA63" s="15" t="s">
        <v>13610</v>
      </c>
      <c r="AB63" s="9">
        <v>1970</v>
      </c>
      <c r="AC63" s="15" t="s">
        <v>13667</v>
      </c>
      <c r="AD63" s="9">
        <v>1168.99</v>
      </c>
      <c r="AE63" s="26" t="s">
        <v>13706</v>
      </c>
      <c r="AF63" s="72">
        <v>1099</v>
      </c>
      <c r="AG63" s="15" t="s">
        <v>13765</v>
      </c>
      <c r="AH63" s="72">
        <v>232</v>
      </c>
      <c r="AI63" s="26" t="s">
        <v>13816</v>
      </c>
      <c r="AJ63" s="9"/>
      <c r="AK63" s="15"/>
      <c r="AL63" s="72"/>
      <c r="AM63" s="15"/>
      <c r="AN63" s="9">
        <v>3000</v>
      </c>
      <c r="AO63" s="26" t="s">
        <v>13840</v>
      </c>
      <c r="AP63" s="9">
        <v>548.47</v>
      </c>
      <c r="AQ63" s="26" t="s">
        <v>13881</v>
      </c>
      <c r="AR63" s="9">
        <v>1099.01</v>
      </c>
      <c r="AS63" s="15" t="s">
        <v>13936</v>
      </c>
      <c r="AT63" s="7">
        <v>6891.35</v>
      </c>
      <c r="AU63" s="26" t="s">
        <v>13995</v>
      </c>
      <c r="AV63" s="9">
        <v>4395</v>
      </c>
      <c r="AW63" s="15" t="s">
        <v>14052</v>
      </c>
      <c r="AX63" s="11"/>
      <c r="AY63" s="13"/>
      <c r="AZ63" s="9"/>
      <c r="BA63" s="26"/>
      <c r="BB63" s="9">
        <v>4302</v>
      </c>
      <c r="BC63" s="15" t="s">
        <v>14163</v>
      </c>
      <c r="BD63" s="95">
        <f>+SUM(BD59:BD62)</f>
        <v>134176.07999999999</v>
      </c>
      <c r="BE63" s="15"/>
      <c r="BF63" s="7">
        <f>2148.33-1452.33</f>
        <v>696</v>
      </c>
      <c r="BG63" s="26" t="s">
        <v>14208</v>
      </c>
      <c r="BH63" s="7"/>
      <c r="BI63" s="26"/>
      <c r="BJ63" s="9"/>
      <c r="BK63" s="15"/>
      <c r="BL63" s="15"/>
      <c r="BM63" s="15"/>
      <c r="BN63" s="9"/>
      <c r="BO63" s="15"/>
      <c r="BP63" s="9"/>
      <c r="BQ63" s="15"/>
      <c r="BR63" s="9"/>
      <c r="BS63" s="15"/>
      <c r="BT63" s="9"/>
      <c r="BU63" s="15"/>
      <c r="BV63" s="9"/>
      <c r="BW63" s="15"/>
      <c r="BX63" s="9"/>
      <c r="BY63" s="15"/>
      <c r="BZ63" s="9"/>
      <c r="CA63" s="15"/>
      <c r="CB63" s="9"/>
      <c r="CC63" s="15"/>
      <c r="CD63" s="9"/>
      <c r="CE63" s="15"/>
      <c r="CF63" s="9"/>
      <c r="CG63" s="15"/>
      <c r="CH63" s="9"/>
      <c r="CI63" s="15"/>
      <c r="CJ63" s="9"/>
      <c r="CK63" s="15"/>
      <c r="CL63" s="9"/>
      <c r="CM63" s="15"/>
      <c r="CN63" s="9"/>
      <c r="CO63" s="15"/>
      <c r="CP63" s="9"/>
      <c r="CQ63" s="15"/>
      <c r="CR63" s="9"/>
    </row>
    <row r="64" spans="1:96" x14ac:dyDescent="0.25">
      <c r="A64" s="41"/>
      <c r="B64" s="9">
        <v>1099</v>
      </c>
      <c r="C64" s="15" t="s">
        <v>13105</v>
      </c>
      <c r="D64" s="9">
        <v>1099.01</v>
      </c>
      <c r="E64" s="15" t="s">
        <v>13148</v>
      </c>
      <c r="F64" s="9">
        <v>2459</v>
      </c>
      <c r="G64" s="15" t="s">
        <v>13248</v>
      </c>
      <c r="H64" s="9">
        <v>1970</v>
      </c>
      <c r="I64" s="15" t="s">
        <v>13181</v>
      </c>
      <c r="J64" s="112">
        <v>3250</v>
      </c>
      <c r="K64" s="15" t="s">
        <v>13281</v>
      </c>
      <c r="L64" s="9">
        <v>1970</v>
      </c>
      <c r="M64" s="15" t="s">
        <v>13322</v>
      </c>
      <c r="N64" s="14">
        <v>517.33000000000004</v>
      </c>
      <c r="O64" s="13" t="s">
        <v>13385</v>
      </c>
      <c r="P64" s="14">
        <v>1099.01</v>
      </c>
      <c r="Q64" s="13" t="s">
        <v>13447</v>
      </c>
      <c r="R64" s="9">
        <v>1099</v>
      </c>
      <c r="S64" s="15" t="s">
        <v>13498</v>
      </c>
      <c r="T64" s="9">
        <v>4395.01</v>
      </c>
      <c r="U64" s="15" t="s">
        <v>13526</v>
      </c>
      <c r="V64" s="9"/>
      <c r="W64" s="15"/>
      <c r="X64" s="9">
        <v>1099</v>
      </c>
      <c r="Y64" s="26" t="s">
        <v>13568</v>
      </c>
      <c r="Z64" s="7">
        <v>1099</v>
      </c>
      <c r="AA64" s="26" t="s">
        <v>13611</v>
      </c>
      <c r="AB64" s="9">
        <v>2360.0100000000002</v>
      </c>
      <c r="AC64" s="15" t="s">
        <v>13668</v>
      </c>
      <c r="AD64" s="9">
        <v>5594.99</v>
      </c>
      <c r="AE64" s="26" t="s">
        <v>13709</v>
      </c>
      <c r="AF64" s="72">
        <v>1099</v>
      </c>
      <c r="AG64" s="15" t="s">
        <v>13766</v>
      </c>
      <c r="AH64" s="72">
        <v>232</v>
      </c>
      <c r="AI64" s="15" t="s">
        <v>13818</v>
      </c>
      <c r="AJ64" s="9"/>
      <c r="AK64" s="15"/>
      <c r="AL64" s="72"/>
      <c r="AM64" s="15"/>
      <c r="AN64" s="9">
        <v>20000</v>
      </c>
      <c r="AO64" s="9" t="s">
        <v>13841</v>
      </c>
      <c r="AP64" s="9">
        <v>3250</v>
      </c>
      <c r="AQ64" s="15" t="s">
        <v>13882</v>
      </c>
      <c r="AR64" s="9">
        <v>4395</v>
      </c>
      <c r="AS64" s="15" t="s">
        <v>13937</v>
      </c>
      <c r="AT64" s="9">
        <v>20000</v>
      </c>
      <c r="AU64" s="15" t="s">
        <v>14001</v>
      </c>
      <c r="AV64" s="193">
        <v>3459</v>
      </c>
      <c r="AW64" s="15" t="s">
        <v>14054</v>
      </c>
      <c r="AX64" s="9"/>
      <c r="AY64" s="26"/>
      <c r="AZ64" s="9">
        <v>19500</v>
      </c>
      <c r="BA64" s="26" t="s">
        <v>14115</v>
      </c>
      <c r="BB64" s="95">
        <f>+SUM(BB59:BB63)</f>
        <v>17796.989999999998</v>
      </c>
      <c r="BC64" s="15"/>
      <c r="BD64" s="11"/>
      <c r="BE64" s="13"/>
      <c r="BF64" s="9">
        <f>4796.77-2483</f>
        <v>2313.7700000000004</v>
      </c>
      <c r="BG64" s="15" t="s">
        <v>14210</v>
      </c>
      <c r="BH64" s="15"/>
      <c r="BI64" s="15"/>
      <c r="BJ64" s="15"/>
      <c r="BK64" s="15"/>
      <c r="BL64" s="9"/>
      <c r="BM64" s="15"/>
      <c r="BN64" s="9"/>
      <c r="BO64" s="15"/>
      <c r="BP64" s="15"/>
      <c r="BQ64" s="15"/>
      <c r="BR64" s="9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25">
      <c r="A65" s="41"/>
      <c r="B65" s="9">
        <v>1401.01</v>
      </c>
      <c r="C65" s="15" t="s">
        <v>13106</v>
      </c>
      <c r="D65" s="9">
        <v>2866</v>
      </c>
      <c r="E65" s="15" t="s">
        <v>13150</v>
      </c>
      <c r="F65" s="9">
        <v>1970</v>
      </c>
      <c r="G65" s="15" t="s">
        <v>13250</v>
      </c>
      <c r="H65" s="11">
        <v>3250</v>
      </c>
      <c r="I65" s="13" t="s">
        <v>13184</v>
      </c>
      <c r="J65" s="112">
        <v>1994.99</v>
      </c>
      <c r="K65" s="15" t="s">
        <v>13282</v>
      </c>
      <c r="L65" s="14">
        <v>4395</v>
      </c>
      <c r="M65" s="13" t="s">
        <v>13325</v>
      </c>
      <c r="N65" s="9">
        <v>20000</v>
      </c>
      <c r="O65" s="15" t="s">
        <v>13386</v>
      </c>
      <c r="P65" s="9">
        <v>8079.98</v>
      </c>
      <c r="Q65" s="15" t="s">
        <v>13448</v>
      </c>
      <c r="R65" s="9">
        <v>505.01</v>
      </c>
      <c r="S65" s="15" t="s">
        <v>13502</v>
      </c>
      <c r="T65" s="9">
        <v>1099.01</v>
      </c>
      <c r="U65" s="15" t="s">
        <v>13529</v>
      </c>
      <c r="V65" s="7"/>
      <c r="W65" s="26"/>
      <c r="X65" s="9">
        <v>2311</v>
      </c>
      <c r="Y65" s="26" t="s">
        <v>13574</v>
      </c>
      <c r="Z65" s="7">
        <v>1970</v>
      </c>
      <c r="AA65" s="26" t="s">
        <v>13612</v>
      </c>
      <c r="AB65" s="9">
        <v>1099.01</v>
      </c>
      <c r="AC65" s="15" t="s">
        <v>13670</v>
      </c>
      <c r="AD65" s="9">
        <v>2040</v>
      </c>
      <c r="AE65" s="26" t="s">
        <v>13710</v>
      </c>
      <c r="AF65" s="72">
        <v>1099</v>
      </c>
      <c r="AG65" s="15" t="s">
        <v>13738</v>
      </c>
      <c r="AH65" s="72">
        <v>1099.01</v>
      </c>
      <c r="AI65" s="85" t="s">
        <v>13827</v>
      </c>
      <c r="AJ65" s="9"/>
      <c r="AK65" s="15"/>
      <c r="AL65" s="72"/>
      <c r="AM65" s="15"/>
      <c r="AN65" s="9">
        <v>1015</v>
      </c>
      <c r="AO65" s="15" t="s">
        <v>13843</v>
      </c>
      <c r="AP65" s="9">
        <v>1099.01</v>
      </c>
      <c r="AQ65" s="15" t="s">
        <v>13883</v>
      </c>
      <c r="AR65" s="9">
        <v>1919</v>
      </c>
      <c r="AS65" s="15" t="s">
        <v>13939</v>
      </c>
      <c r="AT65" s="9">
        <v>4395</v>
      </c>
      <c r="AU65" s="15" t="s">
        <v>14006</v>
      </c>
      <c r="AV65" s="9">
        <v>1099</v>
      </c>
      <c r="AW65" s="15" t="s">
        <v>14055</v>
      </c>
      <c r="AX65" s="9"/>
      <c r="AY65" s="26"/>
      <c r="AZ65" s="9">
        <v>1075.3399999999999</v>
      </c>
      <c r="BA65" s="26" t="s">
        <v>14118</v>
      </c>
      <c r="BB65" s="9"/>
      <c r="BC65" s="26"/>
      <c r="BD65" s="11">
        <v>4400</v>
      </c>
      <c r="BE65" s="13" t="s">
        <v>14281</v>
      </c>
      <c r="BF65" s="9">
        <v>635</v>
      </c>
      <c r="BG65" s="15" t="s">
        <v>14211</v>
      </c>
      <c r="BH65" s="9"/>
      <c r="BI65" s="15"/>
      <c r="BJ65" s="9"/>
      <c r="BK65" s="15"/>
      <c r="BL65" s="9"/>
      <c r="BM65" s="15"/>
      <c r="BN65" s="9"/>
      <c r="BO65" s="15"/>
      <c r="BP65" s="15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  <c r="CO65" s="15"/>
      <c r="CP65" s="9"/>
      <c r="CQ65" s="15"/>
      <c r="CR65" s="9"/>
    </row>
    <row r="66" spans="1:96" x14ac:dyDescent="0.25">
      <c r="A66" s="41"/>
      <c r="B66" s="9">
        <v>232</v>
      </c>
      <c r="C66" s="15" t="s">
        <v>13104</v>
      </c>
      <c r="D66" s="9">
        <v>1099</v>
      </c>
      <c r="E66" s="15" t="s">
        <v>13151</v>
      </c>
      <c r="F66" s="11">
        <v>1970</v>
      </c>
      <c r="G66" s="13" t="s">
        <v>13253</v>
      </c>
      <c r="H66" s="9">
        <v>2040.01</v>
      </c>
      <c r="I66" s="15" t="s">
        <v>13195</v>
      </c>
      <c r="J66" s="168">
        <v>3250</v>
      </c>
      <c r="K66" s="24" t="s">
        <v>13283</v>
      </c>
      <c r="L66" s="9">
        <v>1099.01</v>
      </c>
      <c r="M66" s="15" t="s">
        <v>13327</v>
      </c>
      <c r="N66" s="9">
        <v>3250</v>
      </c>
      <c r="O66" s="15" t="s">
        <v>13387</v>
      </c>
      <c r="P66" s="72">
        <v>510.01</v>
      </c>
      <c r="Q66" s="15" t="s">
        <v>13378</v>
      </c>
      <c r="R66" s="230">
        <f>+R64+R65</f>
        <v>1604.01</v>
      </c>
      <c r="S66" s="15"/>
      <c r="T66" s="9">
        <v>2389.9899999999998</v>
      </c>
      <c r="U66" s="15" t="s">
        <v>13530</v>
      </c>
      <c r="V66" s="9"/>
      <c r="W66" s="15"/>
      <c r="X66" s="95">
        <f>+SUM(X63:X65)</f>
        <v>8043</v>
      </c>
      <c r="Y66" s="15"/>
      <c r="Z66" s="9">
        <v>1099.01</v>
      </c>
      <c r="AA66" s="15" t="s">
        <v>13613</v>
      </c>
      <c r="AB66" s="9">
        <v>1969.99</v>
      </c>
      <c r="AC66" s="15" t="s">
        <v>13674</v>
      </c>
      <c r="AD66" s="11">
        <v>1566</v>
      </c>
      <c r="AE66" s="13" t="s">
        <v>13712</v>
      </c>
      <c r="AF66" s="72">
        <v>3250</v>
      </c>
      <c r="AG66" s="15" t="s">
        <v>13768</v>
      </c>
      <c r="AH66" s="99">
        <f>+SUM(AH59:AH65)</f>
        <v>9918.99</v>
      </c>
      <c r="AI66" s="15"/>
      <c r="AJ66" s="9"/>
      <c r="AK66" s="15"/>
      <c r="AL66" s="72"/>
      <c r="AM66" s="15"/>
      <c r="AN66" s="11">
        <v>3250</v>
      </c>
      <c r="AO66" s="13" t="s">
        <v>13850</v>
      </c>
      <c r="AP66" s="9">
        <v>1099</v>
      </c>
      <c r="AQ66" s="15" t="s">
        <v>13885</v>
      </c>
      <c r="AR66" s="9">
        <v>1784.1</v>
      </c>
      <c r="AS66" s="15" t="s">
        <v>13940</v>
      </c>
      <c r="AT66" s="9">
        <v>1099.01</v>
      </c>
      <c r="AU66" s="15" t="s">
        <v>14007</v>
      </c>
      <c r="AV66" s="9">
        <v>1099.01</v>
      </c>
      <c r="AW66" s="15" t="s">
        <v>14059</v>
      </c>
      <c r="AX66" s="9"/>
      <c r="AY66" s="15"/>
      <c r="AZ66" s="9">
        <v>556.29</v>
      </c>
      <c r="BA66" s="15" t="s">
        <v>14119</v>
      </c>
      <c r="BB66" s="9">
        <v>5000</v>
      </c>
      <c r="BC66" s="15" t="s">
        <v>14225</v>
      </c>
      <c r="BD66" s="9">
        <v>4355</v>
      </c>
      <c r="BE66" s="15" t="s">
        <v>14286</v>
      </c>
      <c r="BF66" s="9">
        <v>4395</v>
      </c>
      <c r="BG66" s="15" t="s">
        <v>14212</v>
      </c>
      <c r="BH66" s="14"/>
      <c r="BI66" s="13"/>
      <c r="BJ66" s="15"/>
      <c r="BK66" s="13"/>
      <c r="BL66" s="11"/>
      <c r="BM66" s="13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  <c r="CO66" s="15"/>
      <c r="CP66" s="9"/>
      <c r="CQ66" s="15"/>
      <c r="CR66" s="9"/>
    </row>
    <row r="67" spans="1:96" x14ac:dyDescent="0.25">
      <c r="A67" s="43"/>
      <c r="B67" s="95">
        <f>+SUM(B59:B66)</f>
        <v>30892.06</v>
      </c>
      <c r="C67" s="15"/>
      <c r="D67" s="11">
        <v>1633.01</v>
      </c>
      <c r="E67" s="13" t="s">
        <v>13138</v>
      </c>
      <c r="F67" s="9">
        <v>1099.01</v>
      </c>
      <c r="G67" s="15" t="s">
        <v>13256</v>
      </c>
      <c r="H67" s="9">
        <v>3250.01</v>
      </c>
      <c r="I67" s="15" t="s">
        <v>13200</v>
      </c>
      <c r="J67" s="112">
        <v>1000</v>
      </c>
      <c r="K67" s="15" t="s">
        <v>13286</v>
      </c>
      <c r="L67" s="9">
        <v>2389.9899999999998</v>
      </c>
      <c r="M67" s="15" t="s">
        <v>13330</v>
      </c>
      <c r="N67" s="9">
        <v>4216.01</v>
      </c>
      <c r="O67" s="15" t="s">
        <v>13388</v>
      </c>
      <c r="P67" s="72">
        <v>4395</v>
      </c>
      <c r="Q67" s="15" t="s">
        <v>13380</v>
      </c>
      <c r="R67" s="11"/>
      <c r="S67" s="13"/>
      <c r="T67" s="11">
        <v>2153.3200000000002</v>
      </c>
      <c r="U67" s="13" t="s">
        <v>13532</v>
      </c>
      <c r="V67" s="9"/>
      <c r="W67" s="15"/>
      <c r="X67" s="9"/>
      <c r="Y67" s="15"/>
      <c r="Z67" s="9">
        <v>3408.37</v>
      </c>
      <c r="AA67" s="15" t="s">
        <v>13616</v>
      </c>
      <c r="AB67" s="9">
        <v>2040</v>
      </c>
      <c r="AC67" s="15" t="s">
        <v>13678</v>
      </c>
      <c r="AD67" s="9">
        <v>1099</v>
      </c>
      <c r="AE67" s="26" t="s">
        <v>13714</v>
      </c>
      <c r="AF67" s="72">
        <v>2320</v>
      </c>
      <c r="AG67" s="13" t="s">
        <v>13773</v>
      </c>
      <c r="AH67" s="9"/>
      <c r="AI67" s="15"/>
      <c r="AJ67" s="23"/>
      <c r="AK67" s="15"/>
      <c r="AL67" s="72"/>
      <c r="AM67" s="13"/>
      <c r="AN67" s="9">
        <v>3169</v>
      </c>
      <c r="AO67" s="26" t="s">
        <v>13851</v>
      </c>
      <c r="AP67" s="9">
        <v>4730.93</v>
      </c>
      <c r="AQ67" s="15" t="s">
        <v>13886</v>
      </c>
      <c r="AR67" s="14">
        <v>4395.01</v>
      </c>
      <c r="AS67" s="13" t="s">
        <v>13942</v>
      </c>
      <c r="AT67" s="9">
        <v>2359.96</v>
      </c>
      <c r="AU67" s="15" t="s">
        <v>14009</v>
      </c>
      <c r="AV67" s="11">
        <v>1099</v>
      </c>
      <c r="AW67" s="13" t="s">
        <v>14062</v>
      </c>
      <c r="AX67" s="72"/>
      <c r="AY67" s="15"/>
      <c r="AZ67" s="9">
        <v>1099</v>
      </c>
      <c r="BA67" s="15" t="s">
        <v>14122</v>
      </c>
      <c r="BB67" s="9">
        <v>5000</v>
      </c>
      <c r="BC67" s="15" t="s">
        <v>14229</v>
      </c>
      <c r="BD67" s="9">
        <v>4462</v>
      </c>
      <c r="BE67" s="15" t="s">
        <v>14287</v>
      </c>
      <c r="BF67" s="11">
        <v>468.33</v>
      </c>
      <c r="BG67" s="13" t="s">
        <v>14214</v>
      </c>
      <c r="BH67" s="7"/>
      <c r="BI67" s="26"/>
      <c r="BJ67" s="9"/>
      <c r="BK67" s="26"/>
      <c r="BL67" s="9"/>
      <c r="BM67" s="15"/>
      <c r="BN67" s="9"/>
      <c r="BO67" s="15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  <c r="CO67" s="13"/>
      <c r="CP67" s="11"/>
      <c r="CQ67" s="13"/>
      <c r="CR67" s="11"/>
    </row>
    <row r="68" spans="1:96" x14ac:dyDescent="0.25">
      <c r="A68" s="41"/>
      <c r="B68" s="9"/>
      <c r="C68" s="15"/>
      <c r="D68" s="99">
        <f>+SUM(D59:D67)</f>
        <v>14924.28</v>
      </c>
      <c r="E68" s="15"/>
      <c r="F68" s="9">
        <v>1099.01</v>
      </c>
      <c r="G68" s="15" t="s">
        <v>13263</v>
      </c>
      <c r="H68" s="9">
        <v>1970</v>
      </c>
      <c r="I68" s="15" t="s">
        <v>13202</v>
      </c>
      <c r="J68" s="112">
        <v>1563.01</v>
      </c>
      <c r="K68" s="13" t="s">
        <v>13290</v>
      </c>
      <c r="L68" s="9">
        <f>4216-966</f>
        <v>3250</v>
      </c>
      <c r="M68" s="15" t="s">
        <v>13331</v>
      </c>
      <c r="N68" s="9">
        <v>4395.01</v>
      </c>
      <c r="O68" s="15" t="s">
        <v>13392</v>
      </c>
      <c r="P68" s="72">
        <v>1169</v>
      </c>
      <c r="Q68" s="15" t="s">
        <v>13384</v>
      </c>
      <c r="R68" s="9"/>
      <c r="S68" s="26"/>
      <c r="T68" s="9">
        <v>3250</v>
      </c>
      <c r="U68" s="26" t="s">
        <v>13537</v>
      </c>
      <c r="V68" s="9"/>
      <c r="W68" s="15"/>
      <c r="X68" s="9"/>
      <c r="Y68" s="15"/>
      <c r="Z68" s="9">
        <v>2866</v>
      </c>
      <c r="AA68" s="15" t="s">
        <v>13618</v>
      </c>
      <c r="AB68" s="9">
        <v>1099</v>
      </c>
      <c r="AC68" s="15" t="s">
        <v>13679</v>
      </c>
      <c r="AD68" s="9">
        <v>1169.01</v>
      </c>
      <c r="AE68" s="15" t="s">
        <v>13717</v>
      </c>
      <c r="AF68" s="99">
        <f>+SUM(AF59:AF67)</f>
        <v>29355.760000000002</v>
      </c>
      <c r="AG68" s="26"/>
      <c r="AH68" s="15"/>
      <c r="AI68" s="15"/>
      <c r="AJ68" s="9"/>
      <c r="AK68" s="15"/>
      <c r="AL68" s="72"/>
      <c r="AM68" s="85"/>
      <c r="AN68" s="9">
        <v>3250</v>
      </c>
      <c r="AO68" s="15" t="s">
        <v>13853</v>
      </c>
      <c r="AP68" s="9">
        <v>3250.01</v>
      </c>
      <c r="AQ68" s="15" t="s">
        <v>13888</v>
      </c>
      <c r="AR68" s="9">
        <v>2391</v>
      </c>
      <c r="AS68" s="26" t="s">
        <v>13949</v>
      </c>
      <c r="AT68" s="9">
        <v>1970</v>
      </c>
      <c r="AU68" s="26" t="s">
        <v>14012</v>
      </c>
      <c r="AV68" s="9">
        <v>232</v>
      </c>
      <c r="AW68" s="15" t="s">
        <v>14066</v>
      </c>
      <c r="AX68" s="9"/>
      <c r="AY68" s="15"/>
      <c r="AZ68" s="9">
        <v>3489</v>
      </c>
      <c r="BA68" s="15" t="s">
        <v>14128</v>
      </c>
      <c r="BB68" s="9">
        <v>10000</v>
      </c>
      <c r="BC68" s="15" t="s">
        <v>14232</v>
      </c>
      <c r="BD68" s="9">
        <v>1922.76</v>
      </c>
      <c r="BE68" s="15" t="s">
        <v>14290</v>
      </c>
      <c r="BF68" s="81">
        <f>+SUM(BF59:BF67)</f>
        <v>34384.870000000003</v>
      </c>
      <c r="BG68" s="26"/>
      <c r="BH68" s="9"/>
      <c r="BI68" s="15"/>
      <c r="BJ68" s="9"/>
      <c r="BK68" s="15"/>
      <c r="BL68" s="9"/>
      <c r="BM68" s="15"/>
      <c r="BN68" s="9"/>
      <c r="BO68" s="15"/>
      <c r="BP68" s="9"/>
      <c r="BQ68" s="15"/>
      <c r="BR68" s="9"/>
      <c r="BS68" s="15"/>
      <c r="BT68" s="9"/>
      <c r="BU68" s="15"/>
      <c r="BV68" s="9"/>
      <c r="BW68" s="15"/>
      <c r="BX68" s="9"/>
      <c r="BY68" s="15"/>
      <c r="BZ68" s="9"/>
      <c r="CA68" s="15"/>
      <c r="CB68" s="9"/>
      <c r="CC68" s="15"/>
      <c r="CD68" s="9"/>
      <c r="CE68" s="15"/>
      <c r="CF68" s="9"/>
      <c r="CG68" s="15"/>
      <c r="CH68" s="9"/>
      <c r="CI68" s="15"/>
      <c r="CJ68" s="9"/>
      <c r="CK68" s="15"/>
      <c r="CL68" s="9"/>
      <c r="CM68" s="15"/>
      <c r="CN68" s="9"/>
      <c r="CO68" s="15"/>
      <c r="CP68" s="9"/>
      <c r="CQ68" s="15"/>
      <c r="CR68" s="9"/>
    </row>
    <row r="69" spans="1:96" x14ac:dyDescent="0.25">
      <c r="A69" s="41"/>
      <c r="B69" s="9"/>
      <c r="C69" s="15"/>
      <c r="D69" s="15"/>
      <c r="E69" s="15"/>
      <c r="F69" s="9">
        <v>1099.01</v>
      </c>
      <c r="G69" s="15" t="s">
        <v>13230</v>
      </c>
      <c r="H69" s="95">
        <f>+SUM(H59:H68)</f>
        <v>20501.87</v>
      </c>
      <c r="I69" s="15"/>
      <c r="J69" s="112">
        <v>600</v>
      </c>
      <c r="K69" s="15" t="s">
        <v>13292</v>
      </c>
      <c r="L69" s="9">
        <v>1995</v>
      </c>
      <c r="M69" s="15" t="s">
        <v>13333</v>
      </c>
      <c r="N69" s="9">
        <v>1099</v>
      </c>
      <c r="O69" s="15" t="s">
        <v>13393</v>
      </c>
      <c r="P69" s="9">
        <v>1099.01</v>
      </c>
      <c r="Q69" s="15" t="s">
        <v>13454</v>
      </c>
      <c r="R69" s="9"/>
      <c r="S69" s="26"/>
      <c r="T69" s="9">
        <v>4146</v>
      </c>
      <c r="U69" s="15" t="s">
        <v>13538</v>
      </c>
      <c r="V69" s="15"/>
      <c r="W69" s="15"/>
      <c r="X69" s="15"/>
      <c r="Y69" s="15"/>
      <c r="Z69" s="9">
        <v>1099.01</v>
      </c>
      <c r="AA69" s="15" t="s">
        <v>13620</v>
      </c>
      <c r="AB69" s="51">
        <f>+SUM(AB59:AB68)</f>
        <v>14264</v>
      </c>
      <c r="AC69" s="15"/>
      <c r="AD69" s="9">
        <v>1995</v>
      </c>
      <c r="AE69" s="15" t="s">
        <v>13719</v>
      </c>
      <c r="AF69" s="72"/>
      <c r="AG69" s="15"/>
      <c r="AH69" s="9"/>
      <c r="AI69" s="15"/>
      <c r="AJ69" s="9"/>
      <c r="AK69" s="15"/>
      <c r="AL69" s="9"/>
      <c r="AM69" s="15"/>
      <c r="AN69" s="95">
        <f>+SUM(AN59:AN68)</f>
        <v>41804.82</v>
      </c>
      <c r="AO69" s="15"/>
      <c r="AP69" s="9">
        <v>1970</v>
      </c>
      <c r="AQ69" s="15" t="s">
        <v>13890</v>
      </c>
      <c r="AR69" s="9">
        <v>1099</v>
      </c>
      <c r="AS69" s="15" t="s">
        <v>13953</v>
      </c>
      <c r="AT69" s="9">
        <v>1099</v>
      </c>
      <c r="AU69" s="15" t="s">
        <v>14016</v>
      </c>
      <c r="AV69" s="9">
        <v>2262.39</v>
      </c>
      <c r="AW69" s="15" t="s">
        <v>14074</v>
      </c>
      <c r="AX69" s="72"/>
      <c r="AY69" s="15"/>
      <c r="AZ69" s="72">
        <v>5290.99</v>
      </c>
      <c r="BA69" s="15" t="s">
        <v>14132</v>
      </c>
      <c r="BB69" s="9">
        <v>702.95</v>
      </c>
      <c r="BC69" s="15" t="s">
        <v>14252</v>
      </c>
      <c r="BD69" s="9">
        <v>8000</v>
      </c>
      <c r="BE69" s="15" t="s">
        <v>14291</v>
      </c>
      <c r="BF69" s="95"/>
      <c r="BG69" s="15"/>
      <c r="BH69" s="9"/>
      <c r="BI69" s="15"/>
      <c r="BJ69" s="9"/>
      <c r="BK69" s="15"/>
      <c r="BL69" s="9"/>
      <c r="BM69" s="15"/>
      <c r="BN69" s="9"/>
      <c r="BO69" s="15"/>
      <c r="BP69" s="15"/>
      <c r="BQ69" s="15"/>
      <c r="BR69" s="9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25">
      <c r="A70" s="41"/>
      <c r="B70" s="9">
        <v>1970</v>
      </c>
      <c r="C70" s="15" t="s">
        <v>13123</v>
      </c>
      <c r="D70" s="15"/>
      <c r="E70" s="15"/>
      <c r="F70" s="9">
        <v>2600</v>
      </c>
      <c r="G70" s="15" t="s">
        <v>13265</v>
      </c>
      <c r="H70" s="9"/>
      <c r="I70" s="15"/>
      <c r="J70" s="112">
        <v>1970</v>
      </c>
      <c r="K70" s="15" t="s">
        <v>13294</v>
      </c>
      <c r="L70" s="9">
        <v>1970</v>
      </c>
      <c r="M70" s="15" t="s">
        <v>13334</v>
      </c>
      <c r="N70" s="72">
        <v>3168.99</v>
      </c>
      <c r="O70" s="15" t="s">
        <v>13395</v>
      </c>
      <c r="P70" s="95">
        <f>+SUM(P58:P69)</f>
        <v>31077.979999999996</v>
      </c>
      <c r="Q70" s="15"/>
      <c r="R70" s="9"/>
      <c r="S70" s="26"/>
      <c r="T70" s="9">
        <v>1970</v>
      </c>
      <c r="U70" s="15" t="s">
        <v>13539</v>
      </c>
      <c r="V70" s="9"/>
      <c r="W70" s="15"/>
      <c r="X70" s="9"/>
      <c r="Y70" s="15"/>
      <c r="Z70" s="9">
        <v>1970</v>
      </c>
      <c r="AA70" s="15" t="s">
        <v>13621</v>
      </c>
      <c r="AB70" s="95"/>
      <c r="AC70" s="15"/>
      <c r="AD70" s="95">
        <f>+SUM(AD58:AD69)</f>
        <v>24707.3</v>
      </c>
      <c r="AE70" s="15"/>
      <c r="AF70" s="72">
        <v>1433.57</v>
      </c>
      <c r="AG70" s="85" t="s">
        <v>13782</v>
      </c>
      <c r="AH70" s="9"/>
      <c r="AI70" s="15"/>
      <c r="AJ70" s="9"/>
      <c r="AK70" s="15"/>
      <c r="AL70" s="72"/>
      <c r="AM70" s="15"/>
      <c r="AN70" s="15"/>
      <c r="AO70" s="15"/>
      <c r="AP70" s="9">
        <v>4145.99</v>
      </c>
      <c r="AQ70" s="15" t="s">
        <v>13891</v>
      </c>
      <c r="AR70" s="9">
        <v>1099.01</v>
      </c>
      <c r="AS70" s="15" t="s">
        <v>13959</v>
      </c>
      <c r="AT70" s="7">
        <v>1970</v>
      </c>
      <c r="AU70" s="26" t="s">
        <v>14018</v>
      </c>
      <c r="AV70" s="9">
        <v>1099</v>
      </c>
      <c r="AW70" s="15" t="s">
        <v>14075</v>
      </c>
      <c r="AX70" s="9"/>
      <c r="AY70" s="15"/>
      <c r="AZ70" s="9">
        <v>505.01</v>
      </c>
      <c r="BA70" s="15" t="s">
        <v>14136</v>
      </c>
      <c r="BB70" s="9">
        <v>4395</v>
      </c>
      <c r="BC70" s="15" t="s">
        <v>14261</v>
      </c>
      <c r="BD70" s="9">
        <v>4616.8999999999996</v>
      </c>
      <c r="BE70" s="15" t="s">
        <v>14292</v>
      </c>
      <c r="BF70" s="9">
        <v>100000</v>
      </c>
      <c r="BG70" s="15" t="s">
        <v>14311</v>
      </c>
      <c r="BH70" s="9"/>
      <c r="BI70" s="15"/>
      <c r="BJ70" s="72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  <c r="CO70" s="15"/>
      <c r="CP70" s="9"/>
      <c r="CQ70" s="15"/>
      <c r="CR70" s="9"/>
    </row>
    <row r="71" spans="1:96" x14ac:dyDescent="0.25">
      <c r="A71" s="41"/>
      <c r="B71" s="228">
        <v>1061.33</v>
      </c>
      <c r="C71" s="15" t="s">
        <v>13128</v>
      </c>
      <c r="D71" s="9"/>
      <c r="E71" s="15"/>
      <c r="F71" s="9">
        <v>1886.46</v>
      </c>
      <c r="G71" s="15" t="s">
        <v>13228</v>
      </c>
      <c r="H71" s="15"/>
      <c r="I71" s="15"/>
      <c r="J71" s="168">
        <f>3482-2400</f>
        <v>1082</v>
      </c>
      <c r="K71" s="24" t="s">
        <v>13296</v>
      </c>
      <c r="L71" s="72">
        <f>3250-1750</f>
        <v>1500</v>
      </c>
      <c r="M71" s="15" t="s">
        <v>13337</v>
      </c>
      <c r="N71" s="72">
        <v>1970</v>
      </c>
      <c r="O71" s="15" t="s">
        <v>13317</v>
      </c>
      <c r="P71" s="9"/>
      <c r="Q71" s="15"/>
      <c r="R71" s="9"/>
      <c r="S71" s="15"/>
      <c r="T71" s="95">
        <f>+SUM(T59:T70)</f>
        <v>48403.74</v>
      </c>
      <c r="U71" s="15"/>
      <c r="V71" s="9"/>
      <c r="W71" s="15"/>
      <c r="X71" s="9"/>
      <c r="Y71" s="15"/>
      <c r="Z71" s="95">
        <f>+SUM(Z59:Z70)</f>
        <v>23455.41</v>
      </c>
      <c r="AA71" s="15"/>
      <c r="AB71" s="9">
        <v>1000</v>
      </c>
      <c r="AC71" s="15" t="s">
        <v>13682</v>
      </c>
      <c r="AD71" s="9"/>
      <c r="AE71" s="15"/>
      <c r="AF71" s="72">
        <v>1168.99</v>
      </c>
      <c r="AG71" s="15" t="s">
        <v>13788</v>
      </c>
      <c r="AH71" s="9"/>
      <c r="AI71" s="15"/>
      <c r="AJ71" s="72"/>
      <c r="AK71" s="24"/>
      <c r="AL71" s="72"/>
      <c r="AM71" s="15"/>
      <c r="AN71" s="9">
        <v>459.43</v>
      </c>
      <c r="AO71" s="15" t="s">
        <v>13821</v>
      </c>
      <c r="AP71" s="72">
        <v>3169</v>
      </c>
      <c r="AQ71" s="15" t="s">
        <v>13895</v>
      </c>
      <c r="AR71" s="72">
        <v>6483.01</v>
      </c>
      <c r="AS71" s="184" t="s">
        <v>13944</v>
      </c>
      <c r="AT71" s="9">
        <v>1169</v>
      </c>
      <c r="AU71" s="15" t="s">
        <v>14019</v>
      </c>
      <c r="AV71" s="9">
        <v>232</v>
      </c>
      <c r="AW71" s="15" t="s">
        <v>14077</v>
      </c>
      <c r="AX71" s="9"/>
      <c r="AY71" s="15"/>
      <c r="AZ71" s="9">
        <v>1099</v>
      </c>
      <c r="BA71" s="15" t="s">
        <v>14137</v>
      </c>
      <c r="BB71" s="9">
        <v>1099.01</v>
      </c>
      <c r="BC71" s="15" t="s">
        <v>14267</v>
      </c>
      <c r="BD71" s="9">
        <v>5000</v>
      </c>
      <c r="BE71" s="15" t="s">
        <v>14293</v>
      </c>
      <c r="BF71" s="137">
        <v>4102.59</v>
      </c>
      <c r="BG71" s="15" t="s">
        <v>14315</v>
      </c>
      <c r="BH71" s="9"/>
      <c r="BI71" s="15"/>
      <c r="BJ71" s="72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  <c r="CO71" s="15"/>
      <c r="CP71" s="9"/>
      <c r="CQ71" s="15"/>
      <c r="CR71" s="9"/>
    </row>
    <row r="72" spans="1:96" x14ac:dyDescent="0.25">
      <c r="A72" s="41"/>
      <c r="B72" s="9"/>
      <c r="C72" s="15" t="s">
        <v>13129</v>
      </c>
      <c r="D72" s="15"/>
      <c r="E72" s="15"/>
      <c r="F72" s="95">
        <f>+SUM(F59:F71)</f>
        <v>20907.379999999997</v>
      </c>
      <c r="G72" s="15"/>
      <c r="H72" s="9"/>
      <c r="I72" s="15"/>
      <c r="J72" s="112">
        <v>3319.99</v>
      </c>
      <c r="K72" s="15" t="s">
        <v>13297</v>
      </c>
      <c r="L72" s="9">
        <v>1099</v>
      </c>
      <c r="M72" s="15" t="s">
        <v>13285</v>
      </c>
      <c r="N72" s="72">
        <v>1714.32</v>
      </c>
      <c r="O72" s="15" t="s">
        <v>13396</v>
      </c>
      <c r="P72" s="9"/>
      <c r="Q72" s="15"/>
      <c r="R72" s="9"/>
      <c r="S72" s="15"/>
      <c r="T72" s="9"/>
      <c r="U72" s="15"/>
      <c r="V72" s="9"/>
      <c r="W72" s="15"/>
      <c r="X72" s="9"/>
      <c r="Y72" s="15"/>
      <c r="Z72" s="15"/>
      <c r="AA72" s="15"/>
      <c r="AB72" s="9">
        <v>2040.01</v>
      </c>
      <c r="AC72" s="15" t="s">
        <v>13684</v>
      </c>
      <c r="AD72" s="9">
        <v>3000</v>
      </c>
      <c r="AE72" s="15" t="s">
        <v>13723</v>
      </c>
      <c r="AF72" s="9">
        <v>1970</v>
      </c>
      <c r="AG72" s="15" t="s">
        <v>13789</v>
      </c>
      <c r="AH72" s="9"/>
      <c r="AI72" s="15"/>
      <c r="AJ72" s="9"/>
      <c r="AK72" s="15"/>
      <c r="AL72" s="9"/>
      <c r="AM72" s="15"/>
      <c r="AN72" s="9">
        <v>2498.48</v>
      </c>
      <c r="AO72" s="15" t="s">
        <v>13859</v>
      </c>
      <c r="AP72" s="9">
        <v>4145.99</v>
      </c>
      <c r="AQ72" s="15" t="s">
        <v>13897</v>
      </c>
      <c r="AR72" s="95">
        <f>+SUM(AR59:AR71)</f>
        <v>41290.81</v>
      </c>
      <c r="AS72" s="15"/>
      <c r="AT72" s="9">
        <v>3250</v>
      </c>
      <c r="AU72" s="15" t="s">
        <v>14020</v>
      </c>
      <c r="AV72" s="9">
        <v>1099.01</v>
      </c>
      <c r="AW72" s="15" t="s">
        <v>14079</v>
      </c>
      <c r="AX72" s="14"/>
      <c r="AY72" s="13"/>
      <c r="AZ72" s="9">
        <v>1099</v>
      </c>
      <c r="BA72" s="15" t="s">
        <v>14139</v>
      </c>
      <c r="BB72" s="9">
        <v>1099.01</v>
      </c>
      <c r="BC72" s="15" t="s">
        <v>14268</v>
      </c>
      <c r="BD72" s="9">
        <v>7006.96</v>
      </c>
      <c r="BE72" s="15" t="s">
        <v>14297</v>
      </c>
      <c r="BF72" s="137">
        <v>1099.01</v>
      </c>
      <c r="BG72" s="15" t="s">
        <v>14327</v>
      </c>
      <c r="BH72" s="9"/>
      <c r="BI72" s="15"/>
      <c r="BJ72" s="9"/>
      <c r="BK72" s="15"/>
      <c r="BL72" s="9"/>
      <c r="BM72" s="15"/>
      <c r="BN72" s="9"/>
      <c r="BO72" s="15"/>
      <c r="BP72" s="15"/>
      <c r="BQ72" s="15"/>
      <c r="BR72" s="9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25">
      <c r="A73" s="41"/>
      <c r="B73" s="9">
        <v>2018.57</v>
      </c>
      <c r="C73" s="15" t="s">
        <v>13131</v>
      </c>
      <c r="D73" s="9"/>
      <c r="E73" s="15"/>
      <c r="F73" s="9"/>
      <c r="G73" s="15"/>
      <c r="H73" s="15"/>
      <c r="I73" s="15"/>
      <c r="J73" s="112">
        <v>1099</v>
      </c>
      <c r="K73" s="15" t="s">
        <v>13299</v>
      </c>
      <c r="L73" s="95">
        <f>+SUM(L59:L72)</f>
        <v>71408</v>
      </c>
      <c r="M73" s="15"/>
      <c r="N73" s="9">
        <v>3250</v>
      </c>
      <c r="O73" s="15" t="s">
        <v>13402</v>
      </c>
      <c r="P73" s="9"/>
      <c r="Q73" s="15"/>
      <c r="R73" s="9"/>
      <c r="S73" s="15"/>
      <c r="T73" s="9"/>
      <c r="U73" s="15"/>
      <c r="V73" s="9"/>
      <c r="W73" s="15"/>
      <c r="X73" s="9"/>
      <c r="Y73" s="15"/>
      <c r="Z73" s="9">
        <v>1100</v>
      </c>
      <c r="AA73" s="15" t="s">
        <v>13625</v>
      </c>
      <c r="AB73" s="9">
        <v>2040.01</v>
      </c>
      <c r="AC73" s="15" t="s">
        <v>13635</v>
      </c>
      <c r="AD73" s="9">
        <v>639.13</v>
      </c>
      <c r="AE73" s="15" t="s">
        <v>13724</v>
      </c>
      <c r="AF73" s="95">
        <f>+SUM(AF70:AF72)</f>
        <v>4572.5599999999995</v>
      </c>
      <c r="AG73" s="15"/>
      <c r="AH73" s="15"/>
      <c r="AI73" s="15"/>
      <c r="AJ73" s="15"/>
      <c r="AK73" s="15"/>
      <c r="AL73" s="72"/>
      <c r="AM73" s="15"/>
      <c r="AN73" s="9">
        <v>3250</v>
      </c>
      <c r="AO73" s="15" t="s">
        <v>13860</v>
      </c>
      <c r="AP73" s="9">
        <v>800</v>
      </c>
      <c r="AQ73" s="15" t="s">
        <v>13899</v>
      </c>
      <c r="AR73" s="9"/>
      <c r="AS73" s="15"/>
      <c r="AT73" s="9">
        <v>2866.44</v>
      </c>
      <c r="AU73" s="15" t="s">
        <v>14021</v>
      </c>
      <c r="AV73" s="9">
        <v>103.99</v>
      </c>
      <c r="AW73" s="15" t="s">
        <v>14085</v>
      </c>
      <c r="AX73" s="9"/>
      <c r="AY73" s="15"/>
      <c r="AZ73" s="9">
        <v>1099</v>
      </c>
      <c r="BA73" s="15" t="s">
        <v>14141</v>
      </c>
      <c r="BB73" s="9">
        <v>4606</v>
      </c>
      <c r="BC73" s="15" t="s">
        <v>14269</v>
      </c>
      <c r="BD73" s="9">
        <v>1970</v>
      </c>
      <c r="BE73" s="15" t="s">
        <v>14303</v>
      </c>
      <c r="BF73" s="9">
        <v>1795.01</v>
      </c>
      <c r="BG73" s="15" t="s">
        <v>14330</v>
      </c>
      <c r="BH73" s="9"/>
      <c r="BI73" s="15"/>
      <c r="BJ73" s="9"/>
      <c r="BK73" s="15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  <c r="CO73" s="15"/>
      <c r="CP73" s="9"/>
      <c r="CQ73" s="15"/>
      <c r="CR73" s="9"/>
    </row>
    <row r="74" spans="1:96" x14ac:dyDescent="0.25">
      <c r="A74" s="41"/>
      <c r="B74" s="95">
        <f>+SUM(B69:B73)</f>
        <v>5049.8999999999996</v>
      </c>
      <c r="C74" s="15"/>
      <c r="D74" s="9"/>
      <c r="E74" s="15"/>
      <c r="F74" s="9"/>
      <c r="G74" s="15"/>
      <c r="H74" s="15"/>
      <c r="I74" s="15"/>
      <c r="J74" s="112">
        <v>1048.06</v>
      </c>
      <c r="K74" s="15" t="s">
        <v>13300</v>
      </c>
      <c r="L74" s="9"/>
      <c r="M74" s="15"/>
      <c r="N74" s="95">
        <f>+SUM(N64:N73)</f>
        <v>43580.66</v>
      </c>
      <c r="O74" s="15"/>
      <c r="P74" s="15"/>
      <c r="Q74" s="15"/>
      <c r="R74" s="15"/>
      <c r="S74" s="15"/>
      <c r="T74" s="9"/>
      <c r="U74" s="15"/>
      <c r="V74" s="9"/>
      <c r="W74" s="15"/>
      <c r="X74" s="9"/>
      <c r="Y74" s="15"/>
      <c r="Z74" s="9">
        <v>3250.01</v>
      </c>
      <c r="AA74" s="15" t="s">
        <v>13637</v>
      </c>
      <c r="AB74" s="9">
        <v>5033</v>
      </c>
      <c r="AC74" s="15" t="s">
        <v>13690</v>
      </c>
      <c r="AD74" s="9">
        <v>1099.01</v>
      </c>
      <c r="AE74" s="15" t="s">
        <v>13725</v>
      </c>
      <c r="AF74" s="9"/>
      <c r="AG74" s="15"/>
      <c r="AH74" s="9"/>
      <c r="AI74" s="15"/>
      <c r="AJ74" s="9"/>
      <c r="AK74" s="15"/>
      <c r="AL74" s="72"/>
      <c r="AM74" s="15"/>
      <c r="AN74" s="9">
        <v>1099.01</v>
      </c>
      <c r="AO74" s="15" t="s">
        <v>13861</v>
      </c>
      <c r="AP74" s="95">
        <f>+SUM(AP59:AP73)</f>
        <v>74532.080000000016</v>
      </c>
      <c r="AQ74" s="15"/>
      <c r="AR74" s="9">
        <v>3618.48</v>
      </c>
      <c r="AS74" s="15" t="s">
        <v>13968</v>
      </c>
      <c r="AT74" s="9">
        <v>150</v>
      </c>
      <c r="AU74" s="15" t="s">
        <v>14022</v>
      </c>
      <c r="AV74" s="95">
        <f>+SUM(AV58:AV73)</f>
        <v>28536.279999999995</v>
      </c>
      <c r="AW74" s="15"/>
      <c r="AX74" s="9"/>
      <c r="AY74" s="15"/>
      <c r="AZ74" s="9">
        <v>2040.01</v>
      </c>
      <c r="BA74" s="15" t="s">
        <v>14134</v>
      </c>
      <c r="BB74" s="9">
        <v>2895.01</v>
      </c>
      <c r="BC74" s="15" t="s">
        <v>14276</v>
      </c>
      <c r="BD74" s="9">
        <v>4274.99</v>
      </c>
      <c r="BE74" s="15" t="s">
        <v>14304</v>
      </c>
      <c r="BF74" s="9">
        <v>1970</v>
      </c>
      <c r="BG74" s="15" t="s">
        <v>14331</v>
      </c>
      <c r="BH74" s="15"/>
      <c r="BI74" s="15"/>
      <c r="BJ74" s="9"/>
      <c r="BK74" s="15"/>
      <c r="BL74" s="9"/>
      <c r="BM74" s="15"/>
      <c r="BN74" s="9"/>
      <c r="BO74" s="15"/>
      <c r="BP74" s="9"/>
      <c r="BQ74" s="15"/>
      <c r="BR74" s="15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  <c r="CO74" s="15"/>
      <c r="CP74" s="9"/>
      <c r="CQ74" s="15"/>
      <c r="CR74" s="9"/>
    </row>
    <row r="75" spans="1:96" x14ac:dyDescent="0.25">
      <c r="A75" s="41"/>
      <c r="B75" s="15"/>
      <c r="C75" s="15"/>
      <c r="D75" s="9"/>
      <c r="E75" s="15"/>
      <c r="F75" s="9"/>
      <c r="G75" s="15"/>
      <c r="H75" s="9"/>
      <c r="I75" s="15"/>
      <c r="J75" s="112">
        <v>484.85</v>
      </c>
      <c r="K75" s="15" t="s">
        <v>13303</v>
      </c>
      <c r="L75" s="9">
        <v>9720.36</v>
      </c>
      <c r="M75" s="15" t="s">
        <v>13346</v>
      </c>
      <c r="N75" s="9"/>
      <c r="O75" s="15"/>
      <c r="P75" s="9"/>
      <c r="Q75" s="15"/>
      <c r="R75" s="15"/>
      <c r="S75" s="15"/>
      <c r="T75" s="15"/>
      <c r="U75" s="15"/>
      <c r="V75" s="252"/>
      <c r="W75" s="15"/>
      <c r="X75" s="137"/>
      <c r="Y75" s="15"/>
      <c r="Z75" s="9">
        <v>2040</v>
      </c>
      <c r="AA75" s="15" t="s">
        <v>13643</v>
      </c>
      <c r="AB75" s="9">
        <v>1125.52</v>
      </c>
      <c r="AC75" s="9" t="s">
        <v>13691</v>
      </c>
      <c r="AD75" s="9">
        <v>5610.02</v>
      </c>
      <c r="AE75" s="15" t="s">
        <v>13730</v>
      </c>
      <c r="AF75" s="9"/>
      <c r="AG75" s="15"/>
      <c r="AH75" s="9"/>
      <c r="AI75" s="15"/>
      <c r="AJ75" s="9"/>
      <c r="AK75" s="15"/>
      <c r="AL75" s="72"/>
      <c r="AM75" s="15"/>
      <c r="AN75" s="9">
        <v>1099</v>
      </c>
      <c r="AO75" s="15" t="s">
        <v>13864</v>
      </c>
      <c r="AP75" s="9"/>
      <c r="AQ75" s="15"/>
      <c r="AR75" s="9">
        <v>3015</v>
      </c>
      <c r="AS75" s="15" t="s">
        <v>13974</v>
      </c>
      <c r="AT75" s="72">
        <v>68.44</v>
      </c>
      <c r="AU75" s="15" t="s">
        <v>14023</v>
      </c>
      <c r="AV75" s="24"/>
      <c r="AW75" s="15"/>
      <c r="AX75" s="9"/>
      <c r="AY75" s="15"/>
      <c r="AZ75" s="9">
        <v>1970</v>
      </c>
      <c r="BA75" s="15" t="s">
        <v>14142</v>
      </c>
      <c r="BB75" s="9">
        <v>50125.64</v>
      </c>
      <c r="BC75" s="15" t="s">
        <v>14277</v>
      </c>
      <c r="BD75" s="95">
        <f>+SUM(BD65:BD74)</f>
        <v>46008.61</v>
      </c>
      <c r="BE75" s="15"/>
      <c r="BF75" s="95">
        <f>+SUM(BF70:BF74)</f>
        <v>108966.60999999999</v>
      </c>
      <c r="BG75" s="15"/>
      <c r="BH75" s="7"/>
      <c r="BI75" s="26"/>
      <c r="BJ75" s="9"/>
      <c r="BK75" s="15"/>
      <c r="BL75" s="9"/>
      <c r="BM75" s="15"/>
      <c r="BN75" s="9"/>
      <c r="BO75" s="15"/>
      <c r="BP75" s="9"/>
      <c r="BQ75" s="15"/>
      <c r="BR75" s="15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  <c r="CO75" s="15"/>
      <c r="CP75" s="9"/>
      <c r="CQ75" s="15"/>
      <c r="CR75" s="9"/>
    </row>
    <row r="76" spans="1:96" x14ac:dyDescent="0.25">
      <c r="A76" s="41"/>
      <c r="B76" s="9"/>
      <c r="C76" s="15"/>
      <c r="D76" s="9"/>
      <c r="E76" s="15"/>
      <c r="F76" s="15"/>
      <c r="G76" s="15"/>
      <c r="H76" s="15"/>
      <c r="I76" s="15"/>
      <c r="J76" s="95">
        <f>+SUM(J60:J75)</f>
        <v>33501.819999999992</v>
      </c>
      <c r="K76" s="15"/>
      <c r="L76" s="9">
        <v>96.85</v>
      </c>
      <c r="M76" s="15" t="s">
        <v>13349</v>
      </c>
      <c r="N76" s="15"/>
      <c r="O76" s="15"/>
      <c r="P76" s="9"/>
      <c r="Q76" s="15"/>
      <c r="R76" s="9"/>
      <c r="S76" s="15"/>
      <c r="T76" s="9"/>
      <c r="U76" s="15"/>
      <c r="V76" s="137"/>
      <c r="W76" s="15"/>
      <c r="X76" s="137"/>
      <c r="Y76" s="15"/>
      <c r="Z76" s="9">
        <v>1244.6099999999999</v>
      </c>
      <c r="AA76" s="15" t="s">
        <v>13644</v>
      </c>
      <c r="AB76" s="95">
        <f>+SUM(AB71:AB75)</f>
        <v>11238.54</v>
      </c>
      <c r="AC76" s="15"/>
      <c r="AD76" s="9">
        <v>419.36</v>
      </c>
      <c r="AE76" s="15" t="s">
        <v>13733</v>
      </c>
      <c r="AF76" s="15"/>
      <c r="AG76" s="15"/>
      <c r="AH76" s="9"/>
      <c r="AI76" s="15"/>
      <c r="AJ76" s="9"/>
      <c r="AK76" s="15"/>
      <c r="AL76" s="24"/>
      <c r="AM76" s="15"/>
      <c r="AN76" s="72">
        <v>1970</v>
      </c>
      <c r="AO76" s="15" t="s">
        <v>13865</v>
      </c>
      <c r="AP76" s="9">
        <v>20000</v>
      </c>
      <c r="AQ76" s="15" t="s">
        <v>13901</v>
      </c>
      <c r="AR76" s="9">
        <v>3169</v>
      </c>
      <c r="AS76" s="15" t="s">
        <v>13977</v>
      </c>
      <c r="AT76" s="9">
        <v>125000</v>
      </c>
      <c r="AU76" s="15" t="s">
        <v>14002</v>
      </c>
      <c r="AV76" s="24"/>
      <c r="AW76" s="15"/>
      <c r="AX76" s="9"/>
      <c r="AY76" s="15"/>
      <c r="AZ76" s="9">
        <v>1970</v>
      </c>
      <c r="BA76" s="15" t="s">
        <v>14143</v>
      </c>
      <c r="BB76" s="95">
        <f>+SUM(BB66:BB75)</f>
        <v>84922.62</v>
      </c>
      <c r="BC76" s="15"/>
      <c r="BD76" s="9"/>
      <c r="BE76" s="26"/>
      <c r="BF76" s="9"/>
      <c r="BG76" s="15"/>
      <c r="BH76" s="72"/>
      <c r="BI76" s="15"/>
      <c r="BJ76" s="9"/>
      <c r="BK76" s="15"/>
      <c r="BL76" s="9"/>
      <c r="BM76" s="15"/>
      <c r="BN76" s="15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  <c r="CO76" s="15"/>
      <c r="CP76" s="9"/>
      <c r="CQ76" s="15"/>
      <c r="CR76" s="9"/>
    </row>
    <row r="77" spans="1:96" x14ac:dyDescent="0.25">
      <c r="A77" s="41"/>
      <c r="B77" s="9"/>
      <c r="C77" s="15"/>
      <c r="D77" s="9"/>
      <c r="E77" s="15"/>
      <c r="F77" s="15"/>
      <c r="G77" s="15"/>
      <c r="H77" s="9"/>
      <c r="I77" s="15"/>
      <c r="J77" s="15"/>
      <c r="K77" s="9"/>
      <c r="L77" s="9">
        <v>3169</v>
      </c>
      <c r="M77" s="15" t="s">
        <v>13357</v>
      </c>
      <c r="N77" s="9"/>
      <c r="O77" s="15"/>
      <c r="P77" s="9"/>
      <c r="Q77" s="15"/>
      <c r="R77" s="9"/>
      <c r="S77" s="15"/>
      <c r="T77" s="9"/>
      <c r="U77" s="15"/>
      <c r="V77" s="9"/>
      <c r="W77" s="15"/>
      <c r="X77" s="9"/>
      <c r="Y77" s="15"/>
      <c r="Z77" s="95">
        <f>+SUM(Z73:Z76)</f>
        <v>7634.62</v>
      </c>
      <c r="AA77" s="15"/>
      <c r="AB77" s="9"/>
      <c r="AC77" s="15"/>
      <c r="AD77" s="9">
        <v>1741.94</v>
      </c>
      <c r="AE77" s="15" t="s">
        <v>13734</v>
      </c>
      <c r="AF77" s="15"/>
      <c r="AG77" s="15"/>
      <c r="AH77" s="15"/>
      <c r="AI77" s="15"/>
      <c r="AJ77" s="15"/>
      <c r="AK77" s="15"/>
      <c r="AL77" s="72"/>
      <c r="AM77" s="15"/>
      <c r="AN77" s="95">
        <f>+SUM(AN71:AN76)</f>
        <v>10375.92</v>
      </c>
      <c r="AO77" s="15"/>
      <c r="AP77" s="9">
        <v>1171.3900000000001</v>
      </c>
      <c r="AQ77" s="15" t="s">
        <v>13906</v>
      </c>
      <c r="AR77" s="95">
        <f>+SUM(AR74:AR76)</f>
        <v>9802.48</v>
      </c>
      <c r="AS77" s="15"/>
      <c r="AT77" s="95">
        <f>+SUM(AT59:AT76)</f>
        <v>217788.2</v>
      </c>
      <c r="AU77" s="15"/>
      <c r="AV77" s="24"/>
      <c r="AW77" s="15"/>
      <c r="AX77" s="15"/>
      <c r="AY77" s="15"/>
      <c r="AZ77" s="95">
        <f>+SUM(AZ64:AZ76)</f>
        <v>40792.640000000007</v>
      </c>
      <c r="BA77" s="15"/>
      <c r="BB77" s="9"/>
      <c r="BC77" s="15"/>
      <c r="BD77" s="9"/>
      <c r="BE77" s="15"/>
      <c r="BF77" s="9"/>
      <c r="BG77" s="15"/>
      <c r="BH77" s="72"/>
      <c r="BI77" s="15"/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  <c r="CO77" s="15"/>
      <c r="CP77" s="9"/>
      <c r="CQ77" s="15"/>
      <c r="CR77" s="9"/>
    </row>
    <row r="78" spans="1:96" x14ac:dyDescent="0.25">
      <c r="A78" s="41"/>
      <c r="B78" s="9"/>
      <c r="C78" s="15"/>
      <c r="D78" s="9"/>
      <c r="E78" s="15"/>
      <c r="F78" s="9"/>
      <c r="G78" s="15"/>
      <c r="H78" s="9"/>
      <c r="I78" s="15"/>
      <c r="J78" s="9"/>
      <c r="K78" s="15"/>
      <c r="L78" s="95">
        <f>+SUM(L75:L77)</f>
        <v>12986.210000000001</v>
      </c>
      <c r="M78" s="15"/>
      <c r="N78" s="72"/>
      <c r="O78" s="15"/>
      <c r="P78" s="9"/>
      <c r="Q78" s="15"/>
      <c r="R78" s="9"/>
      <c r="S78" s="15"/>
      <c r="T78" s="15"/>
      <c r="U78" s="15"/>
      <c r="V78" s="9"/>
      <c r="W78" s="15"/>
      <c r="X78" s="15"/>
      <c r="Y78" s="15"/>
      <c r="Z78" s="15"/>
      <c r="AA78" s="15"/>
      <c r="AB78" s="9"/>
      <c r="AC78" s="15"/>
      <c r="AD78" s="95">
        <f>+SUM(AD72:AD77)</f>
        <v>12509.460000000001</v>
      </c>
      <c r="AE78" s="15"/>
      <c r="AF78" s="9"/>
      <c r="AG78" s="15"/>
      <c r="AH78" s="9"/>
      <c r="AI78" s="15"/>
      <c r="AJ78" s="9"/>
      <c r="AK78" s="15"/>
      <c r="AL78" s="72"/>
      <c r="AM78" s="15"/>
      <c r="AN78" s="15"/>
      <c r="AO78" s="15"/>
      <c r="AP78" s="9">
        <v>1495.34</v>
      </c>
      <c r="AQ78" s="15" t="s">
        <v>13907</v>
      </c>
      <c r="AR78" s="15"/>
      <c r="AS78" s="15"/>
      <c r="AT78" s="9"/>
      <c r="AU78" s="15"/>
      <c r="AV78" s="9"/>
      <c r="AW78" s="15"/>
      <c r="AX78" s="229"/>
      <c r="AY78" s="15"/>
      <c r="AZ78" s="133"/>
      <c r="BA78" s="15"/>
      <c r="BB78" s="9"/>
      <c r="BC78" s="15"/>
      <c r="BD78" s="137"/>
      <c r="BE78" s="15"/>
      <c r="BF78" s="15"/>
      <c r="BG78" s="15"/>
      <c r="BH78" s="9"/>
      <c r="BI78" s="15"/>
      <c r="BJ78" s="15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  <c r="CO78" s="15"/>
      <c r="CP78" s="9"/>
      <c r="CQ78" s="15"/>
      <c r="CR78" s="9"/>
    </row>
    <row r="79" spans="1:96" x14ac:dyDescent="0.25">
      <c r="A79" s="41"/>
      <c r="B79" s="9"/>
      <c r="C79" s="15"/>
      <c r="D79" s="9"/>
      <c r="E79" s="15"/>
      <c r="F79" s="9"/>
      <c r="G79" s="15"/>
      <c r="H79" s="9"/>
      <c r="I79" s="15"/>
      <c r="J79" s="9"/>
      <c r="K79" s="15"/>
      <c r="L79" s="9"/>
      <c r="M79" s="15"/>
      <c r="N79" s="15"/>
      <c r="O79" s="15"/>
      <c r="P79" s="9"/>
      <c r="Q79" s="15"/>
      <c r="R79" s="9"/>
      <c r="S79" s="15"/>
      <c r="T79" s="9"/>
      <c r="U79" s="15"/>
      <c r="V79" s="9"/>
      <c r="W79" s="15"/>
      <c r="X79" s="15"/>
      <c r="Y79" s="15"/>
      <c r="Z79" s="15"/>
      <c r="AA79" s="15"/>
      <c r="AB79" s="9"/>
      <c r="AC79" s="15"/>
      <c r="AD79" s="9"/>
      <c r="AE79" s="15"/>
      <c r="AF79" s="9"/>
      <c r="AG79" s="15"/>
      <c r="AH79" s="9"/>
      <c r="AI79" s="15"/>
      <c r="AJ79" s="9"/>
      <c r="AK79" s="15"/>
      <c r="AL79" s="72"/>
      <c r="AM79" s="15"/>
      <c r="AN79" s="15"/>
      <c r="AO79" s="15"/>
      <c r="AP79" s="9">
        <v>4456</v>
      </c>
      <c r="AQ79" s="15" t="s">
        <v>13919</v>
      </c>
      <c r="AR79" s="9"/>
      <c r="AS79" s="15"/>
      <c r="AT79" s="9">
        <v>9256.66</v>
      </c>
      <c r="AU79" s="15" t="s">
        <v>14025</v>
      </c>
      <c r="AV79" s="149"/>
      <c r="AW79" s="15"/>
      <c r="AX79" s="9"/>
      <c r="AY79" s="15"/>
      <c r="AZ79" s="9"/>
      <c r="BA79" s="15"/>
      <c r="BB79" s="9"/>
      <c r="BC79" s="15"/>
      <c r="BD79" s="72"/>
      <c r="BE79" s="15"/>
      <c r="BF79" s="9"/>
      <c r="BG79" s="15"/>
      <c r="BH79" s="9"/>
      <c r="BI79" s="15"/>
      <c r="BJ79" s="15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  <c r="CO79" s="15"/>
      <c r="CP79" s="9"/>
      <c r="CQ79" s="15"/>
      <c r="CR79" s="9"/>
    </row>
    <row r="80" spans="1:96" x14ac:dyDescent="0.25">
      <c r="A80" s="41"/>
      <c r="B80" s="9"/>
      <c r="C80" s="15"/>
      <c r="D80" s="9"/>
      <c r="E80" s="15"/>
      <c r="F80" s="24"/>
      <c r="G80" s="15"/>
      <c r="H80" s="9"/>
      <c r="I80" s="15"/>
      <c r="J80" s="9"/>
      <c r="K80" s="15"/>
      <c r="L80" s="9"/>
      <c r="M80" s="15"/>
      <c r="N80" s="9"/>
      <c r="O80" s="15"/>
      <c r="P80" s="9"/>
      <c r="Q80" s="15"/>
      <c r="R80" s="9"/>
      <c r="S80" s="15"/>
      <c r="T80" s="9"/>
      <c r="U80" s="15"/>
      <c r="V80" s="9"/>
      <c r="W80" s="15"/>
      <c r="X80" s="9"/>
      <c r="Y80" s="15"/>
      <c r="Z80" s="15"/>
      <c r="AA80" s="15"/>
      <c r="AB80" s="9"/>
      <c r="AC80" s="15"/>
      <c r="AD80" s="9"/>
      <c r="AE80" s="15"/>
      <c r="AF80" s="15"/>
      <c r="AG80" s="15"/>
      <c r="AH80" s="9"/>
      <c r="AI80" s="15"/>
      <c r="AJ80" s="229"/>
      <c r="AK80" s="15"/>
      <c r="AL80" s="72"/>
      <c r="AM80" s="15"/>
      <c r="AN80" s="15"/>
      <c r="AO80" s="15"/>
      <c r="AP80" s="9">
        <v>1099</v>
      </c>
      <c r="AQ80" s="15" t="s">
        <v>13920</v>
      </c>
      <c r="AR80" s="9"/>
      <c r="AS80" s="15"/>
      <c r="AT80" s="9">
        <v>3250</v>
      </c>
      <c r="AU80" s="15" t="s">
        <v>14029</v>
      </c>
      <c r="AV80" s="9"/>
      <c r="AW80" s="15"/>
      <c r="AX80" s="133"/>
      <c r="AY80" s="15"/>
      <c r="AZ80" s="137"/>
      <c r="BA80" s="15"/>
      <c r="BB80" s="9"/>
      <c r="BC80" s="15"/>
      <c r="BD80" s="9"/>
      <c r="BE80" s="9"/>
      <c r="BF80" s="9"/>
      <c r="BG80" s="15"/>
      <c r="BH80" s="9"/>
      <c r="BI80" s="15"/>
      <c r="BJ80" s="9"/>
      <c r="BK80" s="15"/>
      <c r="BL80" s="9"/>
      <c r="BM80" s="15"/>
      <c r="BN80" s="9"/>
      <c r="BO80" s="15"/>
      <c r="BP80" s="9"/>
      <c r="BQ80" s="15"/>
      <c r="BR80" s="15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  <c r="CO80" s="15"/>
      <c r="CP80" s="9"/>
      <c r="CQ80" s="15"/>
      <c r="CR80" s="9"/>
    </row>
    <row r="81" spans="1:96" x14ac:dyDescent="0.25">
      <c r="A81" s="41"/>
      <c r="B81" s="9"/>
      <c r="C81" s="15"/>
      <c r="D81" s="9"/>
      <c r="E81" s="15"/>
      <c r="F81" s="9"/>
      <c r="G81" s="15"/>
      <c r="H81" s="15"/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15"/>
      <c r="W81" s="15"/>
      <c r="X81" s="9"/>
      <c r="Y81" s="15"/>
      <c r="Z81" s="15"/>
      <c r="AA81" s="15"/>
      <c r="AB81" s="15"/>
      <c r="AC81" s="15"/>
      <c r="AD81" s="9"/>
      <c r="AE81" s="15"/>
      <c r="AF81" s="9"/>
      <c r="AG81" s="15"/>
      <c r="AH81" s="15"/>
      <c r="AI81" s="15"/>
      <c r="AJ81" s="9"/>
      <c r="AK81" s="15"/>
      <c r="AL81" s="72"/>
      <c r="AM81" s="15"/>
      <c r="AN81" s="9"/>
      <c r="AO81" s="15"/>
      <c r="AP81" s="95">
        <f>+SUM(AP76:AP80)</f>
        <v>28221.73</v>
      </c>
      <c r="AQ81" s="15"/>
      <c r="AR81" s="15"/>
      <c r="AS81" s="15"/>
      <c r="AT81" s="95">
        <f>+AT79+AT80</f>
        <v>12506.66</v>
      </c>
      <c r="AU81" s="15"/>
      <c r="AV81" s="15"/>
      <c r="AW81" s="15"/>
      <c r="AX81" s="9"/>
      <c r="AY81" s="15"/>
      <c r="AZ81" s="9"/>
      <c r="BA81" s="15"/>
      <c r="BB81" s="9"/>
      <c r="BC81" s="15"/>
      <c r="BD81" s="15"/>
      <c r="BE81" s="15"/>
      <c r="BF81" s="9"/>
      <c r="BG81" s="15"/>
      <c r="BH81" s="9"/>
      <c r="BI81" s="15"/>
      <c r="BJ81" s="9"/>
      <c r="BK81" s="15"/>
      <c r="BL81" s="15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  <c r="CO81" s="15"/>
      <c r="CP81" s="9"/>
      <c r="CQ81" s="15"/>
      <c r="CR81" s="9"/>
    </row>
    <row r="82" spans="1:96" x14ac:dyDescent="0.25">
      <c r="A82" s="42"/>
      <c r="B82" s="23"/>
      <c r="C82" s="23"/>
      <c r="D82" s="23"/>
      <c r="E82" s="23"/>
      <c r="F82" s="23"/>
      <c r="G82" s="23"/>
      <c r="H82" s="14"/>
      <c r="I82" s="23"/>
      <c r="J82" s="23"/>
      <c r="K82" s="23"/>
      <c r="L82" s="14"/>
      <c r="M82" s="23"/>
      <c r="N82" s="23"/>
      <c r="O82" s="23"/>
      <c r="P82" s="14"/>
      <c r="Q82" s="23"/>
      <c r="R82" s="23"/>
      <c r="S82" s="23"/>
      <c r="T82" s="14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4"/>
      <c r="AM82" s="23"/>
      <c r="AN82" s="23"/>
      <c r="AO82" s="23"/>
      <c r="AP82" s="14"/>
      <c r="AQ82" s="23"/>
      <c r="AR82" s="23"/>
      <c r="AS82" s="23"/>
      <c r="AT82" s="23"/>
      <c r="AU82" s="23"/>
      <c r="AV82" s="23"/>
      <c r="AW82" s="23"/>
      <c r="AX82" s="23"/>
      <c r="AY82" s="23"/>
      <c r="AZ82" s="14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</row>
    <row r="83" spans="1:96" x14ac:dyDescent="0.25">
      <c r="A83" s="41"/>
      <c r="B83" s="9"/>
      <c r="C83" s="15"/>
      <c r="D83" s="9"/>
      <c r="E83" s="15"/>
      <c r="F83" s="9"/>
      <c r="G83" s="9"/>
      <c r="H83" s="15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15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9"/>
      <c r="AM83" s="15"/>
      <c r="AN83" s="9"/>
      <c r="AO83" s="15"/>
      <c r="AP83" s="14"/>
      <c r="AQ83" s="23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  <c r="CO83" s="15"/>
      <c r="CP83" s="9"/>
      <c r="CQ83" s="15"/>
      <c r="CR83" s="9"/>
    </row>
    <row r="84" spans="1:96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15"/>
      <c r="Q84" s="15"/>
      <c r="R84" s="9"/>
      <c r="S84" s="15"/>
      <c r="T84" s="9"/>
      <c r="U84" s="15"/>
      <c r="V84" s="9"/>
      <c r="W84" s="15"/>
      <c r="X84" s="9"/>
      <c r="Y84" s="15"/>
      <c r="Z84" s="15"/>
      <c r="AA84" s="15"/>
      <c r="AB84" s="9"/>
      <c r="AC84" s="15"/>
      <c r="AD84" s="9"/>
      <c r="AE84" s="15"/>
      <c r="AF84" s="120"/>
      <c r="AG84" s="120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15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  <c r="CO84" s="15"/>
      <c r="CP84" s="9"/>
      <c r="CQ84" s="15"/>
      <c r="CR84" s="9"/>
    </row>
    <row r="85" spans="1:96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15"/>
      <c r="M85" s="15"/>
      <c r="N85" s="9"/>
      <c r="O85" s="15"/>
      <c r="P85" s="9"/>
      <c r="Q85" s="15"/>
      <c r="R85" s="9"/>
      <c r="S85" s="15"/>
      <c r="T85" s="15"/>
      <c r="U85" s="15"/>
      <c r="V85" s="9"/>
      <c r="W85" s="15"/>
      <c r="X85" s="9"/>
      <c r="Y85" s="15"/>
      <c r="Z85" s="15"/>
      <c r="AA85" s="15"/>
      <c r="AB85" s="9"/>
      <c r="AC85" s="15"/>
      <c r="AD85" s="9"/>
      <c r="AE85" s="15"/>
      <c r="AF85" s="120"/>
      <c r="AG85" s="120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  <c r="CO85" s="15"/>
      <c r="CP85" s="9"/>
      <c r="CQ85" s="15"/>
      <c r="CR85" s="9"/>
    </row>
    <row r="86" spans="1:96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15"/>
      <c r="AA86" s="15"/>
      <c r="AB86" s="9"/>
      <c r="AC86" s="15"/>
      <c r="AD86" s="9"/>
      <c r="AE86" s="15"/>
      <c r="AF86" s="120"/>
      <c r="AG86" s="120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  <c r="CO86" s="15"/>
      <c r="CP86" s="9"/>
      <c r="CQ86" s="15"/>
      <c r="CR86" s="9"/>
    </row>
    <row r="87" spans="1:96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3"/>
      <c r="AA87" s="13"/>
      <c r="AB87" s="11"/>
      <c r="AC87" s="13"/>
      <c r="AD87" s="11"/>
      <c r="AE87" s="13"/>
      <c r="AF87" s="120"/>
      <c r="AG87" s="120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  <c r="CO87" s="13"/>
      <c r="CP87" s="11"/>
      <c r="CQ87" s="13"/>
      <c r="CR87" s="11"/>
    </row>
    <row r="88" spans="1:96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23"/>
      <c r="AC88" s="13"/>
      <c r="AD88" s="13"/>
      <c r="AE88" s="13"/>
      <c r="AF88" s="120"/>
      <c r="AG88" s="120"/>
      <c r="AH88" s="13"/>
      <c r="AI88" s="13"/>
      <c r="AJ88" s="13"/>
      <c r="AK88" s="13"/>
      <c r="AL88" s="13"/>
      <c r="AM88" s="13"/>
      <c r="AN88" s="13"/>
      <c r="AO88" s="13"/>
      <c r="AP88" s="2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</row>
    <row r="89" spans="1:96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2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</row>
    <row r="90" spans="1:96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</row>
    <row r="91" spans="1:96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</row>
    <row r="92" spans="1:96" x14ac:dyDescent="0.25">
      <c r="A92" s="41" t="s">
        <v>6</v>
      </c>
      <c r="B92" s="9">
        <v>1514.35</v>
      </c>
      <c r="C92" s="15" t="s">
        <v>13100</v>
      </c>
      <c r="D92" s="9"/>
      <c r="E92" s="15"/>
      <c r="F92" s="9">
        <v>3276.58</v>
      </c>
      <c r="G92" s="15" t="s">
        <v>13233</v>
      </c>
      <c r="H92" s="9">
        <v>1600</v>
      </c>
      <c r="I92" s="15" t="s">
        <v>13162</v>
      </c>
      <c r="J92" s="9">
        <v>1075.3399999999999</v>
      </c>
      <c r="K92" s="15" t="s">
        <v>13209</v>
      </c>
      <c r="L92" s="9">
        <v>769.8</v>
      </c>
      <c r="M92" s="15" t="s">
        <v>13310</v>
      </c>
      <c r="N92" s="9">
        <v>2238.52</v>
      </c>
      <c r="O92" s="15" t="s">
        <v>13365</v>
      </c>
      <c r="P92" s="9">
        <v>18614.89</v>
      </c>
      <c r="Q92" s="15" t="s">
        <v>13406</v>
      </c>
      <c r="R92" s="9">
        <v>1909.08</v>
      </c>
      <c r="S92" s="15" t="s">
        <v>13471</v>
      </c>
      <c r="T92" s="9">
        <v>10000</v>
      </c>
      <c r="U92" s="15" t="s">
        <v>13504</v>
      </c>
      <c r="V92" s="9">
        <v>1000</v>
      </c>
      <c r="W92" s="15" t="s">
        <v>13548</v>
      </c>
      <c r="X92" s="9">
        <v>1600</v>
      </c>
      <c r="Y92" s="15" t="s">
        <v>13557</v>
      </c>
      <c r="Z92" s="15">
        <v>2657.32</v>
      </c>
      <c r="AA92" s="15" t="s">
        <v>13597</v>
      </c>
      <c r="AB92" s="9">
        <v>20000</v>
      </c>
      <c r="AC92" s="15" t="s">
        <v>13648</v>
      </c>
      <c r="AD92" s="9">
        <v>3250</v>
      </c>
      <c r="AE92" s="15" t="s">
        <v>13702</v>
      </c>
      <c r="AF92" s="9">
        <v>1598.75</v>
      </c>
      <c r="AG92" s="15" t="s">
        <v>13758</v>
      </c>
      <c r="AH92" s="9">
        <v>4395.01</v>
      </c>
      <c r="AI92" s="15" t="s">
        <v>13809</v>
      </c>
      <c r="AJ92" s="9"/>
      <c r="AK92" s="15"/>
      <c r="AL92" s="9">
        <v>5000</v>
      </c>
      <c r="AM92" s="15" t="s">
        <v>13798</v>
      </c>
      <c r="AN92" s="9">
        <v>1099.99</v>
      </c>
      <c r="AO92" s="9" t="s">
        <v>13829</v>
      </c>
      <c r="AP92" s="9">
        <v>10000</v>
      </c>
      <c r="AQ92" s="9" t="s">
        <v>13871</v>
      </c>
      <c r="AR92" s="9">
        <v>1970</v>
      </c>
      <c r="AS92" s="15" t="s">
        <v>13945</v>
      </c>
      <c r="AT92" s="9">
        <v>3905.07</v>
      </c>
      <c r="AU92" s="15" t="s">
        <v>13982</v>
      </c>
      <c r="AV92" s="9">
        <v>1995</v>
      </c>
      <c r="AW92" s="15" t="s">
        <v>14057</v>
      </c>
      <c r="AX92" s="9"/>
      <c r="AY92" s="15"/>
      <c r="AZ92" s="9">
        <v>5000</v>
      </c>
      <c r="BA92" s="15" t="s">
        <v>14092</v>
      </c>
      <c r="BB92" s="9">
        <v>982.3</v>
      </c>
      <c r="BC92" s="15" t="s">
        <v>14235</v>
      </c>
      <c r="BD92" s="9">
        <v>2491.0100000000002</v>
      </c>
      <c r="BE92" s="15" t="s">
        <v>14181</v>
      </c>
      <c r="BF92" s="9">
        <v>4479</v>
      </c>
      <c r="BG92" s="15" t="s">
        <v>14310</v>
      </c>
      <c r="BH92" s="9"/>
      <c r="BI92" s="15"/>
      <c r="BJ92" s="9"/>
      <c r="BK92" s="15"/>
      <c r="BL92" s="9"/>
      <c r="BM92" s="15"/>
      <c r="BN92" s="9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  <c r="CO92" s="15"/>
      <c r="CP92" s="9"/>
      <c r="CQ92" s="15"/>
      <c r="CR92" s="9"/>
    </row>
    <row r="93" spans="1:96" x14ac:dyDescent="0.25">
      <c r="A93" s="41"/>
      <c r="B93" s="9"/>
      <c r="C93" s="15"/>
      <c r="D93" s="121"/>
      <c r="E93" s="15"/>
      <c r="F93" s="9">
        <v>1970</v>
      </c>
      <c r="G93" s="15" t="s">
        <v>13244</v>
      </c>
      <c r="H93" s="9">
        <v>10000</v>
      </c>
      <c r="I93" s="15" t="s">
        <v>13165</v>
      </c>
      <c r="J93" s="9"/>
      <c r="K93" s="15"/>
      <c r="L93" s="9">
        <v>7402.1</v>
      </c>
      <c r="M93" s="15" t="s">
        <v>13312</v>
      </c>
      <c r="N93" s="9">
        <v>505.01</v>
      </c>
      <c r="O93" s="15" t="s">
        <v>13368</v>
      </c>
      <c r="P93" s="9">
        <v>20400</v>
      </c>
      <c r="Q93" s="15" t="s">
        <v>13407</v>
      </c>
      <c r="R93" s="9"/>
      <c r="S93" s="15"/>
      <c r="T93" s="11">
        <v>400</v>
      </c>
      <c r="U93" s="12" t="s">
        <v>13505</v>
      </c>
      <c r="V93" s="9">
        <v>5000</v>
      </c>
      <c r="W93" s="15" t="s">
        <v>13549</v>
      </c>
      <c r="X93" s="9">
        <v>13900</v>
      </c>
      <c r="Y93" s="15" t="s">
        <v>13559</v>
      </c>
      <c r="Z93" s="15"/>
      <c r="AA93" s="15"/>
      <c r="AB93" s="9">
        <v>4146</v>
      </c>
      <c r="AC93" s="15" t="s">
        <v>13663</v>
      </c>
      <c r="AD93" s="9">
        <v>3250.01</v>
      </c>
      <c r="AE93" s="15" t="s">
        <v>13703</v>
      </c>
      <c r="AF93" s="72">
        <v>2866</v>
      </c>
      <c r="AG93" s="15" t="s">
        <v>13771</v>
      </c>
      <c r="AH93" s="9">
        <v>1099</v>
      </c>
      <c r="AI93" s="9" t="s">
        <v>13815</v>
      </c>
      <c r="AJ93" s="9"/>
      <c r="AK93" s="15"/>
      <c r="AL93" s="9"/>
      <c r="AM93" s="15"/>
      <c r="AN93" s="9">
        <v>2084.46</v>
      </c>
      <c r="AO93" s="15" t="s">
        <v>13837</v>
      </c>
      <c r="AP93" s="9">
        <v>4762.33</v>
      </c>
      <c r="AQ93" s="15" t="s">
        <v>13889</v>
      </c>
      <c r="AR93" s="9">
        <v>5265</v>
      </c>
      <c r="AS93" s="15" t="s">
        <v>13946</v>
      </c>
      <c r="AT93" s="9">
        <v>14525.79</v>
      </c>
      <c r="AU93" s="15" t="s">
        <v>13983</v>
      </c>
      <c r="AV93" s="11">
        <v>3250</v>
      </c>
      <c r="AW93" s="15" t="s">
        <v>14058</v>
      </c>
      <c r="AX93" s="9"/>
      <c r="AY93" s="15"/>
      <c r="AZ93" s="9">
        <v>528.45000000000005</v>
      </c>
      <c r="BA93" s="15" t="s">
        <v>14102</v>
      </c>
      <c r="BB93" s="11">
        <v>20000</v>
      </c>
      <c r="BC93" s="13" t="s">
        <v>14251</v>
      </c>
      <c r="BD93" s="9">
        <v>896</v>
      </c>
      <c r="BE93" s="15" t="s">
        <v>14185</v>
      </c>
      <c r="BF93" s="9">
        <v>92.87</v>
      </c>
      <c r="BG93" s="15" t="s">
        <v>14321</v>
      </c>
      <c r="BH93" s="9"/>
      <c r="BI93" s="15"/>
      <c r="BJ93" s="9"/>
      <c r="BK93" s="15"/>
      <c r="BL93" s="9"/>
      <c r="BM93" s="15"/>
      <c r="BN93" s="9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  <c r="CO93" s="15"/>
      <c r="CP93" s="9"/>
      <c r="CQ93" s="15"/>
      <c r="CR93" s="9"/>
    </row>
    <row r="94" spans="1:96" x14ac:dyDescent="0.25">
      <c r="A94" s="41"/>
      <c r="B94" s="9">
        <v>3319.99</v>
      </c>
      <c r="C94" s="15" t="s">
        <v>13132</v>
      </c>
      <c r="D94" s="121"/>
      <c r="E94" s="15"/>
      <c r="F94" s="9">
        <v>522</v>
      </c>
      <c r="G94" s="15" t="s">
        <v>13245</v>
      </c>
      <c r="H94" s="9">
        <v>277.94</v>
      </c>
      <c r="I94" s="15" t="s">
        <v>13171</v>
      </c>
      <c r="J94" s="9">
        <v>1169.01</v>
      </c>
      <c r="K94" s="15" t="s">
        <v>13279</v>
      </c>
      <c r="L94" s="9">
        <v>4395</v>
      </c>
      <c r="M94" s="15" t="s">
        <v>13332</v>
      </c>
      <c r="N94" s="9">
        <v>3250.01</v>
      </c>
      <c r="O94" s="15" t="s">
        <v>13372</v>
      </c>
      <c r="P94" s="9">
        <v>912.86</v>
      </c>
      <c r="Q94" s="15" t="s">
        <v>13428</v>
      </c>
      <c r="R94" s="9">
        <v>4168.99</v>
      </c>
      <c r="S94" s="15" t="s">
        <v>13492</v>
      </c>
      <c r="T94" s="9">
        <v>1970</v>
      </c>
      <c r="U94" s="15" t="s">
        <v>13518</v>
      </c>
      <c r="V94" s="95">
        <f>+V93+V92</f>
        <v>6000</v>
      </c>
      <c r="W94" s="15"/>
      <c r="X94" s="95">
        <f>+X92+X93</f>
        <v>15500</v>
      </c>
      <c r="Y94" s="15"/>
      <c r="Z94" s="15">
        <v>660.13</v>
      </c>
      <c r="AA94" s="15" t="s">
        <v>13636</v>
      </c>
      <c r="AB94" s="9">
        <v>3250</v>
      </c>
      <c r="AC94" s="15" t="s">
        <v>13676</v>
      </c>
      <c r="AD94" s="9">
        <v>1099</v>
      </c>
      <c r="AE94" s="15" t="s">
        <v>13715</v>
      </c>
      <c r="AF94" s="9">
        <v>3250</v>
      </c>
      <c r="AG94" s="15" t="s">
        <v>13743</v>
      </c>
      <c r="AH94" s="9">
        <v>1099</v>
      </c>
      <c r="AI94" s="15" t="s">
        <v>13817</v>
      </c>
      <c r="AJ94" s="15"/>
      <c r="AK94" s="15"/>
      <c r="AL94" s="9"/>
      <c r="AM94" s="15"/>
      <c r="AN94" s="95">
        <f>+AN92+AN93</f>
        <v>3184.45</v>
      </c>
      <c r="AO94" s="15"/>
      <c r="AP94" s="9">
        <v>1995</v>
      </c>
      <c r="AQ94" s="15" t="s">
        <v>13895</v>
      </c>
      <c r="AR94" s="132">
        <f>+AR93+AR92</f>
        <v>7235</v>
      </c>
      <c r="AS94" s="120"/>
      <c r="AT94" s="9">
        <v>549.83000000000004</v>
      </c>
      <c r="AU94" s="15" t="s">
        <v>13987</v>
      </c>
      <c r="AV94" s="9">
        <v>1995</v>
      </c>
      <c r="AW94" s="15" t="s">
        <v>14060</v>
      </c>
      <c r="AX94" s="9"/>
      <c r="AY94" s="15"/>
      <c r="AZ94" s="95">
        <f>+AZ92+AZ93</f>
        <v>5528.45</v>
      </c>
      <c r="BA94" s="15"/>
      <c r="BB94" s="14">
        <v>3169</v>
      </c>
      <c r="BC94" s="13" t="s">
        <v>14255</v>
      </c>
      <c r="BD94" s="95">
        <f>+BD92+BD93</f>
        <v>3387.01</v>
      </c>
      <c r="BE94" s="15"/>
      <c r="BF94" s="9">
        <v>1900</v>
      </c>
      <c r="BG94" s="15" t="s">
        <v>14325</v>
      </c>
      <c r="BH94" s="9"/>
      <c r="BI94" s="15"/>
      <c r="BJ94" s="15"/>
      <c r="BK94" s="15"/>
      <c r="BL94" s="9"/>
      <c r="BM94" s="15"/>
      <c r="BN94" s="9"/>
      <c r="BO94" s="15"/>
      <c r="BP94" s="15"/>
      <c r="BQ94" s="15"/>
      <c r="BR94" s="9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25">
      <c r="A95" s="41"/>
      <c r="B95" s="9">
        <v>385.4</v>
      </c>
      <c r="C95" s="15" t="s">
        <v>13118</v>
      </c>
      <c r="D95" s="121"/>
      <c r="E95" s="15"/>
      <c r="F95" s="9">
        <v>3250</v>
      </c>
      <c r="G95" s="15" t="s">
        <v>13247</v>
      </c>
      <c r="H95" s="9">
        <v>1099</v>
      </c>
      <c r="I95" s="15" t="s">
        <v>13176</v>
      </c>
      <c r="J95" s="9">
        <v>1970</v>
      </c>
      <c r="K95" s="15" t="s">
        <v>13280</v>
      </c>
      <c r="L95" s="9">
        <v>1099.01</v>
      </c>
      <c r="M95" s="15" t="s">
        <v>13336</v>
      </c>
      <c r="N95" s="95">
        <f>+SUM(N92:N94)</f>
        <v>5993.54</v>
      </c>
      <c r="O95" s="15"/>
      <c r="P95" s="9">
        <v>1970</v>
      </c>
      <c r="Q95" s="15" t="s">
        <v>13430</v>
      </c>
      <c r="R95" s="9">
        <v>4395</v>
      </c>
      <c r="S95" s="15" t="s">
        <v>13494</v>
      </c>
      <c r="T95" s="9">
        <v>4145.99</v>
      </c>
      <c r="U95" s="15" t="s">
        <v>13524</v>
      </c>
      <c r="V95" s="9"/>
      <c r="W95" s="15"/>
      <c r="X95" s="9"/>
      <c r="Y95" s="15"/>
      <c r="Z95" s="15"/>
      <c r="AA95" s="15"/>
      <c r="AB95" s="9">
        <v>1970</v>
      </c>
      <c r="AC95" s="15" t="s">
        <v>13680</v>
      </c>
      <c r="AD95" s="95">
        <f>+SUM(AD92:AD94)</f>
        <v>7599.01</v>
      </c>
      <c r="AE95" s="15"/>
      <c r="AF95" s="95">
        <f>+SUM(AF92:AF94)</f>
        <v>7714.75</v>
      </c>
      <c r="AG95" s="15"/>
      <c r="AH95" s="9">
        <v>1995</v>
      </c>
      <c r="AI95" s="15" t="s">
        <v>13824</v>
      </c>
      <c r="AJ95" s="9"/>
      <c r="AK95" s="15"/>
      <c r="AL95" s="15"/>
      <c r="AM95" s="15"/>
      <c r="AN95" s="9"/>
      <c r="AO95" s="15"/>
      <c r="AP95" s="95">
        <f>+SUM(AP92:AP94)</f>
        <v>16757.330000000002</v>
      </c>
      <c r="AQ95" s="15"/>
      <c r="AR95" s="9"/>
      <c r="AS95" s="15"/>
      <c r="AT95" s="9">
        <v>20000</v>
      </c>
      <c r="AU95" s="15" t="s">
        <v>13990</v>
      </c>
      <c r="AV95" s="9">
        <v>3250</v>
      </c>
      <c r="AW95" s="15" t="s">
        <v>14065</v>
      </c>
      <c r="AX95" s="193"/>
      <c r="AY95" s="15"/>
      <c r="AZ95" s="9"/>
      <c r="BA95" s="15"/>
      <c r="BB95" s="9">
        <v>3664</v>
      </c>
      <c r="BC95" s="15" t="s">
        <v>14264</v>
      </c>
      <c r="BD95" s="9"/>
      <c r="BE95" s="15"/>
      <c r="BF95" s="9">
        <v>1345.6</v>
      </c>
      <c r="BG95" s="15" t="s">
        <v>14326</v>
      </c>
      <c r="BH95" s="15"/>
      <c r="BI95" s="15"/>
      <c r="BJ95" s="9"/>
      <c r="BK95" s="15"/>
      <c r="BL95" s="9"/>
      <c r="BM95" s="15"/>
      <c r="BN95" s="15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  <c r="CO95" s="15"/>
      <c r="CP95" s="9"/>
      <c r="CQ95" s="15"/>
      <c r="CR95" s="9"/>
    </row>
    <row r="96" spans="1:96" x14ac:dyDescent="0.25">
      <c r="A96" s="41"/>
      <c r="B96" s="15">
        <f>+B94+B95</f>
        <v>3705.39</v>
      </c>
      <c r="C96" s="15"/>
      <c r="D96" s="9"/>
      <c r="E96" s="15"/>
      <c r="F96" s="9">
        <v>1169</v>
      </c>
      <c r="G96" s="15" t="s">
        <v>13219</v>
      </c>
      <c r="H96" s="9">
        <v>3434.97</v>
      </c>
      <c r="I96" s="15" t="s">
        <v>13177</v>
      </c>
      <c r="J96" s="15">
        <f>+J95+J94</f>
        <v>3139.01</v>
      </c>
      <c r="K96" s="15"/>
      <c r="L96" s="95">
        <f>+SUM(L92:L95)</f>
        <v>13665.910000000002</v>
      </c>
      <c r="M96" s="15"/>
      <c r="N96" s="15"/>
      <c r="O96" s="15"/>
      <c r="P96" s="9">
        <f>17400-14000</f>
        <v>3400</v>
      </c>
      <c r="Q96" s="15" t="s">
        <v>13435</v>
      </c>
      <c r="R96" s="9">
        <v>464</v>
      </c>
      <c r="S96" s="15" t="s">
        <v>13496</v>
      </c>
      <c r="T96" s="9">
        <v>1970</v>
      </c>
      <c r="U96" s="9" t="s">
        <v>13533</v>
      </c>
      <c r="V96" s="9"/>
      <c r="W96" s="15"/>
      <c r="X96" s="9">
        <v>1970</v>
      </c>
      <c r="Y96" s="15" t="s">
        <v>13570</v>
      </c>
      <c r="Z96" s="15"/>
      <c r="AA96" s="15"/>
      <c r="AB96" s="95">
        <f>+SUM(AB92:AB95)</f>
        <v>29366</v>
      </c>
      <c r="AC96" s="15"/>
      <c r="AD96" s="9"/>
      <c r="AE96" s="15"/>
      <c r="AF96" s="9"/>
      <c r="AG96" s="13"/>
      <c r="AH96" s="9">
        <v>414.19</v>
      </c>
      <c r="AI96" s="15" t="s">
        <v>13825</v>
      </c>
      <c r="AJ96" s="9"/>
      <c r="AK96" s="15"/>
      <c r="AL96" s="9"/>
      <c r="AM96" s="15"/>
      <c r="AN96" s="9">
        <v>1000</v>
      </c>
      <c r="AO96" s="15" t="s">
        <v>13819</v>
      </c>
      <c r="AP96" s="9"/>
      <c r="AQ96" s="15"/>
      <c r="AR96" s="9">
        <v>2861.23</v>
      </c>
      <c r="AS96" s="15" t="s">
        <v>13969</v>
      </c>
      <c r="AT96" s="137">
        <v>558.48</v>
      </c>
      <c r="AU96" s="15" t="s">
        <v>13992</v>
      </c>
      <c r="AV96" s="9">
        <v>1970</v>
      </c>
      <c r="AW96" s="15" t="s">
        <v>14069</v>
      </c>
      <c r="AX96" s="9"/>
      <c r="AY96" s="15"/>
      <c r="AZ96" s="285">
        <v>1305.6500000000001</v>
      </c>
      <c r="BA96" s="15" t="s">
        <v>14114</v>
      </c>
      <c r="BB96" s="9">
        <v>635</v>
      </c>
      <c r="BC96" s="26" t="s">
        <v>14270</v>
      </c>
      <c r="BD96" s="9">
        <v>55000</v>
      </c>
      <c r="BE96" s="15" t="s">
        <v>14299</v>
      </c>
      <c r="BF96" s="9">
        <v>2417.8200000000002</v>
      </c>
      <c r="BG96" s="15" t="s">
        <v>14335</v>
      </c>
      <c r="BH96" s="9"/>
      <c r="BI96" s="15"/>
      <c r="BJ96" s="9"/>
      <c r="BK96" s="15"/>
      <c r="BL96" s="9"/>
      <c r="BM96" s="15"/>
      <c r="BN96" s="15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  <c r="CO96" s="15"/>
      <c r="CP96" s="9"/>
      <c r="CQ96" s="15"/>
      <c r="CR96" s="9"/>
    </row>
    <row r="97" spans="1:96" x14ac:dyDescent="0.25">
      <c r="A97" s="41"/>
      <c r="B97" s="9"/>
      <c r="C97" s="15"/>
      <c r="D97" s="9"/>
      <c r="E97" s="15"/>
      <c r="F97" s="9">
        <v>2827.05</v>
      </c>
      <c r="G97" s="15" t="s">
        <v>13262</v>
      </c>
      <c r="H97" s="9">
        <v>2040.01</v>
      </c>
      <c r="I97" s="15" t="s">
        <v>13180</v>
      </c>
      <c r="J97" s="15"/>
      <c r="K97" s="15"/>
      <c r="L97" s="9"/>
      <c r="M97" s="15"/>
      <c r="N97" s="9">
        <v>1099.01</v>
      </c>
      <c r="O97" s="15" t="s">
        <v>13398</v>
      </c>
      <c r="P97" s="95">
        <f>+SUM(P92:P96)</f>
        <v>45297.75</v>
      </c>
      <c r="Q97" s="15"/>
      <c r="R97" s="9">
        <v>4395</v>
      </c>
      <c r="S97" s="15" t="s">
        <v>13497</v>
      </c>
      <c r="T97" s="11">
        <v>1099.01</v>
      </c>
      <c r="U97" s="13" t="s">
        <v>13536</v>
      </c>
      <c r="V97" s="137"/>
      <c r="W97" s="15"/>
      <c r="X97" s="193">
        <v>3489</v>
      </c>
      <c r="Y97" s="15" t="s">
        <v>13571</v>
      </c>
      <c r="Z97" s="15"/>
      <c r="AA97" s="15"/>
      <c r="AB97" s="9"/>
      <c r="AC97" s="15"/>
      <c r="AD97" s="9"/>
      <c r="AE97" s="15"/>
      <c r="AF97" s="14">
        <v>9914.83</v>
      </c>
      <c r="AG97" s="13" t="s">
        <v>13779</v>
      </c>
      <c r="AH97" s="9">
        <v>2359.96</v>
      </c>
      <c r="AI97" s="15" t="s">
        <v>13826</v>
      </c>
      <c r="AJ97" s="133"/>
      <c r="AK97" s="15"/>
      <c r="AL97" s="9"/>
      <c r="AM97" s="15"/>
      <c r="AN97" s="9">
        <v>1099.01</v>
      </c>
      <c r="AO97" s="15" t="s">
        <v>13852</v>
      </c>
      <c r="AP97" s="9">
        <v>1099.01</v>
      </c>
      <c r="AQ97" s="15" t="s">
        <v>13918</v>
      </c>
      <c r="AR97" s="9">
        <v>1859.13</v>
      </c>
      <c r="AS97" s="15" t="s">
        <v>13970</v>
      </c>
      <c r="AT97" s="9">
        <v>16167.25</v>
      </c>
      <c r="AU97" s="15" t="s">
        <v>14000</v>
      </c>
      <c r="AV97" s="9">
        <v>2866</v>
      </c>
      <c r="AW97" s="15" t="s">
        <v>14073</v>
      </c>
      <c r="AX97" s="15"/>
      <c r="AY97" s="15"/>
      <c r="AZ97" s="112">
        <v>3250.01</v>
      </c>
      <c r="BA97" s="15" t="s">
        <v>14126</v>
      </c>
      <c r="BB97" s="9">
        <v>3458.01</v>
      </c>
      <c r="BC97" s="15" t="s">
        <v>14273</v>
      </c>
      <c r="BD97" s="9">
        <v>1795.01</v>
      </c>
      <c r="BE97" s="15" t="s">
        <v>14302</v>
      </c>
      <c r="BF97" s="9">
        <v>2866</v>
      </c>
      <c r="BG97" s="15" t="s">
        <v>14336</v>
      </c>
      <c r="BH97" s="9"/>
      <c r="BI97" s="15"/>
      <c r="BJ97" s="229"/>
      <c r="BK97" s="127"/>
      <c r="BL97" s="9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25">
      <c r="A98" s="41"/>
      <c r="B98" s="9"/>
      <c r="C98" s="15"/>
      <c r="D98" s="9"/>
      <c r="E98" s="15"/>
      <c r="F98" s="9">
        <v>1181.4000000000001</v>
      </c>
      <c r="G98" s="15" t="s">
        <v>13235</v>
      </c>
      <c r="H98" s="9">
        <v>1970</v>
      </c>
      <c r="I98" s="15" t="s">
        <v>13182</v>
      </c>
      <c r="J98" s="9"/>
      <c r="K98" s="15"/>
      <c r="L98" s="9">
        <v>1099.01</v>
      </c>
      <c r="M98" s="15" t="s">
        <v>13351</v>
      </c>
      <c r="N98" s="9">
        <v>1099.01</v>
      </c>
      <c r="O98" s="15" t="s">
        <v>13399</v>
      </c>
      <c r="P98" s="15"/>
      <c r="Q98" s="15"/>
      <c r="R98" s="9">
        <v>1099</v>
      </c>
      <c r="S98" s="15" t="s">
        <v>13499</v>
      </c>
      <c r="T98" s="9">
        <v>1970</v>
      </c>
      <c r="U98" s="15" t="s">
        <v>13543</v>
      </c>
      <c r="V98" s="9"/>
      <c r="W98" s="15"/>
      <c r="X98" s="193">
        <v>1099</v>
      </c>
      <c r="Y98" s="15" t="s">
        <v>13577</v>
      </c>
      <c r="Z98" s="15"/>
      <c r="AA98" s="15"/>
      <c r="AB98" s="9"/>
      <c r="AC98" s="15"/>
      <c r="AD98" s="15"/>
      <c r="AE98" s="15"/>
      <c r="AF98" s="9">
        <v>1099</v>
      </c>
      <c r="AG98" s="15" t="s">
        <v>13783</v>
      </c>
      <c r="AH98" s="95">
        <f>+SUM(AH92:AH97)</f>
        <v>11362.16</v>
      </c>
      <c r="AI98" s="15"/>
      <c r="AJ98" s="9"/>
      <c r="AK98" s="15"/>
      <c r="AL98" s="9"/>
      <c r="AM98" s="15"/>
      <c r="AN98" s="95">
        <f>+AN96+AN97</f>
        <v>2099.0100000000002</v>
      </c>
      <c r="AO98" s="15"/>
      <c r="AP98" s="9">
        <v>1970</v>
      </c>
      <c r="AQ98" s="15" t="s">
        <v>13922</v>
      </c>
      <c r="AR98" s="9">
        <v>1995</v>
      </c>
      <c r="AS98" s="15" t="s">
        <v>13979</v>
      </c>
      <c r="AT98" s="51">
        <f>+SUM(AT92:AT97)</f>
        <v>55706.420000000006</v>
      </c>
      <c r="AU98" s="15"/>
      <c r="AV98" s="9">
        <v>1970</v>
      </c>
      <c r="AW98" s="15" t="s">
        <v>14078</v>
      </c>
      <c r="AX98" s="15"/>
      <c r="AY98" s="15"/>
      <c r="AZ98" s="112">
        <v>799.94</v>
      </c>
      <c r="BA98" s="15" t="s">
        <v>14127</v>
      </c>
      <c r="BB98" s="95">
        <f>+SUM(BB92:BB97)</f>
        <v>31908.309999999998</v>
      </c>
      <c r="BC98" s="15"/>
      <c r="BD98" s="9">
        <v>1169</v>
      </c>
      <c r="BE98" s="15" t="s">
        <v>14306</v>
      </c>
      <c r="BF98" s="95">
        <f>+SUM(BF92:BF97)</f>
        <v>13101.289999999999</v>
      </c>
      <c r="BG98" s="15"/>
      <c r="BH98" s="9"/>
      <c r="BI98" s="15"/>
      <c r="BJ98" s="127"/>
      <c r="BK98" s="127"/>
      <c r="BL98" s="9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25">
      <c r="A99" s="41"/>
      <c r="B99" s="9"/>
      <c r="C99" s="15"/>
      <c r="D99" s="15"/>
      <c r="E99" s="15"/>
      <c r="F99" s="95">
        <f>+SUM(F92:F98)</f>
        <v>14196.03</v>
      </c>
      <c r="G99" s="15"/>
      <c r="H99" s="9">
        <v>3169</v>
      </c>
      <c r="I99" s="15" t="s">
        <v>13185</v>
      </c>
      <c r="J99" s="9"/>
      <c r="K99" s="15"/>
      <c r="L99" s="15"/>
      <c r="M99" s="15"/>
      <c r="N99" s="9">
        <v>697.54</v>
      </c>
      <c r="O99" s="15" t="s">
        <v>13403</v>
      </c>
      <c r="P99" s="9"/>
      <c r="Q99" s="15"/>
      <c r="R99" s="95">
        <f>+SUM(R94:R98)</f>
        <v>14521.99</v>
      </c>
      <c r="S99" s="15"/>
      <c r="T99" s="95">
        <f>+SUM(T92:T98)</f>
        <v>21554.999999999996</v>
      </c>
      <c r="U99" s="15"/>
      <c r="V99" s="9"/>
      <c r="W99" s="15"/>
      <c r="X99" s="95">
        <f>+SUM(X96:X98)</f>
        <v>6558</v>
      </c>
      <c r="Y99" s="15"/>
      <c r="Z99" s="15"/>
      <c r="AA99" s="15"/>
      <c r="AB99" s="15"/>
      <c r="AC99" s="15"/>
      <c r="AD99" s="15"/>
      <c r="AE99" s="15"/>
      <c r="AF99" s="9">
        <v>1099</v>
      </c>
      <c r="AG99" s="15" t="s">
        <v>13784</v>
      </c>
      <c r="AH99" s="9"/>
      <c r="AI99" s="15"/>
      <c r="AJ99" s="15"/>
      <c r="AK99" s="15"/>
      <c r="AL99" s="9"/>
      <c r="AM99" s="15"/>
      <c r="AN99" s="9"/>
      <c r="AO99" s="15"/>
      <c r="AP99" s="95">
        <f>+AP97+AP98</f>
        <v>3069.01</v>
      </c>
      <c r="AQ99" s="15"/>
      <c r="AR99" s="95">
        <f>+SUM(AR96:AR98)</f>
        <v>6715.3600000000006</v>
      </c>
      <c r="AS99" s="15"/>
      <c r="AT99" s="95"/>
      <c r="AU99" s="15"/>
      <c r="AV99" s="9">
        <v>127.46</v>
      </c>
      <c r="AW99" s="15" t="s">
        <v>14084</v>
      </c>
      <c r="AX99" s="9"/>
      <c r="AY99" s="15"/>
      <c r="AZ99" s="112">
        <v>12718.56</v>
      </c>
      <c r="BA99" s="15" t="s">
        <v>14129</v>
      </c>
      <c r="BB99" s="9"/>
      <c r="BC99" s="15"/>
      <c r="BD99" s="95">
        <f>+SUM(BD96:BD98)</f>
        <v>57964.01</v>
      </c>
      <c r="BE99" s="15"/>
      <c r="BF99" s="127"/>
      <c r="BG99" s="24"/>
      <c r="BH99" s="15"/>
      <c r="BI99" s="15"/>
      <c r="BJ99" s="127"/>
      <c r="BK99" s="127"/>
      <c r="BL99" s="15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  <c r="CO99" s="15"/>
      <c r="CP99" s="9"/>
      <c r="CQ99" s="15"/>
      <c r="CR99" s="9"/>
    </row>
    <row r="100" spans="1:96" x14ac:dyDescent="0.25">
      <c r="A100" s="41"/>
      <c r="B100" s="9"/>
      <c r="C100" s="15"/>
      <c r="D100" s="9"/>
      <c r="E100" s="15"/>
      <c r="F100" s="9"/>
      <c r="G100" s="15"/>
      <c r="H100" s="9">
        <v>3518.99</v>
      </c>
      <c r="I100" s="15" t="s">
        <v>13189</v>
      </c>
      <c r="J100" s="9"/>
      <c r="K100" s="15"/>
      <c r="L100" s="9"/>
      <c r="M100" s="15"/>
      <c r="N100" s="95">
        <f>+SUM(N97:N99)</f>
        <v>2895.56</v>
      </c>
      <c r="O100" s="15"/>
      <c r="P100" s="9"/>
      <c r="Q100" s="15"/>
      <c r="R100" s="9"/>
      <c r="S100" s="15"/>
      <c r="T100" s="9"/>
      <c r="U100" s="15"/>
      <c r="V100" s="9"/>
      <c r="W100" s="15"/>
      <c r="X100" s="9"/>
      <c r="Y100" s="15"/>
      <c r="Z100" s="15"/>
      <c r="AA100" s="15"/>
      <c r="AB100" s="9"/>
      <c r="AC100" s="15"/>
      <c r="AD100" s="9"/>
      <c r="AE100" s="15"/>
      <c r="AF100" s="9">
        <v>1099</v>
      </c>
      <c r="AG100" s="15" t="s">
        <v>13786</v>
      </c>
      <c r="AH100" s="15"/>
      <c r="AI100" s="15"/>
      <c r="AJ100" s="9"/>
      <c r="AK100" s="15"/>
      <c r="AL100" s="15"/>
      <c r="AM100" s="15"/>
      <c r="AN100" s="9"/>
      <c r="AO100" s="15"/>
      <c r="AP100" s="15"/>
      <c r="AQ100" s="15"/>
      <c r="AR100" s="15"/>
      <c r="AS100" s="15"/>
      <c r="AT100" s="9">
        <v>1099</v>
      </c>
      <c r="AU100" s="15" t="s">
        <v>14032</v>
      </c>
      <c r="AV100" s="95">
        <f>+SUM(AV92:AV99)</f>
        <v>17423.46</v>
      </c>
      <c r="AW100" s="15"/>
      <c r="AX100" s="15"/>
      <c r="AY100" s="15"/>
      <c r="AZ100" s="112">
        <v>1099.01</v>
      </c>
      <c r="BA100" s="15" t="s">
        <v>14130</v>
      </c>
      <c r="BB100" s="15"/>
      <c r="BC100" s="15"/>
      <c r="BD100" s="9"/>
      <c r="BE100" s="15"/>
      <c r="BF100" s="15"/>
      <c r="BG100" s="15"/>
      <c r="BH100" s="9"/>
      <c r="BI100" s="15"/>
      <c r="BJ100" s="127"/>
      <c r="BK100" s="127"/>
      <c r="BL100" s="15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  <c r="CO100" s="15"/>
      <c r="CP100" s="9"/>
      <c r="CQ100" s="15"/>
      <c r="CR100" s="9"/>
    </row>
    <row r="101" spans="1:96" x14ac:dyDescent="0.25">
      <c r="A101" s="41"/>
      <c r="B101" s="15"/>
      <c r="C101" s="15"/>
      <c r="D101" s="9"/>
      <c r="E101" s="15"/>
      <c r="F101" s="9"/>
      <c r="G101" s="15"/>
      <c r="H101" s="95">
        <f>+SUM(H92:H100)</f>
        <v>27109.909999999996</v>
      </c>
      <c r="I101" s="15"/>
      <c r="J101" s="9"/>
      <c r="K101" s="15"/>
      <c r="L101" s="9"/>
      <c r="M101" s="15"/>
      <c r="N101" s="15"/>
      <c r="O101" s="15"/>
      <c r="P101" s="9"/>
      <c r="Q101" s="15"/>
      <c r="R101" s="9"/>
      <c r="S101" s="15"/>
      <c r="T101" s="15"/>
      <c r="U101" s="15"/>
      <c r="V101" s="15"/>
      <c r="W101" s="15"/>
      <c r="X101" s="9"/>
      <c r="Y101" s="15"/>
      <c r="Z101" s="15"/>
      <c r="AA101" s="15"/>
      <c r="AB101" s="9"/>
      <c r="AC101" s="15"/>
      <c r="AD101" s="9"/>
      <c r="AE101" s="15"/>
      <c r="AF101" s="95">
        <f>+AF97+AF98+AF99+AF100</f>
        <v>13211.83</v>
      </c>
      <c r="AG101" s="15"/>
      <c r="AH101" s="9"/>
      <c r="AI101" s="15"/>
      <c r="AJ101" s="9"/>
      <c r="AK101" s="15"/>
      <c r="AL101" s="9"/>
      <c r="AM101" s="15"/>
      <c r="AN101" s="15"/>
      <c r="AO101" s="15"/>
      <c r="AP101" s="15"/>
      <c r="AQ101" s="15"/>
      <c r="AR101" s="9"/>
      <c r="AS101" s="15"/>
      <c r="AT101" s="9">
        <v>4395.01</v>
      </c>
      <c r="AU101" s="15" t="s">
        <v>14033</v>
      </c>
      <c r="AV101" s="9"/>
      <c r="AW101" s="15"/>
      <c r="AX101" s="15"/>
      <c r="AY101" s="15"/>
      <c r="AZ101" s="112">
        <v>1179.23</v>
      </c>
      <c r="BA101" s="15" t="s">
        <v>14131</v>
      </c>
      <c r="BB101" s="9"/>
      <c r="BC101" s="15"/>
      <c r="BD101" s="9"/>
      <c r="BE101" s="15"/>
      <c r="BF101" s="9"/>
      <c r="BG101" s="15"/>
      <c r="BH101" s="9"/>
      <c r="BI101" s="15"/>
      <c r="BJ101" s="127"/>
      <c r="BK101" s="127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  <c r="CO101" s="15"/>
      <c r="CP101" s="9"/>
      <c r="CQ101" s="15"/>
      <c r="CR101" s="9"/>
    </row>
    <row r="102" spans="1:96" x14ac:dyDescent="0.25">
      <c r="A102" s="41"/>
      <c r="B102" s="9"/>
      <c r="C102" s="15"/>
      <c r="D102" s="9"/>
      <c r="E102" s="15"/>
      <c r="F102" s="9"/>
      <c r="G102" s="15"/>
      <c r="H102" s="15"/>
      <c r="I102" s="15"/>
      <c r="J102" s="15"/>
      <c r="K102" s="15"/>
      <c r="L102" s="9"/>
      <c r="M102" s="15"/>
      <c r="N102" s="9"/>
      <c r="O102" s="15"/>
      <c r="P102" s="9"/>
      <c r="Q102" s="15"/>
      <c r="R102" s="15"/>
      <c r="S102" s="15"/>
      <c r="T102" s="9"/>
      <c r="U102" s="15"/>
      <c r="V102" s="9"/>
      <c r="W102" s="15"/>
      <c r="X102" s="9"/>
      <c r="Y102" s="15"/>
      <c r="Z102" s="15"/>
      <c r="AA102" s="15"/>
      <c r="AB102" s="9"/>
      <c r="AC102" s="15"/>
      <c r="AD102" s="9"/>
      <c r="AE102" s="15"/>
      <c r="AF102" s="9"/>
      <c r="AG102" s="15"/>
      <c r="AH102" s="15"/>
      <c r="AI102" s="15"/>
      <c r="AJ102" s="9"/>
      <c r="AK102" s="15"/>
      <c r="AL102" s="9"/>
      <c r="AM102" s="15"/>
      <c r="AN102" s="9"/>
      <c r="AO102" s="15"/>
      <c r="AP102" s="9"/>
      <c r="AQ102" s="15"/>
      <c r="AR102" s="9"/>
      <c r="AS102" s="15"/>
      <c r="AT102" s="9">
        <v>3250</v>
      </c>
      <c r="AU102" s="15" t="s">
        <v>14034</v>
      </c>
      <c r="AV102" s="9"/>
      <c r="AW102" s="15"/>
      <c r="AX102" s="9"/>
      <c r="AY102" s="15"/>
      <c r="AZ102" s="112">
        <v>3250</v>
      </c>
      <c r="BA102" s="15" t="s">
        <v>14133</v>
      </c>
      <c r="BB102" s="9"/>
      <c r="BC102" s="15"/>
      <c r="BD102" s="9"/>
      <c r="BE102" s="15"/>
      <c r="BF102" s="9"/>
      <c r="BG102" s="15"/>
      <c r="BH102" s="9"/>
      <c r="BI102" s="15"/>
      <c r="BJ102" s="127"/>
      <c r="BK102" s="127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  <c r="CO102" s="15"/>
      <c r="CP102" s="9"/>
      <c r="CQ102" s="15"/>
      <c r="CR102" s="9"/>
    </row>
    <row r="103" spans="1:96" x14ac:dyDescent="0.25">
      <c r="A103" s="41"/>
      <c r="B103" s="9"/>
      <c r="C103" s="15"/>
      <c r="D103" s="9"/>
      <c r="E103" s="15"/>
      <c r="F103" s="9"/>
      <c r="G103" s="15"/>
      <c r="H103" s="15"/>
      <c r="I103" s="15"/>
      <c r="J103" s="9"/>
      <c r="K103" s="15"/>
      <c r="L103" s="9"/>
      <c r="M103" s="15"/>
      <c r="N103" s="9"/>
      <c r="O103" s="15"/>
      <c r="P103" s="15"/>
      <c r="Q103" s="15"/>
      <c r="R103" s="15"/>
      <c r="S103" s="15"/>
      <c r="T103" s="9"/>
      <c r="U103" s="15"/>
      <c r="V103" s="9"/>
      <c r="W103" s="15"/>
      <c r="X103" s="9"/>
      <c r="Y103" s="15"/>
      <c r="Z103" s="15"/>
      <c r="AA103" s="15"/>
      <c r="AB103" s="9"/>
      <c r="AC103" s="15"/>
      <c r="AD103" s="9"/>
      <c r="AE103" s="15"/>
      <c r="AF103" s="9"/>
      <c r="AG103" s="15"/>
      <c r="AH103" s="9"/>
      <c r="AI103" s="15"/>
      <c r="AJ103" s="9"/>
      <c r="AK103" s="15"/>
      <c r="AL103" s="15"/>
      <c r="AM103" s="15"/>
      <c r="AN103" s="9"/>
      <c r="AO103" s="15"/>
      <c r="AP103" s="15"/>
      <c r="AQ103" s="15"/>
      <c r="AR103" s="15"/>
      <c r="AS103" s="15"/>
      <c r="AT103" s="95">
        <f>+AT100+AT101+AT102</f>
        <v>8744.01</v>
      </c>
      <c r="AU103" s="15"/>
      <c r="AV103" s="15"/>
      <c r="AW103" s="15"/>
      <c r="AX103" s="9"/>
      <c r="AY103" s="15"/>
      <c r="AZ103" s="112">
        <v>1099</v>
      </c>
      <c r="BA103" s="15" t="s">
        <v>14145</v>
      </c>
      <c r="BB103" s="9"/>
      <c r="BC103" s="15"/>
      <c r="BD103" s="9"/>
      <c r="BE103" s="15"/>
      <c r="BF103" s="9"/>
      <c r="BG103" s="15"/>
      <c r="BH103" s="9"/>
      <c r="BI103" s="15"/>
      <c r="BJ103" s="127"/>
      <c r="BK103" s="127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  <c r="CO103" s="15"/>
      <c r="CP103" s="9"/>
      <c r="CQ103" s="15"/>
      <c r="CR103" s="9"/>
    </row>
    <row r="104" spans="1:96" x14ac:dyDescent="0.25">
      <c r="A104" s="41"/>
      <c r="B104" s="9"/>
      <c r="C104" s="15"/>
      <c r="D104" s="15"/>
      <c r="E104" s="15"/>
      <c r="F104" s="9"/>
      <c r="G104" s="15"/>
      <c r="H104" s="9"/>
      <c r="I104" s="15"/>
      <c r="J104" s="9"/>
      <c r="K104" s="15"/>
      <c r="L104" s="9"/>
      <c r="M104" s="15"/>
      <c r="N104" s="9"/>
      <c r="O104" s="15"/>
      <c r="P104" s="9"/>
      <c r="Q104" s="15"/>
      <c r="R104" s="15"/>
      <c r="S104" s="15"/>
      <c r="T104" s="15"/>
      <c r="U104" s="15"/>
      <c r="V104" s="9"/>
      <c r="W104" s="15"/>
      <c r="X104" s="9"/>
      <c r="Y104" s="15"/>
      <c r="Z104" s="15"/>
      <c r="AA104" s="15"/>
      <c r="AB104" s="15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"/>
      <c r="AQ104" s="15"/>
      <c r="AR104" s="9"/>
      <c r="AS104" s="15"/>
      <c r="AT104" s="9"/>
      <c r="AU104" s="15"/>
      <c r="AV104" s="9"/>
      <c r="AW104" s="15"/>
      <c r="AX104" s="9"/>
      <c r="AY104" s="15"/>
      <c r="AZ104" s="95">
        <f>+SUM(AZ96:AZ103)</f>
        <v>24701.399999999998</v>
      </c>
      <c r="BA104" s="15"/>
      <c r="BB104" s="9"/>
      <c r="BC104" s="15"/>
      <c r="BD104" s="9"/>
      <c r="BE104" s="15"/>
      <c r="BF104" s="9"/>
      <c r="BG104" s="15"/>
      <c r="BH104" s="9"/>
      <c r="BI104" s="15"/>
      <c r="BJ104" s="127"/>
      <c r="BK104" s="127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  <c r="CO104" s="15"/>
      <c r="CP104" s="9"/>
      <c r="CQ104" s="15"/>
      <c r="CR104" s="9"/>
    </row>
    <row r="105" spans="1:96" x14ac:dyDescent="0.25">
      <c r="A105" s="41"/>
      <c r="B105" s="9"/>
      <c r="C105" s="15"/>
      <c r="D105" s="9"/>
      <c r="E105" s="15"/>
      <c r="F105" s="15"/>
      <c r="G105" s="15"/>
      <c r="H105" s="9"/>
      <c r="I105" s="15"/>
      <c r="J105" s="15"/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15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9"/>
      <c r="AM105" s="15"/>
      <c r="AN105" s="15"/>
      <c r="AO105" s="15"/>
      <c r="AP105" s="15"/>
      <c r="AQ105" s="15"/>
      <c r="AR105" s="9"/>
      <c r="AS105" s="15"/>
      <c r="AT105" s="15"/>
      <c r="AU105" s="15"/>
      <c r="AV105" s="9"/>
      <c r="AW105" s="15"/>
      <c r="AX105" s="15"/>
      <c r="AY105" s="15"/>
      <c r="AZ105" s="9"/>
      <c r="BA105" s="15"/>
      <c r="BB105" s="9"/>
      <c r="BC105" s="15"/>
      <c r="BD105" s="9"/>
      <c r="BE105" s="15"/>
      <c r="BF105" s="9"/>
      <c r="BG105" s="15"/>
      <c r="BH105" s="9"/>
      <c r="BI105" s="15"/>
      <c r="BJ105" s="127"/>
      <c r="BK105" s="127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  <c r="CO105" s="15"/>
      <c r="CP105" s="9"/>
      <c r="CQ105" s="15"/>
      <c r="CR105" s="9"/>
    </row>
    <row r="106" spans="1:96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15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15"/>
      <c r="AA106" s="15"/>
      <c r="AB106" s="9"/>
      <c r="AC106" s="15"/>
      <c r="AD106" s="9"/>
      <c r="AE106" s="15"/>
      <c r="AF106" s="9"/>
      <c r="AG106" s="15"/>
      <c r="AH106" s="15"/>
      <c r="AI106" s="15"/>
      <c r="AJ106" s="15"/>
      <c r="AK106" s="15"/>
      <c r="AL106" s="9"/>
      <c r="AM106" s="15"/>
      <c r="AN106" s="9"/>
      <c r="AO106" s="15"/>
      <c r="AP106" s="9"/>
      <c r="AQ106" s="15"/>
      <c r="AR106" s="15"/>
      <c r="AS106" s="15"/>
      <c r="AT106" s="15"/>
      <c r="AU106" s="15"/>
      <c r="AV106" s="15"/>
      <c r="AW106" s="15"/>
      <c r="AX106" s="9"/>
      <c r="AY106" s="15"/>
      <c r="AZ106" s="9"/>
      <c r="BA106" s="15"/>
      <c r="BB106" s="15"/>
      <c r="BC106" s="15"/>
      <c r="BD106" s="15"/>
      <c r="BE106" s="15"/>
      <c r="BF106" s="9"/>
      <c r="BG106" s="15"/>
      <c r="BH106" s="9"/>
      <c r="BI106" s="15"/>
      <c r="BJ106" s="15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  <c r="CO106" s="15"/>
      <c r="CP106" s="9"/>
      <c r="CQ106" s="15"/>
      <c r="CR106" s="9"/>
    </row>
    <row r="107" spans="1:96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15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15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9"/>
      <c r="AU107" s="15"/>
      <c r="AV107" s="15"/>
      <c r="AW107" s="15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9"/>
      <c r="BI107" s="15"/>
      <c r="BJ107" s="15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  <c r="CO107" s="15"/>
      <c r="CP107" s="9"/>
      <c r="CQ107" s="15"/>
      <c r="CR107" s="9"/>
    </row>
    <row r="108" spans="1:96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15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  <c r="CO108" s="15"/>
      <c r="CP108" s="9"/>
      <c r="CQ108" s="15"/>
      <c r="CR108" s="9"/>
    </row>
    <row r="109" spans="1:96" x14ac:dyDescent="0.25">
      <c r="A109" s="41"/>
      <c r="B109" s="9"/>
      <c r="C109" s="15"/>
      <c r="D109" s="9"/>
      <c r="E109" s="15"/>
      <c r="F109" s="15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15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  <c r="CO109" s="15"/>
      <c r="CP109" s="9"/>
      <c r="CQ109" s="15"/>
      <c r="CR109" s="9"/>
    </row>
    <row r="110" spans="1:96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3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  <c r="CO110" s="13"/>
      <c r="CP110" s="11"/>
      <c r="CQ110" s="13"/>
      <c r="CR110" s="11"/>
    </row>
    <row r="111" spans="1:96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3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11"/>
      <c r="AS111" s="13"/>
      <c r="AT111" s="23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  <c r="CO111" s="13"/>
      <c r="CP111" s="11"/>
      <c r="CQ111" s="13"/>
      <c r="CR111" s="11"/>
    </row>
    <row r="112" spans="1:96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3"/>
      <c r="AA112" s="13"/>
      <c r="AB112" s="11"/>
      <c r="AC112" s="13"/>
      <c r="AD112" s="14"/>
      <c r="AE112" s="2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1"/>
      <c r="AS112" s="13"/>
      <c r="AT112" s="13"/>
      <c r="AU112" s="13"/>
      <c r="AV112" s="11"/>
      <c r="AW112" s="13"/>
      <c r="AX112" s="11"/>
      <c r="AY112" s="13"/>
      <c r="AZ112" s="9"/>
      <c r="BA112" s="26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  <c r="CO112" s="13"/>
      <c r="CP112" s="11"/>
      <c r="CQ112" s="13"/>
      <c r="CR112" s="11"/>
    </row>
    <row r="113" spans="1:96" x14ac:dyDescent="0.25">
      <c r="A113" s="43"/>
      <c r="B113" s="11"/>
      <c r="C113" s="13"/>
      <c r="D113" s="11"/>
      <c r="E113" s="13"/>
      <c r="F113" s="11"/>
      <c r="G113" s="13"/>
      <c r="H113" s="11"/>
      <c r="I113" s="13"/>
      <c r="J113" s="11"/>
      <c r="K113" s="13"/>
      <c r="L113" s="11"/>
      <c r="M113" s="13"/>
      <c r="N113" s="11"/>
      <c r="O113" s="13"/>
      <c r="P113" s="11"/>
      <c r="Q113" s="13"/>
      <c r="R113" s="11"/>
      <c r="S113" s="13"/>
      <c r="T113" s="11"/>
      <c r="U113" s="13"/>
      <c r="V113" s="11"/>
      <c r="W113" s="13"/>
      <c r="X113" s="11"/>
      <c r="Y113" s="13"/>
      <c r="Z113" s="13"/>
      <c r="AA113" s="13"/>
      <c r="AB113" s="11"/>
      <c r="AC113" s="13"/>
      <c r="AD113" s="14"/>
      <c r="AE113" s="23"/>
      <c r="AF113" s="11"/>
      <c r="AG113" s="13"/>
      <c r="AH113" s="11"/>
      <c r="AI113" s="13"/>
      <c r="AJ113" s="11"/>
      <c r="AK113" s="13"/>
      <c r="AL113" s="11"/>
      <c r="AM113" s="13"/>
      <c r="AN113" s="11"/>
      <c r="AO113" s="13"/>
      <c r="AP113" s="11"/>
      <c r="AQ113" s="13"/>
      <c r="AR113" s="11"/>
      <c r="AS113" s="13"/>
      <c r="AT113" s="13"/>
      <c r="AU113" s="13"/>
      <c r="AV113" s="11"/>
      <c r="AW113" s="13"/>
      <c r="AX113" s="11"/>
      <c r="AY113" s="13"/>
      <c r="AZ113" s="23"/>
      <c r="BA113" s="13"/>
      <c r="BB113" s="11"/>
      <c r="BC113" s="13"/>
      <c r="BD113" s="11"/>
      <c r="BE113" s="13"/>
      <c r="BF113" s="11"/>
      <c r="BG113" s="13"/>
      <c r="BH113" s="11"/>
      <c r="BI113" s="13"/>
      <c r="BJ113" s="11"/>
      <c r="BK113" s="13"/>
      <c r="BL113" s="11"/>
      <c r="BM113" s="13"/>
      <c r="BN113" s="11"/>
      <c r="BO113" s="13"/>
      <c r="BP113" s="11"/>
      <c r="BQ113" s="13"/>
      <c r="BR113" s="11"/>
      <c r="BS113" s="13"/>
      <c r="BT113" s="11"/>
      <c r="BU113" s="13"/>
      <c r="BV113" s="11"/>
      <c r="BW113" s="13"/>
      <c r="BX113" s="11"/>
      <c r="BY113" s="13"/>
      <c r="BZ113" s="11"/>
      <c r="CA113" s="13"/>
      <c r="CB113" s="11"/>
      <c r="CC113" s="13"/>
      <c r="CD113" s="11"/>
      <c r="CE113" s="13"/>
      <c r="CF113" s="11"/>
      <c r="CG113" s="13"/>
      <c r="CH113" s="11"/>
      <c r="CI113" s="13"/>
      <c r="CJ113" s="11"/>
      <c r="CK113" s="13"/>
      <c r="CL113" s="11"/>
      <c r="CM113" s="13"/>
      <c r="CN113" s="11"/>
      <c r="CO113" s="13"/>
      <c r="CP113" s="11"/>
      <c r="CQ113" s="13"/>
      <c r="CR113" s="11"/>
    </row>
    <row r="114" spans="1:96" x14ac:dyDescent="0.25">
      <c r="A114" s="42" t="s">
        <v>7</v>
      </c>
      <c r="B114" s="23"/>
      <c r="C114" s="23"/>
      <c r="D114" s="14">
        <v>2861</v>
      </c>
      <c r="E114" s="23" t="s">
        <v>13149</v>
      </c>
      <c r="F114" s="9"/>
      <c r="G114" s="15"/>
      <c r="H114" s="23"/>
      <c r="I114" s="23"/>
      <c r="J114" s="14">
        <v>464</v>
      </c>
      <c r="K114" s="23" t="s">
        <v>13288</v>
      </c>
      <c r="L114" s="23"/>
      <c r="M114" s="23"/>
      <c r="N114" s="23"/>
      <c r="O114" s="23"/>
      <c r="P114" s="14">
        <v>2040.01</v>
      </c>
      <c r="Q114" s="23" t="s">
        <v>13432</v>
      </c>
      <c r="R114" s="14"/>
      <c r="S114" s="23"/>
      <c r="T114" s="14">
        <v>6112.5</v>
      </c>
      <c r="U114" s="23" t="s">
        <v>13541</v>
      </c>
      <c r="V114" s="14"/>
      <c r="W114" s="23"/>
      <c r="X114" s="9">
        <v>1392</v>
      </c>
      <c r="Y114" s="15" t="s">
        <v>13588</v>
      </c>
      <c r="Z114" s="23"/>
      <c r="AA114" s="23"/>
      <c r="AB114" s="9"/>
      <c r="AC114" s="15"/>
      <c r="AD114" s="23"/>
      <c r="AE114" s="23"/>
      <c r="AF114" s="23"/>
      <c r="AG114" s="23"/>
      <c r="AH114" s="14"/>
      <c r="AI114" s="23"/>
      <c r="AJ114" s="23"/>
      <c r="AK114" s="14"/>
      <c r="AL114" s="23"/>
      <c r="AM114" s="14"/>
      <c r="AN114" s="14"/>
      <c r="AO114" s="23"/>
      <c r="AP114" s="14"/>
      <c r="AQ114" s="23"/>
      <c r="AR114" s="23">
        <v>1187.5999999999999</v>
      </c>
      <c r="AS114" s="23" t="s">
        <v>13964</v>
      </c>
      <c r="AT114" s="14">
        <v>1970</v>
      </c>
      <c r="AU114" s="23" t="s">
        <v>13988</v>
      </c>
      <c r="AV114" s="14"/>
      <c r="AW114" s="23"/>
      <c r="AX114" s="14"/>
      <c r="AY114" s="23"/>
      <c r="AZ114" s="14">
        <v>1740</v>
      </c>
      <c r="BA114" s="23" t="s">
        <v>14111</v>
      </c>
      <c r="BB114" s="23">
        <v>3168.99</v>
      </c>
      <c r="BC114" s="23" t="s">
        <v>14162</v>
      </c>
      <c r="BD114" s="14"/>
      <c r="BE114" s="23"/>
      <c r="BF114" s="15"/>
      <c r="BG114" s="15"/>
      <c r="BH114" s="15"/>
      <c r="BI114" s="15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  <c r="CO114" s="23"/>
      <c r="CP114" s="14"/>
      <c r="CQ114" s="23"/>
      <c r="CR114" s="14"/>
    </row>
    <row r="115" spans="1:96" x14ac:dyDescent="0.25">
      <c r="A115" s="42"/>
      <c r="B115" s="14"/>
      <c r="C115" s="23"/>
      <c r="D115" s="14"/>
      <c r="E115" s="23"/>
      <c r="F115" s="14"/>
      <c r="G115" s="23"/>
      <c r="H115" s="14"/>
      <c r="I115" s="23"/>
      <c r="J115" s="14"/>
      <c r="K115" s="23"/>
      <c r="L115" s="14"/>
      <c r="M115" s="23"/>
      <c r="N115" s="14"/>
      <c r="O115" s="23"/>
      <c r="P115" s="14"/>
      <c r="Q115" s="23"/>
      <c r="R115" s="14"/>
      <c r="S115" s="23"/>
      <c r="T115" s="14"/>
      <c r="U115" s="23"/>
      <c r="V115" s="14"/>
      <c r="W115" s="23"/>
      <c r="X115" s="14"/>
      <c r="Y115" s="23"/>
      <c r="Z115" s="23"/>
      <c r="AA115" s="23"/>
      <c r="AB115" s="14"/>
      <c r="AC115" s="23"/>
      <c r="AD115" s="14"/>
      <c r="AE115" s="23"/>
      <c r="AF115" s="14"/>
      <c r="AG115" s="23"/>
      <c r="AH115" s="14"/>
      <c r="AI115" s="23"/>
      <c r="AJ115" s="14"/>
      <c r="AK115" s="23"/>
      <c r="AL115" s="14"/>
      <c r="AM115" s="23"/>
      <c r="AN115" s="14"/>
      <c r="AO115" s="23"/>
      <c r="AP115" s="23"/>
      <c r="AQ115" s="23"/>
      <c r="AR115" s="14"/>
      <c r="AS115" s="23"/>
      <c r="AT115" s="14"/>
      <c r="AU115" s="23"/>
      <c r="AV115" s="14"/>
      <c r="AW115" s="23"/>
      <c r="AX115" s="14"/>
      <c r="AY115" s="23"/>
      <c r="AZ115" s="14">
        <v>867.83</v>
      </c>
      <c r="BA115" s="23" t="s">
        <v>14117</v>
      </c>
      <c r="BB115" s="14"/>
      <c r="BC115" s="23"/>
      <c r="BD115" s="14"/>
      <c r="BE115" s="23"/>
      <c r="BF115" s="14"/>
      <c r="BG115" s="23"/>
      <c r="BH115" s="14"/>
      <c r="BI115" s="23"/>
      <c r="BJ115" s="14"/>
      <c r="BK115" s="23"/>
      <c r="BL115" s="14"/>
      <c r="BM115" s="23"/>
      <c r="BN115" s="14"/>
      <c r="BO115" s="23"/>
      <c r="BP115" s="14"/>
      <c r="BQ115" s="23"/>
      <c r="BR115" s="14"/>
      <c r="BS115" s="23"/>
      <c r="BT115" s="14"/>
      <c r="BU115" s="23"/>
      <c r="BV115" s="14"/>
      <c r="BW115" s="23"/>
      <c r="BX115" s="14"/>
      <c r="BY115" s="23"/>
      <c r="BZ115" s="14"/>
      <c r="CA115" s="23"/>
      <c r="CB115" s="14"/>
      <c r="CC115" s="23"/>
      <c r="CD115" s="14"/>
      <c r="CE115" s="23"/>
      <c r="CF115" s="14"/>
      <c r="CG115" s="23"/>
      <c r="CH115" s="14"/>
      <c r="CI115" s="23"/>
      <c r="CJ115" s="14"/>
      <c r="CK115" s="23"/>
      <c r="CL115" s="14"/>
      <c r="CM115" s="23"/>
      <c r="CN115" s="14"/>
      <c r="CO115" s="23"/>
      <c r="CP115" s="14"/>
      <c r="CQ115" s="23"/>
      <c r="CR115" s="14"/>
    </row>
    <row r="116" spans="1:96" x14ac:dyDescent="0.25">
      <c r="A116" s="42"/>
      <c r="B116" s="14"/>
      <c r="C116" s="23"/>
      <c r="D116" s="23"/>
      <c r="E116" s="23"/>
      <c r="F116" s="23"/>
      <c r="G116" s="23"/>
      <c r="H116" s="23"/>
      <c r="I116" s="23"/>
      <c r="J116" s="14"/>
      <c r="K116" s="23"/>
      <c r="L116" s="23"/>
      <c r="M116" s="23"/>
      <c r="N116" s="23"/>
      <c r="O116" s="23"/>
      <c r="P116" s="23"/>
      <c r="Q116" s="23"/>
      <c r="R116" s="14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14"/>
      <c r="AI116" s="23"/>
      <c r="AJ116" s="14"/>
      <c r="AK116" s="23"/>
      <c r="AL116" s="23"/>
      <c r="AM116" s="23"/>
      <c r="AN116" s="23"/>
      <c r="AO116" s="23"/>
      <c r="AP116" s="23"/>
      <c r="AQ116" s="23"/>
      <c r="AR116" s="23"/>
      <c r="AS116" s="23"/>
      <c r="AT116" s="14">
        <v>1970</v>
      </c>
      <c r="AU116" s="23" t="s">
        <v>14031</v>
      </c>
      <c r="AV116" s="14"/>
      <c r="AW116" s="23"/>
      <c r="AX116" s="23"/>
      <c r="AY116" s="23"/>
      <c r="AZ116" s="111">
        <f>+AZ114+AZ115</f>
        <v>2607.83</v>
      </c>
      <c r="BA116" s="23"/>
      <c r="BB116" s="14"/>
      <c r="BC116" s="23"/>
      <c r="BD116" s="23"/>
      <c r="BE116" s="23"/>
      <c r="BF116" s="14"/>
      <c r="BG116" s="23"/>
      <c r="BH116" s="23"/>
      <c r="BI116" s="23"/>
      <c r="BJ116" s="153"/>
      <c r="BK116" s="120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</row>
    <row r="117" spans="1:96" x14ac:dyDescent="0.25">
      <c r="A117" s="43"/>
      <c r="B117" s="23"/>
      <c r="C117" s="13"/>
      <c r="D117" s="11"/>
      <c r="E117" s="13"/>
      <c r="F117" s="11"/>
      <c r="G117" s="13"/>
      <c r="H117" s="11"/>
      <c r="I117" s="13"/>
      <c r="J117" s="13"/>
      <c r="K117" s="13"/>
      <c r="L117" s="11"/>
      <c r="M117" s="13"/>
      <c r="N117" s="11"/>
      <c r="O117" s="13"/>
      <c r="P117" s="23"/>
      <c r="Q117" s="13"/>
      <c r="R117" s="14"/>
      <c r="S117" s="13"/>
      <c r="T117" s="11"/>
      <c r="U117" s="13"/>
      <c r="V117" s="11"/>
      <c r="W117" s="13"/>
      <c r="X117" s="11"/>
      <c r="Y117" s="13"/>
      <c r="Z117" s="13"/>
      <c r="AA117" s="13"/>
      <c r="AB117" s="11"/>
      <c r="AC117" s="13"/>
      <c r="AD117" s="11"/>
      <c r="AE117" s="13"/>
      <c r="AF117" s="11"/>
      <c r="AG117" s="13"/>
      <c r="AH117" s="15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"/>
      <c r="AS117" s="13"/>
      <c r="AT117" s="23"/>
      <c r="AU117" s="13"/>
      <c r="AV117" s="11"/>
      <c r="AW117" s="13"/>
      <c r="AX117" s="11"/>
      <c r="AY117" s="13"/>
      <c r="AZ117" s="11"/>
      <c r="BA117" s="13"/>
      <c r="BB117" s="11"/>
      <c r="BC117" s="13"/>
      <c r="BD117" s="11"/>
      <c r="BE117" s="13"/>
      <c r="BF117" s="15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  <c r="CO117" s="13"/>
      <c r="CP117" s="11"/>
      <c r="CQ117" s="13"/>
      <c r="CR117" s="11"/>
    </row>
    <row r="118" spans="1:96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23"/>
      <c r="S118" s="13"/>
      <c r="T118" s="11"/>
      <c r="U118" s="13"/>
      <c r="V118" s="11"/>
      <c r="W118" s="13"/>
      <c r="X118" s="11"/>
      <c r="Y118" s="13"/>
      <c r="Z118" s="13"/>
      <c r="AA118" s="13"/>
      <c r="AB118" s="11"/>
      <c r="AC118" s="13"/>
      <c r="AD118" s="11"/>
      <c r="AE118" s="13"/>
      <c r="AF118" s="11"/>
      <c r="AG118" s="13"/>
      <c r="AH118" s="11"/>
      <c r="AI118" s="13"/>
      <c r="AJ118" s="23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23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  <c r="CO118" s="13"/>
      <c r="CP118" s="11"/>
      <c r="CQ118" s="13"/>
      <c r="CR118" s="11"/>
    </row>
    <row r="119" spans="1:96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3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  <c r="CO119" s="13"/>
      <c r="CP119" s="11"/>
      <c r="CQ119" s="13"/>
      <c r="CR119" s="11"/>
    </row>
    <row r="120" spans="1:96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3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  <c r="CO120" s="13"/>
      <c r="CP120" s="11"/>
      <c r="CQ120" s="13"/>
      <c r="CR120" s="11"/>
    </row>
    <row r="121" spans="1:96" x14ac:dyDescent="0.25">
      <c r="A121" s="43"/>
      <c r="B121" s="11"/>
      <c r="C121" s="13"/>
      <c r="D121" s="11"/>
      <c r="E121" s="13"/>
      <c r="F121" s="11"/>
      <c r="G121" s="13"/>
      <c r="H121" s="11"/>
      <c r="I121" s="13"/>
      <c r="J121" s="11"/>
      <c r="K121" s="13"/>
      <c r="L121" s="11"/>
      <c r="M121" s="13"/>
      <c r="N121" s="11"/>
      <c r="O121" s="13"/>
      <c r="P121" s="11"/>
      <c r="Q121" s="13"/>
      <c r="R121" s="11"/>
      <c r="S121" s="13"/>
      <c r="T121" s="11"/>
      <c r="U121" s="13"/>
      <c r="V121" s="11"/>
      <c r="W121" s="13"/>
      <c r="X121" s="11"/>
      <c r="Y121" s="13"/>
      <c r="Z121" s="13"/>
      <c r="AA121" s="13"/>
      <c r="AB121" s="11"/>
      <c r="AC121" s="13"/>
      <c r="AD121" s="11"/>
      <c r="AE121" s="13"/>
      <c r="AF121" s="11"/>
      <c r="AG121" s="13"/>
      <c r="AH121" s="11"/>
      <c r="AI121" s="13"/>
      <c r="AJ121" s="11"/>
      <c r="AK121" s="13"/>
      <c r="AL121" s="11"/>
      <c r="AM121" s="13"/>
      <c r="AN121" s="11"/>
      <c r="AO121" s="13"/>
      <c r="AP121" s="11"/>
      <c r="AQ121" s="13"/>
      <c r="AR121" s="11"/>
      <c r="AS121" s="13"/>
      <c r="AT121" s="11"/>
      <c r="AU121" s="13"/>
      <c r="AV121" s="11"/>
      <c r="AW121" s="13"/>
      <c r="AX121" s="11"/>
      <c r="AY121" s="13"/>
      <c r="AZ121" s="11"/>
      <c r="BA121" s="13"/>
      <c r="BB121" s="11"/>
      <c r="BC121" s="13"/>
      <c r="BD121" s="11"/>
      <c r="BE121" s="13"/>
      <c r="BF121" s="11"/>
      <c r="BG121" s="13"/>
      <c r="BH121" s="11"/>
      <c r="BI121" s="13"/>
      <c r="BJ121" s="11"/>
      <c r="BK121" s="13"/>
      <c r="BL121" s="11"/>
      <c r="BM121" s="13"/>
      <c r="BN121" s="11"/>
      <c r="BO121" s="13"/>
      <c r="BP121" s="11"/>
      <c r="BQ121" s="13"/>
      <c r="BR121" s="11"/>
      <c r="BS121" s="13"/>
      <c r="BT121" s="11"/>
      <c r="BU121" s="13"/>
      <c r="BV121" s="11"/>
      <c r="BW121" s="13"/>
      <c r="BX121" s="11"/>
      <c r="BY121" s="13"/>
      <c r="BZ121" s="11"/>
      <c r="CA121" s="13"/>
      <c r="CB121" s="11"/>
      <c r="CC121" s="13"/>
      <c r="CD121" s="11"/>
      <c r="CE121" s="13"/>
      <c r="CF121" s="11"/>
      <c r="CG121" s="13"/>
      <c r="CH121" s="11"/>
      <c r="CI121" s="13"/>
      <c r="CJ121" s="11"/>
      <c r="CK121" s="13"/>
      <c r="CL121" s="11"/>
      <c r="CM121" s="13"/>
      <c r="CN121" s="11"/>
      <c r="CO121" s="13"/>
      <c r="CP121" s="11"/>
      <c r="CQ121" s="13"/>
      <c r="CR121" s="11"/>
    </row>
    <row r="122" spans="1:96" x14ac:dyDescent="0.25">
      <c r="A122" s="42" t="s">
        <v>5</v>
      </c>
      <c r="B122" s="14">
        <f>+B67+B74</f>
        <v>35941.96</v>
      </c>
      <c r="C122" s="23"/>
      <c r="D122" s="14">
        <f>+D68</f>
        <v>14924.28</v>
      </c>
      <c r="E122" s="23"/>
      <c r="F122" s="14">
        <f>+F72</f>
        <v>20907.379999999997</v>
      </c>
      <c r="G122" s="23"/>
      <c r="H122" s="14">
        <f>+H69</f>
        <v>20501.87</v>
      </c>
      <c r="I122" s="23"/>
      <c r="J122" s="14">
        <f>+J59+J76</f>
        <v>34600.819999999992</v>
      </c>
      <c r="K122" s="23"/>
      <c r="L122" s="14">
        <f>+L73+L78</f>
        <v>84394.21</v>
      </c>
      <c r="M122" s="23"/>
      <c r="N122" s="14">
        <f>+N62+N74</f>
        <v>45775.65</v>
      </c>
      <c r="O122" s="23"/>
      <c r="P122" s="14">
        <f>+P70</f>
        <v>31077.979999999996</v>
      </c>
      <c r="Q122" s="23"/>
      <c r="R122" s="14">
        <f>+R62+R66</f>
        <v>5952.35</v>
      </c>
      <c r="S122" s="23"/>
      <c r="T122" s="14">
        <f>+T71</f>
        <v>48403.74</v>
      </c>
      <c r="U122" s="23"/>
      <c r="V122" s="14"/>
      <c r="W122" s="23"/>
      <c r="X122" s="14">
        <f>+X61+X66</f>
        <v>11438</v>
      </c>
      <c r="Y122" s="23"/>
      <c r="Z122" s="23">
        <f>+Z71+Z77</f>
        <v>31090.03</v>
      </c>
      <c r="AA122" s="23"/>
      <c r="AB122" s="14">
        <f>+AB69+AB76</f>
        <v>25502.54</v>
      </c>
      <c r="AC122" s="23"/>
      <c r="AD122" s="14">
        <f>+AD70+AD78</f>
        <v>37216.76</v>
      </c>
      <c r="AE122" s="23"/>
      <c r="AF122" s="14">
        <f>+AF68+AF73</f>
        <v>33928.32</v>
      </c>
      <c r="AG122" s="23"/>
      <c r="AH122" s="14">
        <f>+AH66</f>
        <v>9918.99</v>
      </c>
      <c r="AI122" s="23"/>
      <c r="AJ122" s="14">
        <f>+AJ59</f>
        <v>1000</v>
      </c>
      <c r="AK122" s="23"/>
      <c r="AL122" s="14">
        <f>+AL61</f>
        <v>25000</v>
      </c>
      <c r="AM122" s="23"/>
      <c r="AN122" s="14">
        <f>+AN69+AN77</f>
        <v>52180.74</v>
      </c>
      <c r="AO122" s="23"/>
      <c r="AP122" s="14">
        <f>+AP74+AP81</f>
        <v>102753.81000000001</v>
      </c>
      <c r="AQ122" s="23"/>
      <c r="AR122" s="14">
        <f>+AR72+AR77</f>
        <v>51093.289999999994</v>
      </c>
      <c r="AS122" s="23"/>
      <c r="AT122" s="14">
        <f>+AT77+AT81</f>
        <v>230294.86000000002</v>
      </c>
      <c r="AU122" s="23"/>
      <c r="AV122" s="14">
        <f>+AV74</f>
        <v>28536.279999999995</v>
      </c>
      <c r="AW122" s="23"/>
      <c r="AX122" s="14">
        <f>+AX59</f>
        <v>10000</v>
      </c>
      <c r="AY122" s="23"/>
      <c r="AZ122" s="14">
        <f>+AZ62+AZ77</f>
        <v>47807.650000000009</v>
      </c>
      <c r="BA122" s="23"/>
      <c r="BB122" s="14">
        <f>+BB64+BB76</f>
        <v>102719.60999999999</v>
      </c>
      <c r="BC122" s="23"/>
      <c r="BD122" s="14">
        <f>+BD63+BD75</f>
        <v>180184.69</v>
      </c>
      <c r="BE122" s="23"/>
      <c r="BF122" s="14">
        <f>+BF68+BF75</f>
        <v>143351.47999999998</v>
      </c>
      <c r="BG122" s="23"/>
      <c r="BH122" s="14"/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  <c r="CO122" s="23"/>
      <c r="CP122" s="14"/>
      <c r="CQ122" s="23"/>
      <c r="CR122" s="14"/>
    </row>
    <row r="123" spans="1:96" x14ac:dyDescent="0.25">
      <c r="A123" s="42" t="s">
        <v>8</v>
      </c>
      <c r="B123" s="14">
        <f>+B92+B96</f>
        <v>5219.74</v>
      </c>
      <c r="C123" s="23"/>
      <c r="D123" s="14"/>
      <c r="E123" s="23"/>
      <c r="F123" s="14">
        <f>+F99</f>
        <v>14196.03</v>
      </c>
      <c r="G123" s="23"/>
      <c r="H123" s="14">
        <f>+H101</f>
        <v>27109.909999999996</v>
      </c>
      <c r="I123" s="23"/>
      <c r="J123" s="14">
        <f>+J92+J96</f>
        <v>4214.3500000000004</v>
      </c>
      <c r="K123" s="23"/>
      <c r="L123" s="14">
        <f>+L96+L98</f>
        <v>14764.920000000002</v>
      </c>
      <c r="M123" s="23"/>
      <c r="N123" s="14">
        <f>+N95+N100</f>
        <v>8889.1</v>
      </c>
      <c r="O123" s="23"/>
      <c r="P123" s="14">
        <f>+P97</f>
        <v>45297.75</v>
      </c>
      <c r="Q123" s="23"/>
      <c r="R123" s="14">
        <f>+R92+R99</f>
        <v>16431.07</v>
      </c>
      <c r="S123" s="23"/>
      <c r="T123" s="14">
        <f>+T99</f>
        <v>21554.999999999996</v>
      </c>
      <c r="U123" s="23"/>
      <c r="V123" s="14">
        <f>+V94</f>
        <v>6000</v>
      </c>
      <c r="W123" s="23"/>
      <c r="X123" s="14">
        <f>+X94+X99</f>
        <v>22058</v>
      </c>
      <c r="Y123" s="23"/>
      <c r="Z123" s="23">
        <f>+Z92+Z94</f>
        <v>3317.4500000000003</v>
      </c>
      <c r="AA123" s="23"/>
      <c r="AB123" s="14">
        <f>+AB96</f>
        <v>29366</v>
      </c>
      <c r="AC123" s="23"/>
      <c r="AD123" s="14">
        <f>+AD95</f>
        <v>7599.01</v>
      </c>
      <c r="AE123" s="23"/>
      <c r="AF123" s="14">
        <f>+AF95+AF101</f>
        <v>20926.580000000002</v>
      </c>
      <c r="AG123" s="23"/>
      <c r="AH123" s="14">
        <f>+AH98</f>
        <v>11362.16</v>
      </c>
      <c r="AI123" s="23"/>
      <c r="AJ123" s="14"/>
      <c r="AK123" s="23"/>
      <c r="AL123" s="14">
        <f>+AL92</f>
        <v>5000</v>
      </c>
      <c r="AM123" s="23"/>
      <c r="AN123" s="14">
        <f>+AN94+AN98</f>
        <v>5283.46</v>
      </c>
      <c r="AO123" s="23"/>
      <c r="AP123" s="14">
        <f>+AP95+AP99</f>
        <v>19826.340000000004</v>
      </c>
      <c r="AQ123" s="23"/>
      <c r="AR123" s="14">
        <f>+AR94+AR99</f>
        <v>13950.36</v>
      </c>
      <c r="AS123" s="23"/>
      <c r="AT123" s="14">
        <f>+AT98+AT103</f>
        <v>64450.430000000008</v>
      </c>
      <c r="AU123" s="23"/>
      <c r="AV123" s="14">
        <f>+AV100</f>
        <v>17423.46</v>
      </c>
      <c r="AW123" s="23"/>
      <c r="AX123" s="14"/>
      <c r="AY123" s="23"/>
      <c r="AZ123" s="14">
        <f>+AZ94+AZ104</f>
        <v>30229.85</v>
      </c>
      <c r="BA123" s="23"/>
      <c r="BB123" s="14">
        <f>+BB98</f>
        <v>31908.309999999998</v>
      </c>
      <c r="BC123" s="23"/>
      <c r="BD123" s="14">
        <f>+BD94+BD99</f>
        <v>61351.020000000004</v>
      </c>
      <c r="BE123" s="23"/>
      <c r="BF123" s="14">
        <f>+BF98</f>
        <v>13101.289999999999</v>
      </c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  <c r="CO123" s="23"/>
      <c r="CP123" s="14"/>
      <c r="CQ123" s="23"/>
      <c r="CR123" s="14"/>
    </row>
    <row r="124" spans="1:96" x14ac:dyDescent="0.25">
      <c r="A124" s="42" t="s">
        <v>7</v>
      </c>
      <c r="B124" s="14"/>
      <c r="C124" s="23"/>
      <c r="D124" s="14">
        <f>+D114</f>
        <v>2861</v>
      </c>
      <c r="E124" s="23"/>
      <c r="F124" s="14"/>
      <c r="G124" s="23"/>
      <c r="H124" s="14"/>
      <c r="I124" s="23"/>
      <c r="J124" s="14">
        <f>+J114</f>
        <v>464</v>
      </c>
      <c r="K124" s="23"/>
      <c r="L124" s="14"/>
      <c r="M124" s="23"/>
      <c r="N124" s="24"/>
      <c r="O124" s="23"/>
      <c r="P124" s="14">
        <f>+P114</f>
        <v>2040.01</v>
      </c>
      <c r="Q124" s="23"/>
      <c r="R124" s="14"/>
      <c r="S124" s="23"/>
      <c r="T124" s="14">
        <f>+T114</f>
        <v>6112.5</v>
      </c>
      <c r="U124" s="23"/>
      <c r="V124" s="14"/>
      <c r="W124" s="23"/>
      <c r="X124" s="14">
        <f>+X114</f>
        <v>1392</v>
      </c>
      <c r="Y124" s="23"/>
      <c r="Z124" s="23"/>
      <c r="AA124" s="23"/>
      <c r="AB124" s="14"/>
      <c r="AC124" s="23"/>
      <c r="AD124" s="14"/>
      <c r="AE124" s="23"/>
      <c r="AF124" s="14"/>
      <c r="AG124" s="23"/>
      <c r="AH124" s="14"/>
      <c r="AI124" s="23"/>
      <c r="AJ124" s="14"/>
      <c r="AK124" s="23"/>
      <c r="AL124" s="14"/>
      <c r="AM124" s="23"/>
      <c r="AN124" s="14"/>
      <c r="AO124" s="23"/>
      <c r="AP124" s="14"/>
      <c r="AQ124" s="23"/>
      <c r="AR124" s="14">
        <f>+AR114</f>
        <v>1187.5999999999999</v>
      </c>
      <c r="AS124" s="23"/>
      <c r="AT124" s="14">
        <f>+AT114+AT116</f>
        <v>3940</v>
      </c>
      <c r="AU124" s="23"/>
      <c r="AV124" s="14"/>
      <c r="AW124" s="23"/>
      <c r="AX124" s="14"/>
      <c r="AY124" s="23"/>
      <c r="AZ124" s="14">
        <f>+AZ116</f>
        <v>2607.83</v>
      </c>
      <c r="BA124" s="23"/>
      <c r="BB124" s="14">
        <f>+BB114</f>
        <v>3168.99</v>
      </c>
      <c r="BC124" s="23"/>
      <c r="BD124" s="14"/>
      <c r="BE124" s="23"/>
      <c r="BF124" s="14"/>
      <c r="BG124" s="23"/>
      <c r="BH124" s="14"/>
      <c r="BI124" s="23"/>
      <c r="BJ124" s="14"/>
      <c r="BK124" s="23"/>
      <c r="BL124" s="14"/>
      <c r="BM124" s="23"/>
      <c r="BN124" s="14"/>
      <c r="BO124" s="23"/>
      <c r="BP124" s="14"/>
      <c r="BQ124" s="23"/>
      <c r="BR124" s="14"/>
      <c r="BS124" s="23"/>
      <c r="BT124" s="14"/>
      <c r="BU124" s="23"/>
      <c r="BV124" s="14"/>
      <c r="BW124" s="23"/>
      <c r="BX124" s="14"/>
      <c r="BY124" s="23"/>
      <c r="BZ124" s="14"/>
      <c r="CA124" s="23"/>
      <c r="CB124" s="14"/>
      <c r="CC124" s="23"/>
      <c r="CD124" s="14"/>
      <c r="CE124" s="23"/>
      <c r="CF124" s="14"/>
      <c r="CG124" s="23"/>
      <c r="CH124" s="14"/>
      <c r="CI124" s="23"/>
      <c r="CJ124" s="14"/>
      <c r="CK124" s="23"/>
      <c r="CL124" s="14"/>
      <c r="CM124" s="23"/>
      <c r="CN124" s="14"/>
      <c r="CO124" s="23"/>
      <c r="CP124" s="14"/>
      <c r="CQ124" s="23"/>
      <c r="CR124" s="14"/>
    </row>
    <row r="125" spans="1:96" x14ac:dyDescent="0.25">
      <c r="A125" s="44" t="s">
        <v>9</v>
      </c>
      <c r="B125" s="24">
        <f>+B122+B123+B124</f>
        <v>41161.699999999997</v>
      </c>
      <c r="C125" s="24"/>
      <c r="D125" s="24">
        <f>+D122+D123+D124</f>
        <v>17785.28</v>
      </c>
      <c r="E125" s="24"/>
      <c r="F125" s="24">
        <f>+F122+F123+F124</f>
        <v>35103.409999999996</v>
      </c>
      <c r="G125" s="24"/>
      <c r="H125" s="24">
        <f>+H122+H123+H124</f>
        <v>47611.78</v>
      </c>
      <c r="I125" s="24"/>
      <c r="J125" s="24">
        <f>+J122+J123+J124</f>
        <v>39279.169999999991</v>
      </c>
      <c r="K125" s="24"/>
      <c r="L125" s="24">
        <f>+L122+L123+L124</f>
        <v>99159.13</v>
      </c>
      <c r="M125" s="24"/>
      <c r="N125" s="24">
        <f>+N122+N123+N124</f>
        <v>54664.75</v>
      </c>
      <c r="O125" s="24"/>
      <c r="P125" s="24">
        <f>+P122+P123+P124</f>
        <v>78415.739999999991</v>
      </c>
      <c r="Q125" s="24"/>
      <c r="R125" s="24">
        <f>+R122+R123+R124</f>
        <v>22383.42</v>
      </c>
      <c r="S125" s="144"/>
      <c r="T125" s="24">
        <f>+T122+T123+T124</f>
        <v>76071.239999999991</v>
      </c>
      <c r="U125" s="144"/>
      <c r="V125" s="24">
        <f>+V122+V123+V124</f>
        <v>6000</v>
      </c>
      <c r="W125" s="144"/>
      <c r="X125" s="24">
        <f>+X122+X123+X124</f>
        <v>34888</v>
      </c>
      <c r="Y125" s="144"/>
      <c r="Z125" s="24">
        <f>+Z122+Z123+Z124</f>
        <v>34407.479999999996</v>
      </c>
      <c r="AA125" s="144"/>
      <c r="AB125" s="24">
        <f>+AB122+AB123+AB124</f>
        <v>54868.54</v>
      </c>
      <c r="AC125" s="144"/>
      <c r="AD125" s="24">
        <f>+AD122+AD123+AD124</f>
        <v>44815.770000000004</v>
      </c>
      <c r="AE125" s="144"/>
      <c r="AF125" s="24">
        <f>+AF122+AF123+AF124</f>
        <v>54854.9</v>
      </c>
      <c r="AG125" s="144"/>
      <c r="AH125" s="24">
        <f>+AH122+AH123+AH124</f>
        <v>21281.15</v>
      </c>
      <c r="AI125" s="144"/>
      <c r="AJ125" s="24">
        <f>+AJ122+AJ123+AJ124</f>
        <v>1000</v>
      </c>
      <c r="AK125" s="144"/>
      <c r="AL125" s="24">
        <f>+AL122+AL123+AL124</f>
        <v>30000</v>
      </c>
      <c r="AM125" s="144"/>
      <c r="AN125" s="24">
        <f>+AN122+AN123+AN124</f>
        <v>57464.2</v>
      </c>
      <c r="AO125" s="144"/>
      <c r="AP125" s="24">
        <f>+AP122+AP123+AP124</f>
        <v>122580.15000000002</v>
      </c>
      <c r="AQ125" s="144"/>
      <c r="AR125" s="24">
        <f>+AR122+AR123+AR124</f>
        <v>66231.25</v>
      </c>
      <c r="AS125" s="144"/>
      <c r="AT125" s="24">
        <f>+AT122+AT123+AT124</f>
        <v>298685.29000000004</v>
      </c>
      <c r="AU125" s="144"/>
      <c r="AV125" s="24">
        <f>+AV122+AV123+AV124</f>
        <v>45959.739999999991</v>
      </c>
      <c r="AW125" s="144"/>
      <c r="AX125" s="24">
        <f>+AX122+AX123+AX124</f>
        <v>10000</v>
      </c>
      <c r="AY125" s="144"/>
      <c r="AZ125" s="24">
        <f>+AZ122+AZ123+AZ124</f>
        <v>80645.33</v>
      </c>
      <c r="BA125" s="144"/>
      <c r="BB125" s="24">
        <f>+BB122+BB123+BB124</f>
        <v>137796.90999999997</v>
      </c>
      <c r="BC125" s="144"/>
      <c r="BD125" s="24">
        <f>+BD122+BD123+BD124</f>
        <v>241535.71000000002</v>
      </c>
      <c r="BE125" s="144"/>
      <c r="BF125" s="24">
        <f>+BF122+BF123+BF124</f>
        <v>156452.76999999999</v>
      </c>
      <c r="BG125" s="144"/>
      <c r="BH125" s="144"/>
      <c r="BI125" s="144"/>
      <c r="BJ125" s="144"/>
      <c r="BK125" s="14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</row>
    <row r="126" spans="1:96" x14ac:dyDescent="0.25">
      <c r="A126" s="44"/>
      <c r="B126" s="24"/>
      <c r="C126" s="24"/>
      <c r="D126" s="24">
        <f>14924.28+2861</f>
        <v>17785.28</v>
      </c>
      <c r="E126" s="24"/>
      <c r="F126" s="24">
        <f>20907.4+14196.03</f>
        <v>35103.43</v>
      </c>
      <c r="G126" s="24"/>
      <c r="H126" s="24">
        <f>20501.87+27109.91</f>
        <v>47611.78</v>
      </c>
      <c r="I126" s="24"/>
      <c r="J126" s="24">
        <f>1099+1075.34+33501.82+3139.01+464</f>
        <v>39279.170000000006</v>
      </c>
      <c r="K126" s="24"/>
      <c r="L126" s="24">
        <f>71408+13665.91+12986.21+1099.01</f>
        <v>99159.12999999999</v>
      </c>
      <c r="M126" s="24"/>
      <c r="N126" s="24">
        <f>2194.99+5993.54+43580.66+2895.56</f>
        <v>54664.75</v>
      </c>
      <c r="O126" s="24"/>
      <c r="P126" s="24">
        <f>45297.75+2040.01+31077.98</f>
        <v>78415.740000000005</v>
      </c>
      <c r="Q126" s="24"/>
      <c r="R126" s="24">
        <f>4348.34+1909.08+1604.01+14521.99</f>
        <v>22383.42</v>
      </c>
      <c r="S126" s="144"/>
      <c r="T126" s="24">
        <f>48403.74+21555+6112.49</f>
        <v>76071.23</v>
      </c>
      <c r="U126" s="144"/>
      <c r="V126" s="24">
        <v>6000</v>
      </c>
      <c r="W126" s="144"/>
      <c r="X126" s="24">
        <f>3395+15500+8043+6558+1392</f>
        <v>34888</v>
      </c>
      <c r="Y126" s="144"/>
      <c r="Z126" s="24">
        <f>23455.41+2657.32+7634.62+660.13</f>
        <v>34407.479999999996</v>
      </c>
      <c r="AA126" s="144"/>
      <c r="AB126" s="24">
        <f>14264+29366+11238.54</f>
        <v>54868.54</v>
      </c>
      <c r="AC126" s="144"/>
      <c r="AD126" s="24">
        <f>24707.31+7599.01+12509.46</f>
        <v>44815.78</v>
      </c>
      <c r="AE126" s="144"/>
      <c r="AF126" s="24">
        <f>29355.76+7714.75+4572.56+13211.85</f>
        <v>54854.919999999991</v>
      </c>
      <c r="AG126" s="144"/>
      <c r="AH126" s="24">
        <f>9918.99+11362.16</f>
        <v>21281.15</v>
      </c>
      <c r="AI126" s="144"/>
      <c r="AJ126" s="24">
        <v>1000</v>
      </c>
      <c r="AK126" s="144"/>
      <c r="AL126" s="24">
        <f>25000+5000</f>
        <v>30000</v>
      </c>
      <c r="AM126" s="144"/>
      <c r="AN126" s="24">
        <f>41804.82+3183.46+10375.92+2099.01</f>
        <v>57463.21</v>
      </c>
      <c r="AO126" s="144"/>
      <c r="AP126" s="24">
        <f>74532.08+16757.33+28221.73+3069.01</f>
        <v>122580.15</v>
      </c>
      <c r="AQ126" s="144"/>
      <c r="AR126" s="24">
        <f>41290.81+7235+9802.48+6715.36+1187.6</f>
        <v>66231.25</v>
      </c>
      <c r="AS126" s="144"/>
      <c r="AT126" s="24">
        <f>217788.2+55706.42+1970+12506.66+8744.01+1970</f>
        <v>298685.28999999998</v>
      </c>
      <c r="AU126" s="144"/>
      <c r="AV126" s="24">
        <f>28536.27+17423.46</f>
        <v>45959.729999999996</v>
      </c>
      <c r="AW126" s="144"/>
      <c r="AX126" s="24">
        <v>10000</v>
      </c>
      <c r="AY126" s="144"/>
      <c r="AZ126" s="24">
        <f>7015.01+5528.45+40792.64+24701.45+2607.83</f>
        <v>80645.38</v>
      </c>
      <c r="BA126" s="144"/>
      <c r="BB126" s="24">
        <f>17796.99+3168.99+84922.61+31908.31</f>
        <v>137796.9</v>
      </c>
      <c r="BC126" s="144"/>
      <c r="BD126" s="24">
        <f>134176.08+3387.01+46008.61+57964.01</f>
        <v>241535.71000000002</v>
      </c>
      <c r="BE126" s="144"/>
      <c r="BF126" s="24">
        <f>34384.86+108966.61+13100.69</f>
        <v>156452.16</v>
      </c>
      <c r="BG126" s="144"/>
      <c r="BH126" s="144"/>
      <c r="BI126" s="144"/>
      <c r="BJ126" s="144"/>
      <c r="BK126" s="14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</row>
    <row r="127" spans="1:96" x14ac:dyDescent="0.25">
      <c r="A127" s="44" t="s">
        <v>3</v>
      </c>
      <c r="B127" s="263">
        <f>+B125-B126</f>
        <v>41161.699999999997</v>
      </c>
      <c r="C127" s="58"/>
      <c r="D127" s="263">
        <f>+D125-D126</f>
        <v>0</v>
      </c>
      <c r="E127" s="58"/>
      <c r="F127" s="263">
        <f>+F125-F126</f>
        <v>-2.0000000004074536E-2</v>
      </c>
      <c r="G127" s="58"/>
      <c r="H127" s="263">
        <f>+H125-H126</f>
        <v>0</v>
      </c>
      <c r="I127" s="58"/>
      <c r="J127" s="263">
        <f>+J125-J126</f>
        <v>0</v>
      </c>
      <c r="K127" s="58"/>
      <c r="L127" s="263">
        <f>+L125-L126</f>
        <v>0</v>
      </c>
      <c r="M127" s="58"/>
      <c r="N127" s="263">
        <f>+N125-N126</f>
        <v>0</v>
      </c>
      <c r="O127" s="58"/>
      <c r="P127" s="263">
        <f>+P125-P126</f>
        <v>0</v>
      </c>
      <c r="Q127" s="58"/>
      <c r="R127" s="263">
        <f>+R125-R126</f>
        <v>0</v>
      </c>
      <c r="S127" s="145"/>
      <c r="T127" s="263">
        <f>+T125-T126</f>
        <v>9.9999999947613105E-3</v>
      </c>
      <c r="U127" s="145"/>
      <c r="V127" s="263">
        <f>+V125-V126</f>
        <v>0</v>
      </c>
      <c r="W127" s="145"/>
      <c r="X127" s="263">
        <f>+X125-X126</f>
        <v>0</v>
      </c>
      <c r="Y127" s="145"/>
      <c r="Z127" s="263">
        <f>+Z125-Z126</f>
        <v>0</v>
      </c>
      <c r="AA127" s="145"/>
      <c r="AB127" s="263">
        <f>+AB125-AB126</f>
        <v>0</v>
      </c>
      <c r="AC127" s="145"/>
      <c r="AD127" s="263">
        <f>+AD125-AD126</f>
        <v>-9.9999999947613105E-3</v>
      </c>
      <c r="AE127" s="145"/>
      <c r="AF127" s="263">
        <f>+AF125-AF126</f>
        <v>-1.9999999989522621E-2</v>
      </c>
      <c r="AG127" s="145"/>
      <c r="AH127" s="263">
        <f>+AH125-AH126</f>
        <v>0</v>
      </c>
      <c r="AI127" s="145"/>
      <c r="AJ127" s="263">
        <f>+AJ125-AJ126</f>
        <v>0</v>
      </c>
      <c r="AK127" s="145"/>
      <c r="AL127" s="263">
        <f>+AL125-AL126</f>
        <v>0</v>
      </c>
      <c r="AM127" s="145"/>
      <c r="AN127" s="263">
        <f>+AN125-AN126</f>
        <v>0.98999999999796273</v>
      </c>
      <c r="AO127" s="145"/>
      <c r="AP127" s="263">
        <f>+AP125-AP126</f>
        <v>0</v>
      </c>
      <c r="AQ127" s="145"/>
      <c r="AR127" s="263">
        <f>+AR125-AR126</f>
        <v>0</v>
      </c>
      <c r="AS127" s="145"/>
      <c r="AT127" s="263">
        <f>+AT125-AT126</f>
        <v>0</v>
      </c>
      <c r="AU127" s="145"/>
      <c r="AV127" s="263">
        <f>+AV125-AV126</f>
        <v>9.9999999947613105E-3</v>
      </c>
      <c r="AW127" s="145"/>
      <c r="AX127" s="263">
        <f>+AX125-AX126</f>
        <v>0</v>
      </c>
      <c r="AY127" s="145"/>
      <c r="AZ127" s="263">
        <f>+AZ125-AZ126</f>
        <v>-5.0000000002910383E-2</v>
      </c>
      <c r="BA127" s="145"/>
      <c r="BB127" s="263">
        <f>+BB125-BB126</f>
        <v>9.9999999802093953E-3</v>
      </c>
      <c r="BC127" s="145"/>
      <c r="BD127" s="263">
        <f>+BD125-BD126</f>
        <v>0</v>
      </c>
      <c r="BE127" s="145"/>
      <c r="BF127" s="263">
        <f>+BF125-BF126</f>
        <v>0.60999999998603016</v>
      </c>
      <c r="BG127" s="145"/>
      <c r="BH127" s="145"/>
      <c r="BI127" s="145"/>
      <c r="BJ127" s="145"/>
      <c r="BK127" s="145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</row>
    <row r="128" spans="1:96" x14ac:dyDescent="0.25">
      <c r="A128" s="48"/>
      <c r="B128" s="18"/>
      <c r="C128" s="59"/>
      <c r="D128" s="18"/>
      <c r="E128" s="59"/>
      <c r="F128" s="18"/>
      <c r="G128" s="59"/>
      <c r="H128" s="18"/>
      <c r="I128" s="59"/>
      <c r="J128" s="18"/>
      <c r="K128" s="59"/>
      <c r="L128" s="145"/>
      <c r="M128" s="59"/>
      <c r="N128" s="18"/>
      <c r="O128" s="59"/>
      <c r="P128" s="18"/>
      <c r="Q128" s="59"/>
      <c r="R128" s="18"/>
      <c r="S128" s="59"/>
      <c r="T128" s="18"/>
      <c r="U128" s="59"/>
      <c r="V128" s="18"/>
      <c r="W128" s="59"/>
      <c r="X128" s="18"/>
      <c r="Y128" s="59"/>
      <c r="Z128" s="59"/>
      <c r="AA128" s="59"/>
      <c r="AB128" s="18"/>
      <c r="AC128" s="59"/>
      <c r="AD128" s="18"/>
      <c r="AE128" s="59"/>
      <c r="AF128" s="18"/>
      <c r="AG128" s="59"/>
      <c r="AH128" s="18"/>
      <c r="AI128" s="59"/>
      <c r="AJ128" s="18"/>
      <c r="AK128" s="59"/>
      <c r="AL128" s="18"/>
      <c r="AM128" s="59"/>
      <c r="AN128" s="18"/>
      <c r="AO128" s="59"/>
      <c r="AP128" s="18"/>
      <c r="AQ128" s="59"/>
      <c r="AR128" s="18"/>
      <c r="AS128" s="59"/>
      <c r="AT128" s="18"/>
      <c r="AU128" s="59"/>
      <c r="AV128" s="18"/>
      <c r="AW128" s="59"/>
      <c r="AX128" s="18"/>
      <c r="AY128" s="59"/>
      <c r="AZ128" s="18"/>
      <c r="BA128" s="59"/>
      <c r="BB128" s="18"/>
      <c r="BC128" s="59"/>
      <c r="BD128" s="18"/>
      <c r="BE128" s="59"/>
      <c r="BF128" s="145"/>
      <c r="BG128" s="59"/>
      <c r="BH128" s="18"/>
      <c r="BI128" s="59"/>
      <c r="BJ128" s="18"/>
      <c r="BK128" s="59"/>
      <c r="BL128" s="75"/>
      <c r="BM128" s="25"/>
      <c r="BN128" s="75"/>
      <c r="BO128" s="25"/>
      <c r="BP128" s="75"/>
      <c r="BQ128" s="25"/>
      <c r="BR128" s="75"/>
      <c r="BS128" s="25"/>
      <c r="BT128" s="75"/>
      <c r="BU128" s="25"/>
      <c r="BV128" s="75"/>
      <c r="BW128" s="25"/>
      <c r="BX128" s="75"/>
      <c r="BY128" s="25"/>
      <c r="BZ128" s="75"/>
      <c r="CA128" s="25"/>
      <c r="CB128" s="75"/>
      <c r="CC128" s="25"/>
      <c r="CD128" s="75"/>
      <c r="CE128" s="25"/>
      <c r="CF128" s="75"/>
      <c r="CG128" s="25"/>
      <c r="CH128" s="76"/>
      <c r="CI128" s="234"/>
      <c r="CJ128" s="76"/>
      <c r="CK128" s="234"/>
      <c r="CL128" s="76"/>
      <c r="CM128" s="234"/>
      <c r="CN128" s="76"/>
      <c r="CO128" s="234"/>
      <c r="CP128" s="76"/>
      <c r="CQ128" s="234"/>
      <c r="CR128" s="76"/>
    </row>
    <row r="129" spans="1:96" x14ac:dyDescent="0.25">
      <c r="A129" s="48"/>
      <c r="B129" s="163"/>
      <c r="C129" s="59"/>
      <c r="D129" s="163"/>
      <c r="E129" s="59"/>
      <c r="F129" s="163"/>
      <c r="G129" s="59"/>
      <c r="H129" s="163"/>
      <c r="I129" s="59"/>
      <c r="J129" s="163"/>
      <c r="K129" s="25"/>
      <c r="L129" s="163"/>
      <c r="M129" s="59"/>
      <c r="N129" s="163"/>
      <c r="O129" s="59"/>
      <c r="P129" s="163"/>
      <c r="Q129" s="59"/>
      <c r="R129" s="163"/>
      <c r="S129" s="59"/>
      <c r="T129" s="163"/>
      <c r="U129" s="59"/>
      <c r="V129" s="163"/>
      <c r="W129" s="59"/>
      <c r="X129" s="163"/>
      <c r="Y129" s="59"/>
      <c r="Z129" s="275"/>
      <c r="AA129" s="59"/>
      <c r="AB129" s="163"/>
      <c r="AC129" s="59"/>
      <c r="AD129" s="163"/>
      <c r="AE129" s="59"/>
      <c r="AF129" s="163"/>
      <c r="AG129" s="59"/>
      <c r="AH129" s="163"/>
      <c r="AI129" s="59"/>
      <c r="AJ129" s="163"/>
      <c r="AK129" s="59"/>
      <c r="AL129" s="163"/>
      <c r="AM129" s="59"/>
      <c r="AN129" s="163"/>
      <c r="AO129" s="59"/>
      <c r="AP129" s="163"/>
      <c r="AQ129" s="59"/>
      <c r="AR129" s="163"/>
      <c r="AS129" s="59"/>
      <c r="AT129" s="163"/>
      <c r="AU129" s="59"/>
      <c r="AV129" s="163"/>
      <c r="AW129" s="59"/>
      <c r="AX129" s="163"/>
      <c r="AY129" s="59"/>
      <c r="AZ129" s="163"/>
      <c r="BA129" s="59"/>
      <c r="BB129" s="163"/>
      <c r="BC129" s="59"/>
      <c r="BD129" s="163"/>
      <c r="BE129" s="59"/>
      <c r="BF129" s="163"/>
      <c r="BG129" s="59"/>
      <c r="BH129" s="163"/>
      <c r="BI129" s="59"/>
      <c r="BJ129" s="163"/>
      <c r="BK129" s="59"/>
      <c r="BL129" s="235"/>
      <c r="BM129" s="25"/>
      <c r="BN129" s="75"/>
      <c r="BO129" s="25"/>
      <c r="BP129" s="75"/>
      <c r="BQ129" s="25"/>
      <c r="BR129" s="75"/>
      <c r="BS129" s="25"/>
      <c r="BT129" s="75"/>
      <c r="BU129" s="25"/>
      <c r="BV129" s="75"/>
      <c r="BW129" s="25"/>
      <c r="BX129" s="75"/>
      <c r="BY129" s="25"/>
      <c r="BZ129" s="75"/>
      <c r="CA129" s="25"/>
      <c r="CB129" s="75"/>
      <c r="CC129" s="25"/>
      <c r="CD129" s="75"/>
      <c r="CE129" s="25"/>
      <c r="CF129" s="75"/>
      <c r="CG129" s="25"/>
      <c r="CH129" s="76"/>
      <c r="CI129" s="234"/>
      <c r="CJ129" s="76"/>
      <c r="CK129" s="234"/>
      <c r="CL129" s="76"/>
      <c r="CM129" s="234"/>
      <c r="CN129" s="76"/>
      <c r="CO129" s="234"/>
      <c r="CP129" s="76"/>
      <c r="CQ129" s="234"/>
      <c r="CR129" s="76"/>
    </row>
    <row r="130" spans="1:96" x14ac:dyDescent="0.25">
      <c r="A130" s="37" t="s">
        <v>10</v>
      </c>
      <c r="B130" s="164">
        <v>43040</v>
      </c>
      <c r="C130" s="118"/>
      <c r="D130" s="164">
        <v>43041</v>
      </c>
      <c r="E130" s="118"/>
      <c r="F130" s="164">
        <v>43042</v>
      </c>
      <c r="G130" s="118"/>
      <c r="H130" s="164">
        <v>43043</v>
      </c>
      <c r="I130" s="118"/>
      <c r="J130" s="164">
        <v>43045</v>
      </c>
      <c r="K130" s="119"/>
      <c r="L130" s="164">
        <v>43046</v>
      </c>
      <c r="M130" s="118"/>
      <c r="N130" s="164">
        <v>43047</v>
      </c>
      <c r="O130" s="118"/>
      <c r="P130" s="164">
        <v>43048</v>
      </c>
      <c r="Q130" s="118"/>
      <c r="R130" s="164">
        <v>43049</v>
      </c>
      <c r="S130" s="118"/>
      <c r="T130" s="22">
        <v>43050</v>
      </c>
      <c r="U130" s="118"/>
      <c r="V130" s="22">
        <v>43051</v>
      </c>
      <c r="W130" s="118"/>
      <c r="X130" s="22">
        <v>43052</v>
      </c>
      <c r="Y130" s="118"/>
      <c r="Z130" s="164">
        <v>43053</v>
      </c>
      <c r="AA130" s="118"/>
      <c r="AB130" s="164">
        <v>43054</v>
      </c>
      <c r="AC130" s="118"/>
      <c r="AD130" s="175">
        <v>43055</v>
      </c>
      <c r="AE130" s="118"/>
      <c r="AF130" s="164">
        <v>43056</v>
      </c>
      <c r="AG130" s="118"/>
      <c r="AH130" s="164">
        <v>43057</v>
      </c>
      <c r="AI130" s="118"/>
      <c r="AJ130" s="164">
        <v>43058</v>
      </c>
      <c r="AK130" s="119"/>
      <c r="AL130" s="164">
        <v>43059</v>
      </c>
      <c r="AM130" s="118"/>
      <c r="AN130" s="164">
        <v>43060</v>
      </c>
      <c r="AO130" s="118"/>
      <c r="AP130" s="164">
        <v>43061</v>
      </c>
      <c r="AQ130" s="118"/>
      <c r="AR130" s="164">
        <v>43062</v>
      </c>
      <c r="AS130" s="118"/>
      <c r="AT130" s="164">
        <v>43063</v>
      </c>
      <c r="AU130" s="118"/>
      <c r="AV130" s="164">
        <v>43064</v>
      </c>
      <c r="AW130" s="119"/>
      <c r="AX130" s="164">
        <v>43065</v>
      </c>
      <c r="AY130" s="118"/>
      <c r="AZ130" s="164">
        <v>43066</v>
      </c>
      <c r="BA130" s="118"/>
      <c r="BB130" s="164">
        <v>43067</v>
      </c>
      <c r="BC130" s="118"/>
      <c r="BD130" s="164">
        <v>43068</v>
      </c>
      <c r="BE130" s="118"/>
      <c r="BF130" s="164">
        <v>43069</v>
      </c>
      <c r="BG130" s="118"/>
      <c r="BH130" s="164"/>
      <c r="BI130" s="118"/>
      <c r="BJ130" s="164"/>
      <c r="BK130" s="118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</row>
    <row r="131" spans="1:96" x14ac:dyDescent="0.25">
      <c r="A131" s="40"/>
      <c r="B131" s="22"/>
      <c r="C131" s="22"/>
      <c r="D131" s="22"/>
      <c r="E131" s="22"/>
      <c r="F131" s="22"/>
      <c r="G131" s="22"/>
      <c r="H131" s="22"/>
      <c r="I131" s="22"/>
      <c r="J131" s="22"/>
      <c r="K131" s="20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9"/>
      <c r="W131" s="120"/>
      <c r="X131" s="9"/>
      <c r="Y131" s="120"/>
      <c r="Z131" s="120"/>
      <c r="AA131" s="120"/>
      <c r="AB131" s="22"/>
      <c r="AC131" s="22"/>
      <c r="AD131" s="22"/>
      <c r="AE131" s="22"/>
      <c r="AF131" s="22"/>
      <c r="AG131" s="22"/>
      <c r="AH131" s="22"/>
      <c r="AI131" s="22"/>
      <c r="AJ131" s="22"/>
      <c r="AK131" s="20"/>
      <c r="AL131" s="22"/>
      <c r="AM131" s="22"/>
      <c r="AN131" s="22"/>
      <c r="AO131" s="22"/>
      <c r="AP131" s="22"/>
      <c r="AQ131" s="22"/>
      <c r="AR131" s="22"/>
      <c r="AS131" s="22"/>
      <c r="AT131" s="22"/>
      <c r="AU131" s="20"/>
      <c r="AV131" s="22"/>
      <c r="AW131" s="20"/>
      <c r="AX131" s="22"/>
      <c r="AY131" s="22"/>
      <c r="AZ131" s="22"/>
      <c r="BA131" s="22"/>
      <c r="BB131" s="22"/>
      <c r="BC131" s="22"/>
      <c r="BD131" s="22"/>
      <c r="BE131" s="22"/>
      <c r="BF131" s="22"/>
      <c r="BG131" s="20"/>
      <c r="BH131" s="22"/>
      <c r="BI131" s="22"/>
      <c r="BJ131" s="22"/>
      <c r="BK131" s="22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</row>
    <row r="132" spans="1:96" x14ac:dyDescent="0.25">
      <c r="A132" s="45"/>
      <c r="B132" s="183">
        <v>149402.70000000001</v>
      </c>
      <c r="C132" s="153" t="s">
        <v>13086</v>
      </c>
      <c r="D132" s="29">
        <v>611800</v>
      </c>
      <c r="E132" s="24" t="s">
        <v>13135</v>
      </c>
      <c r="F132" s="29">
        <v>95000</v>
      </c>
      <c r="G132" s="24" t="s">
        <v>13220</v>
      </c>
      <c r="H132" s="29">
        <v>5000</v>
      </c>
      <c r="I132" s="24" t="s">
        <v>13167</v>
      </c>
      <c r="J132" s="29">
        <v>243100</v>
      </c>
      <c r="K132" s="24" t="s">
        <v>13206</v>
      </c>
      <c r="L132" s="29">
        <v>42070</v>
      </c>
      <c r="M132" s="24" t="s">
        <v>13306</v>
      </c>
      <c r="N132" s="29">
        <v>8665.84</v>
      </c>
      <c r="O132" s="24" t="s">
        <v>13363</v>
      </c>
      <c r="P132" s="29">
        <v>168200</v>
      </c>
      <c r="Q132" s="166" t="s">
        <v>13408</v>
      </c>
      <c r="R132" s="29">
        <v>2828.42</v>
      </c>
      <c r="S132" s="24" t="s">
        <v>13313</v>
      </c>
      <c r="T132" s="29">
        <v>236100</v>
      </c>
      <c r="U132" s="166" t="s">
        <v>13508</v>
      </c>
      <c r="V132" s="29"/>
      <c r="W132" s="15"/>
      <c r="X132" s="29">
        <v>20000</v>
      </c>
      <c r="Y132" s="15" t="s">
        <v>13553</v>
      </c>
      <c r="Z132" s="96">
        <v>600000</v>
      </c>
      <c r="AA132" s="15" t="s">
        <v>13590</v>
      </c>
      <c r="AB132" s="29">
        <v>360400</v>
      </c>
      <c r="AC132" s="24" t="s">
        <v>13645</v>
      </c>
      <c r="AD132" s="29">
        <v>225700</v>
      </c>
      <c r="AE132" s="24" t="s">
        <v>13694</v>
      </c>
      <c r="AF132" s="29">
        <v>306602.44</v>
      </c>
      <c r="AG132" s="85" t="s">
        <v>13736</v>
      </c>
      <c r="AH132" s="29">
        <v>1377.48</v>
      </c>
      <c r="AI132" s="15" t="s">
        <v>13805</v>
      </c>
      <c r="AJ132" s="29"/>
      <c r="AK132" s="24"/>
      <c r="AL132" s="29"/>
      <c r="AM132" s="85"/>
      <c r="AN132" s="29">
        <v>90000</v>
      </c>
      <c r="AO132" s="24" t="s">
        <v>13830</v>
      </c>
      <c r="AP132" s="29">
        <v>32754.74</v>
      </c>
      <c r="AQ132" s="24" t="s">
        <v>13866</v>
      </c>
      <c r="AR132" s="29">
        <v>190137.25</v>
      </c>
      <c r="AS132" s="284" t="s">
        <v>13924</v>
      </c>
      <c r="AT132" s="29">
        <v>30000</v>
      </c>
      <c r="AU132" s="24" t="s">
        <v>13986</v>
      </c>
      <c r="AV132" s="104">
        <v>260000</v>
      </c>
      <c r="AW132" s="24" t="s">
        <v>14042</v>
      </c>
      <c r="AX132" s="29"/>
      <c r="AY132" s="24"/>
      <c r="AZ132" s="29">
        <v>96896.91</v>
      </c>
      <c r="BA132" s="24" t="s">
        <v>14088</v>
      </c>
      <c r="BB132" s="29">
        <v>268200</v>
      </c>
      <c r="BC132" s="24" t="s">
        <v>14149</v>
      </c>
      <c r="BD132" s="29">
        <v>222800</v>
      </c>
      <c r="BE132" s="24" t="s">
        <v>14168</v>
      </c>
      <c r="BF132" s="29">
        <v>100000</v>
      </c>
      <c r="BG132" s="24" t="s">
        <v>14190</v>
      </c>
      <c r="BH132" s="29"/>
      <c r="BI132" s="24"/>
      <c r="BJ132" s="96"/>
      <c r="BK132" s="15"/>
      <c r="BL132" s="72"/>
      <c r="BM132" s="24"/>
      <c r="BN132" s="72"/>
      <c r="BO132" s="24"/>
      <c r="BP132" s="72"/>
      <c r="BQ132" s="24"/>
      <c r="BR132" s="72"/>
      <c r="BS132" s="24"/>
      <c r="BT132" s="72"/>
      <c r="BU132" s="24"/>
      <c r="BV132" s="72"/>
      <c r="BW132" s="24"/>
      <c r="BX132" s="72"/>
      <c r="BY132" s="24"/>
      <c r="BZ132" s="72"/>
      <c r="CA132" s="24"/>
      <c r="CB132" s="72"/>
      <c r="CC132" s="24"/>
      <c r="CD132" s="72"/>
      <c r="CE132" s="24"/>
      <c r="CF132" s="72"/>
      <c r="CG132" s="24"/>
      <c r="CH132" s="72"/>
      <c r="CI132" s="24"/>
      <c r="CJ132" s="72"/>
      <c r="CK132" s="24"/>
      <c r="CL132" s="72"/>
      <c r="CM132" s="24"/>
      <c r="CN132" s="72"/>
      <c r="CO132" s="24"/>
      <c r="CP132" s="72"/>
      <c r="CQ132" s="24"/>
      <c r="CR132" s="72"/>
    </row>
    <row r="133" spans="1:96" x14ac:dyDescent="0.25">
      <c r="A133" s="45"/>
      <c r="B133" s="183">
        <v>168185.01</v>
      </c>
      <c r="C133" s="153" t="s">
        <v>13088</v>
      </c>
      <c r="D133" s="29">
        <v>147000</v>
      </c>
      <c r="E133" s="24" t="s">
        <v>13136</v>
      </c>
      <c r="F133" s="29">
        <v>41000</v>
      </c>
      <c r="G133" s="24" t="s">
        <v>13222</v>
      </c>
      <c r="H133" s="29">
        <v>15636.42</v>
      </c>
      <c r="I133" s="24" t="s">
        <v>13172</v>
      </c>
      <c r="J133" s="29">
        <v>8000</v>
      </c>
      <c r="K133" s="24" t="s">
        <v>13207</v>
      </c>
      <c r="L133" s="29">
        <v>10100</v>
      </c>
      <c r="M133" s="24" t="s">
        <v>13307</v>
      </c>
      <c r="N133" s="29">
        <v>5214.3599999999997</v>
      </c>
      <c r="O133" s="24" t="s">
        <v>13370</v>
      </c>
      <c r="P133" s="29">
        <v>28913</v>
      </c>
      <c r="Q133" s="166" t="s">
        <v>13409</v>
      </c>
      <c r="R133" s="29">
        <v>4065</v>
      </c>
      <c r="S133" s="24" t="s">
        <v>13464</v>
      </c>
      <c r="T133" s="29">
        <v>5500</v>
      </c>
      <c r="U133" s="166" t="s">
        <v>13510</v>
      </c>
      <c r="V133" s="29"/>
      <c r="W133" s="24"/>
      <c r="X133" s="29"/>
      <c r="Y133" s="24"/>
      <c r="Z133" s="104">
        <v>5000</v>
      </c>
      <c r="AA133" s="24" t="s">
        <v>13591</v>
      </c>
      <c r="AB133" s="30">
        <v>20000</v>
      </c>
      <c r="AC133" s="15" t="s">
        <v>13646</v>
      </c>
      <c r="AD133" s="29">
        <v>24390.38</v>
      </c>
      <c r="AE133" s="24" t="s">
        <v>13695</v>
      </c>
      <c r="AF133" s="29">
        <v>82000</v>
      </c>
      <c r="AG133" s="85" t="s">
        <v>13742</v>
      </c>
      <c r="AH133" s="29">
        <v>2625.11</v>
      </c>
      <c r="AI133" s="85" t="s">
        <v>13806</v>
      </c>
      <c r="AJ133" s="96"/>
      <c r="AK133" s="15"/>
      <c r="AL133" s="29"/>
      <c r="AM133" s="85"/>
      <c r="AN133" s="29">
        <v>140000</v>
      </c>
      <c r="AO133" s="24" t="s">
        <v>13834</v>
      </c>
      <c r="AP133" s="29">
        <v>624800</v>
      </c>
      <c r="AQ133" s="24" t="s">
        <v>13875</v>
      </c>
      <c r="AR133" s="29">
        <v>50000</v>
      </c>
      <c r="AS133" s="284" t="s">
        <v>13930</v>
      </c>
      <c r="AT133" s="29">
        <v>250000</v>
      </c>
      <c r="AU133" s="24" t="s">
        <v>13989</v>
      </c>
      <c r="AV133" s="104">
        <v>10000</v>
      </c>
      <c r="AW133" s="24" t="s">
        <v>14043</v>
      </c>
      <c r="AX133" s="29"/>
      <c r="AY133" s="24"/>
      <c r="AZ133" s="29">
        <v>373506.85</v>
      </c>
      <c r="BA133" s="24" t="s">
        <v>14091</v>
      </c>
      <c r="BB133" s="29">
        <v>186.3</v>
      </c>
      <c r="BC133" s="24" t="s">
        <v>14150</v>
      </c>
      <c r="BD133" s="29">
        <v>9251.41</v>
      </c>
      <c r="BE133" s="24" t="s">
        <v>14170</v>
      </c>
      <c r="BF133" s="29">
        <v>541943.85</v>
      </c>
      <c r="BG133" s="24" t="s">
        <v>14191</v>
      </c>
      <c r="BH133" s="30"/>
      <c r="BI133" s="15"/>
      <c r="BJ133" s="96"/>
      <c r="BK133" s="26"/>
      <c r="BL133" s="72"/>
      <c r="BM133" s="24"/>
      <c r="BN133" s="72"/>
      <c r="BO133" s="24"/>
      <c r="BP133" s="72"/>
      <c r="BQ133" s="24"/>
      <c r="BR133" s="72"/>
      <c r="BS133" s="24"/>
      <c r="BT133" s="72"/>
      <c r="BU133" s="24"/>
      <c r="BV133" s="72"/>
      <c r="BW133" s="24"/>
      <c r="BX133" s="72"/>
      <c r="BY133" s="24"/>
      <c r="BZ133" s="72"/>
      <c r="CA133" s="24"/>
      <c r="CB133" s="72"/>
      <c r="CC133" s="24"/>
      <c r="CD133" s="72"/>
      <c r="CE133" s="24"/>
      <c r="CF133" s="72"/>
      <c r="CG133" s="24"/>
      <c r="CH133" s="72"/>
      <c r="CI133" s="24"/>
      <c r="CJ133" s="72"/>
      <c r="CK133" s="24"/>
      <c r="CL133" s="72"/>
      <c r="CM133" s="24"/>
      <c r="CN133" s="72"/>
      <c r="CO133" s="24"/>
      <c r="CP133" s="72"/>
      <c r="CQ133" s="24"/>
      <c r="CR133" s="72"/>
    </row>
    <row r="134" spans="1:96" x14ac:dyDescent="0.25">
      <c r="A134" s="45"/>
      <c r="B134" s="183">
        <v>200192.16</v>
      </c>
      <c r="C134" s="153" t="s">
        <v>13090</v>
      </c>
      <c r="D134" s="96">
        <v>21824.99</v>
      </c>
      <c r="E134" s="15" t="s">
        <v>13139</v>
      </c>
      <c r="F134" s="29">
        <v>539307</v>
      </c>
      <c r="G134" s="24" t="s">
        <v>13223</v>
      </c>
      <c r="H134" s="29">
        <v>3036</v>
      </c>
      <c r="I134" s="24" t="s">
        <v>13183</v>
      </c>
      <c r="J134" s="29">
        <v>11851.6</v>
      </c>
      <c r="K134" s="24" t="s">
        <v>13216</v>
      </c>
      <c r="L134" s="29">
        <v>339900</v>
      </c>
      <c r="M134" s="24" t="s">
        <v>13308</v>
      </c>
      <c r="N134" s="97">
        <f>+N132+N133</f>
        <v>13880.2</v>
      </c>
      <c r="O134" s="24"/>
      <c r="P134" s="29">
        <v>110000</v>
      </c>
      <c r="Q134" s="166" t="s">
        <v>13411</v>
      </c>
      <c r="R134" s="29">
        <v>2065</v>
      </c>
      <c r="S134" s="24" t="s">
        <v>13465</v>
      </c>
      <c r="T134" s="29">
        <v>1631.22</v>
      </c>
      <c r="U134" s="166" t="s">
        <v>13511</v>
      </c>
      <c r="V134" s="29"/>
      <c r="W134" s="24"/>
      <c r="X134" s="29">
        <v>351600</v>
      </c>
      <c r="Y134" s="24" t="s">
        <v>13563</v>
      </c>
      <c r="Z134" s="104">
        <v>275200</v>
      </c>
      <c r="AA134" s="24" t="s">
        <v>13594</v>
      </c>
      <c r="AB134" s="101">
        <v>237800</v>
      </c>
      <c r="AC134" s="57" t="s">
        <v>13649</v>
      </c>
      <c r="AD134" s="29">
        <v>160000</v>
      </c>
      <c r="AE134" s="24" t="s">
        <v>13696</v>
      </c>
      <c r="AF134" s="138">
        <v>480200</v>
      </c>
      <c r="AG134" t="s">
        <v>13744</v>
      </c>
      <c r="AH134" s="29">
        <v>4395</v>
      </c>
      <c r="AI134" s="85" t="s">
        <v>13810</v>
      </c>
      <c r="AJ134" s="29"/>
      <c r="AK134" s="24"/>
      <c r="AL134" s="29"/>
      <c r="AM134" s="85"/>
      <c r="AN134" s="29">
        <v>1995</v>
      </c>
      <c r="AO134" s="24" t="s">
        <v>13845</v>
      </c>
      <c r="AP134" s="29">
        <v>368200</v>
      </c>
      <c r="AQ134" s="24" t="s">
        <v>13876</v>
      </c>
      <c r="AR134" s="29">
        <v>1995</v>
      </c>
      <c r="AS134" s="284" t="s">
        <v>13934</v>
      </c>
      <c r="AT134" s="29">
        <v>2400</v>
      </c>
      <c r="AU134" s="24" t="s">
        <v>13997</v>
      </c>
      <c r="AV134" s="29">
        <v>10000</v>
      </c>
      <c r="AW134" s="24" t="s">
        <v>14044</v>
      </c>
      <c r="AX134" s="29"/>
      <c r="AY134" s="24"/>
      <c r="AZ134" s="96">
        <v>3668.66</v>
      </c>
      <c r="BA134" s="15" t="s">
        <v>14094</v>
      </c>
      <c r="BB134" s="122">
        <v>207300</v>
      </c>
      <c r="BC134" s="24" t="s">
        <v>14155</v>
      </c>
      <c r="BD134" s="29">
        <v>59731.1</v>
      </c>
      <c r="BE134" s="24" t="s">
        <v>14171</v>
      </c>
      <c r="BF134" s="29">
        <v>17455.59</v>
      </c>
      <c r="BG134" s="24" t="s">
        <v>14192</v>
      </c>
      <c r="BH134" s="101"/>
      <c r="BI134" s="57"/>
      <c r="BJ134" s="122"/>
      <c r="BK134" s="24"/>
      <c r="BL134" s="72"/>
      <c r="BM134" s="24"/>
      <c r="BN134" s="72"/>
      <c r="BO134" s="24"/>
      <c r="BP134" s="72"/>
      <c r="BQ134" s="24"/>
      <c r="BR134" s="72"/>
      <c r="BS134" s="24"/>
      <c r="BT134" s="72"/>
      <c r="BU134" s="24"/>
      <c r="BV134" s="72"/>
      <c r="BW134" s="24"/>
      <c r="BX134" s="72"/>
      <c r="BY134" s="24"/>
      <c r="BZ134" s="72"/>
      <c r="CA134" s="24"/>
      <c r="CB134" s="72"/>
      <c r="CC134" s="24"/>
      <c r="CD134" s="72"/>
      <c r="CE134" s="24"/>
      <c r="CF134" s="72"/>
      <c r="CG134" s="24"/>
      <c r="CH134" s="72"/>
      <c r="CI134" s="24"/>
      <c r="CJ134" s="72"/>
      <c r="CK134" s="24"/>
      <c r="CL134" s="72"/>
      <c r="CM134" s="24"/>
      <c r="CN134" s="72"/>
      <c r="CO134" s="24"/>
      <c r="CP134" s="72"/>
      <c r="CQ134" s="24"/>
      <c r="CR134" s="72"/>
    </row>
    <row r="135" spans="1:96" x14ac:dyDescent="0.25">
      <c r="A135" s="45"/>
      <c r="B135" s="29">
        <v>10000</v>
      </c>
      <c r="C135" s="24" t="s">
        <v>13094</v>
      </c>
      <c r="D135" s="29">
        <v>1169</v>
      </c>
      <c r="E135" s="24" t="s">
        <v>13152</v>
      </c>
      <c r="F135" s="122">
        <v>304122</v>
      </c>
      <c r="G135" s="24" t="s">
        <v>13224</v>
      </c>
      <c r="H135" s="29">
        <v>2550</v>
      </c>
      <c r="I135" s="24" t="s">
        <v>13188</v>
      </c>
      <c r="J135" s="97">
        <f>+SUM(J132:J134)</f>
        <v>262951.59999999998</v>
      </c>
      <c r="K135" s="24"/>
      <c r="L135" s="29">
        <v>35799.910000000003</v>
      </c>
      <c r="M135" s="24" t="s">
        <v>13309</v>
      </c>
      <c r="N135" s="29"/>
      <c r="O135" s="24"/>
      <c r="P135" s="29">
        <v>79201.149999999994</v>
      </c>
      <c r="Q135" s="166" t="s">
        <v>13414</v>
      </c>
      <c r="R135" s="29">
        <v>5986.98</v>
      </c>
      <c r="S135" s="24" t="s">
        <v>13466</v>
      </c>
      <c r="T135" s="29">
        <v>1233.82</v>
      </c>
      <c r="U135" s="166" t="s">
        <v>13512</v>
      </c>
      <c r="V135" s="29"/>
      <c r="W135" s="24"/>
      <c r="X135" s="29">
        <v>1099</v>
      </c>
      <c r="Y135" s="24" t="s">
        <v>13584</v>
      </c>
      <c r="Z135" s="104">
        <v>182851.7</v>
      </c>
      <c r="AA135" s="24" t="s">
        <v>13595</v>
      </c>
      <c r="AB135" s="31">
        <v>10000</v>
      </c>
      <c r="AC135" s="24" t="s">
        <v>13653</v>
      </c>
      <c r="AD135" s="29">
        <v>8000</v>
      </c>
      <c r="AE135" s="24" t="s">
        <v>13698</v>
      </c>
      <c r="AF135" s="138">
        <v>11503.51</v>
      </c>
      <c r="AG135" s="85" t="s">
        <v>13745</v>
      </c>
      <c r="AH135" s="29">
        <v>1350</v>
      </c>
      <c r="AI135" s="85" t="s">
        <v>13814</v>
      </c>
      <c r="AJ135" s="29"/>
      <c r="AK135" s="24"/>
      <c r="AL135" s="29"/>
      <c r="AM135" s="85"/>
      <c r="AN135" s="29">
        <v>1970</v>
      </c>
      <c r="AO135" s="24" t="s">
        <v>13846</v>
      </c>
      <c r="AP135" s="29">
        <v>60000</v>
      </c>
      <c r="AQ135" s="24" t="s">
        <v>13878</v>
      </c>
      <c r="AR135" s="29">
        <v>3169</v>
      </c>
      <c r="AS135" s="284" t="s">
        <v>13941</v>
      </c>
      <c r="AT135" s="30">
        <v>80000</v>
      </c>
      <c r="AU135" s="15" t="s">
        <v>13998</v>
      </c>
      <c r="AV135" s="29">
        <v>5000</v>
      </c>
      <c r="AW135" s="24" t="s">
        <v>14045</v>
      </c>
      <c r="AX135" s="96"/>
      <c r="AY135" s="15"/>
      <c r="AZ135" s="242">
        <f>+AZ132+AZ133+AZ134</f>
        <v>474072.42</v>
      </c>
      <c r="BA135" s="15"/>
      <c r="BB135" s="96">
        <v>5711</v>
      </c>
      <c r="BC135" s="15" t="s">
        <v>14164</v>
      </c>
      <c r="BD135" s="29">
        <v>58659.59</v>
      </c>
      <c r="BE135" s="24" t="s">
        <v>14172</v>
      </c>
      <c r="BF135" s="29">
        <v>4836</v>
      </c>
      <c r="BG135" s="24" t="s">
        <v>14194</v>
      </c>
      <c r="BH135" s="104"/>
      <c r="BI135" s="24"/>
      <c r="BJ135" s="122"/>
      <c r="BK135" s="24"/>
      <c r="BL135" s="24"/>
      <c r="BM135" s="24"/>
      <c r="BN135" s="72"/>
      <c r="BO135" s="24"/>
      <c r="BP135" s="72"/>
      <c r="BQ135" s="24"/>
      <c r="BR135" s="72"/>
      <c r="BS135" s="24"/>
      <c r="BT135" s="72"/>
      <c r="BU135" s="24"/>
      <c r="BV135" s="72"/>
      <c r="BW135" s="24"/>
      <c r="BX135" s="72"/>
      <c r="BY135" s="24"/>
      <c r="BZ135" s="72"/>
      <c r="CA135" s="24"/>
      <c r="CB135" s="72"/>
      <c r="CC135" s="24"/>
      <c r="CD135" s="72"/>
      <c r="CE135" s="24"/>
      <c r="CF135" s="72"/>
      <c r="CG135" s="24"/>
      <c r="CH135" s="72"/>
      <c r="CI135" s="24"/>
      <c r="CJ135" s="72"/>
      <c r="CK135" s="24"/>
      <c r="CL135" s="72"/>
      <c r="CM135" s="24"/>
      <c r="CN135" s="72"/>
      <c r="CO135" s="24"/>
      <c r="CP135" s="72"/>
      <c r="CQ135" s="24"/>
      <c r="CR135" s="72"/>
    </row>
    <row r="136" spans="1:96" x14ac:dyDescent="0.25">
      <c r="A136" s="45"/>
      <c r="B136" s="29">
        <v>3169</v>
      </c>
      <c r="C136" s="24" t="s">
        <v>13101</v>
      </c>
      <c r="D136" s="29">
        <v>2865.04</v>
      </c>
      <c r="E136" s="24" t="s">
        <v>13158</v>
      </c>
      <c r="F136" s="122">
        <v>218956.84</v>
      </c>
      <c r="G136" s="24" t="s">
        <v>13225</v>
      </c>
      <c r="H136" s="96">
        <v>1099</v>
      </c>
      <c r="I136" s="26" t="s">
        <v>13188</v>
      </c>
      <c r="J136" s="29"/>
      <c r="K136" s="24"/>
      <c r="L136" s="29">
        <v>47000</v>
      </c>
      <c r="M136" s="24" t="s">
        <v>13320</v>
      </c>
      <c r="N136" s="29">
        <v>539900</v>
      </c>
      <c r="O136" s="24" t="s">
        <v>13376</v>
      </c>
      <c r="P136" s="29">
        <v>761014.63</v>
      </c>
      <c r="Q136" s="166" t="s">
        <v>13415</v>
      </c>
      <c r="R136" s="29">
        <v>3239</v>
      </c>
      <c r="S136" s="24" t="s">
        <v>13467</v>
      </c>
      <c r="T136" s="29">
        <v>1233.82</v>
      </c>
      <c r="U136" s="166" t="s">
        <v>13513</v>
      </c>
      <c r="V136" s="94"/>
      <c r="W136" s="24"/>
      <c r="X136" s="29">
        <v>3250</v>
      </c>
      <c r="Y136" s="24" t="s">
        <v>13585</v>
      </c>
      <c r="Z136" s="104">
        <v>100000</v>
      </c>
      <c r="AA136" s="24" t="s">
        <v>13596</v>
      </c>
      <c r="AB136" s="31">
        <v>5500</v>
      </c>
      <c r="AC136" s="24" t="s">
        <v>13654</v>
      </c>
      <c r="AD136" s="29">
        <v>242000</v>
      </c>
      <c r="AE136" s="24" t="s">
        <v>13657</v>
      </c>
      <c r="AF136" s="138">
        <v>8959.35</v>
      </c>
      <c r="AG136" s="85" t="s">
        <v>13746</v>
      </c>
      <c r="AH136" s="97">
        <f>+SUM(AH132:AH135)</f>
        <v>9747.59</v>
      </c>
      <c r="AI136" s="85"/>
      <c r="AJ136" s="29"/>
      <c r="AK136" s="72"/>
      <c r="AL136" s="29"/>
      <c r="AM136" s="85"/>
      <c r="AN136" s="29">
        <v>1970</v>
      </c>
      <c r="AO136" s="24" t="s">
        <v>13847</v>
      </c>
      <c r="AP136" s="96">
        <v>80135.600000000006</v>
      </c>
      <c r="AQ136" s="26" t="s">
        <v>13879</v>
      </c>
      <c r="AR136" s="29">
        <v>1099.01</v>
      </c>
      <c r="AS136" s="284" t="s">
        <v>13943</v>
      </c>
      <c r="AT136" s="30">
        <v>245000</v>
      </c>
      <c r="AU136" s="15" t="s">
        <v>13999</v>
      </c>
      <c r="AV136" s="29">
        <v>5000</v>
      </c>
      <c r="AW136" s="24" t="s">
        <v>14046</v>
      </c>
      <c r="AX136" s="96"/>
      <c r="AY136" s="15"/>
      <c r="AZ136" s="29"/>
      <c r="BA136" s="24"/>
      <c r="BB136" s="29">
        <v>1099</v>
      </c>
      <c r="BC136" s="24" t="s">
        <v>14165</v>
      </c>
      <c r="BD136" s="29">
        <v>436</v>
      </c>
      <c r="BE136" s="24" t="s">
        <v>14173</v>
      </c>
      <c r="BF136" s="29">
        <v>151600</v>
      </c>
      <c r="BG136" s="24" t="s">
        <v>14196</v>
      </c>
      <c r="BH136" s="104"/>
      <c r="BI136" s="24"/>
      <c r="BJ136" s="183"/>
      <c r="BK136" s="120"/>
      <c r="BL136" s="24"/>
      <c r="BM136" s="24"/>
      <c r="BN136" s="72"/>
      <c r="BO136" s="24"/>
      <c r="BP136" s="24"/>
      <c r="BQ136" s="24"/>
      <c r="BR136" s="72"/>
      <c r="BS136" s="24"/>
      <c r="BT136" s="72"/>
      <c r="BU136" s="24"/>
      <c r="BV136" s="72"/>
      <c r="BW136" s="24"/>
      <c r="BX136" s="72"/>
      <c r="BY136" s="24"/>
      <c r="BZ136" s="72"/>
      <c r="CA136" s="24"/>
      <c r="CB136" s="72"/>
      <c r="CC136" s="24"/>
      <c r="CD136" s="72"/>
      <c r="CE136" s="24"/>
      <c r="CF136" s="72"/>
      <c r="CG136" s="24"/>
      <c r="CH136" s="72"/>
      <c r="CI136" s="24"/>
      <c r="CJ136" s="72"/>
      <c r="CK136" s="24"/>
      <c r="CL136" s="72"/>
      <c r="CM136" s="24"/>
      <c r="CN136" s="72"/>
      <c r="CO136" s="24"/>
      <c r="CP136" s="72"/>
      <c r="CQ136" s="24"/>
      <c r="CR136" s="72"/>
    </row>
    <row r="137" spans="1:96" x14ac:dyDescent="0.25">
      <c r="A137" s="45"/>
      <c r="B137" s="128">
        <v>3946</v>
      </c>
      <c r="C137" s="153" t="s">
        <v>13109</v>
      </c>
      <c r="D137" s="29">
        <v>1233.82</v>
      </c>
      <c r="E137" s="24" t="s">
        <v>13159</v>
      </c>
      <c r="F137" s="122">
        <v>260000</v>
      </c>
      <c r="G137" s="24" t="s">
        <v>13231</v>
      </c>
      <c r="H137" s="29">
        <v>1099</v>
      </c>
      <c r="I137" s="24" t="s">
        <v>13190</v>
      </c>
      <c r="J137" s="260">
        <v>5000</v>
      </c>
      <c r="K137" s="24" t="s">
        <v>13272</v>
      </c>
      <c r="L137" s="29">
        <v>2000</v>
      </c>
      <c r="M137" s="24" t="s">
        <v>13321</v>
      </c>
      <c r="N137" s="96">
        <v>140000</v>
      </c>
      <c r="O137" s="26" t="s">
        <v>13381</v>
      </c>
      <c r="P137" s="29">
        <v>150000</v>
      </c>
      <c r="Q137" s="166" t="s">
        <v>13416</v>
      </c>
      <c r="R137" s="29">
        <v>1970</v>
      </c>
      <c r="S137" s="24" t="s">
        <v>13468</v>
      </c>
      <c r="T137" s="30">
        <v>319.37</v>
      </c>
      <c r="U137" s="162" t="s">
        <v>13515</v>
      </c>
      <c r="V137" s="94"/>
      <c r="W137" s="24"/>
      <c r="X137" s="29">
        <v>1970</v>
      </c>
      <c r="Y137" s="24" t="s">
        <v>13586</v>
      </c>
      <c r="Z137" s="104">
        <v>81291.7</v>
      </c>
      <c r="AA137" s="24" t="s">
        <v>13598</v>
      </c>
      <c r="AB137" s="183">
        <v>295000</v>
      </c>
      <c r="AC137" s="24" t="s">
        <v>13655</v>
      </c>
      <c r="AD137" s="29">
        <v>7281</v>
      </c>
      <c r="AE137" s="24" t="s">
        <v>13704</v>
      </c>
      <c r="AF137" s="138">
        <v>43226.81</v>
      </c>
      <c r="AG137" s="85" t="s">
        <v>13747</v>
      </c>
      <c r="AH137" s="29"/>
      <c r="AI137" s="85"/>
      <c r="AJ137" s="29"/>
      <c r="AK137" s="72"/>
      <c r="AL137" s="94"/>
      <c r="AM137" s="85"/>
      <c r="AN137" s="100">
        <f>+SUM(AN132:AN136)</f>
        <v>235935</v>
      </c>
      <c r="AO137" s="24"/>
      <c r="AP137" s="29">
        <v>1995</v>
      </c>
      <c r="AQ137" s="24" t="s">
        <v>13887</v>
      </c>
      <c r="AR137" s="122">
        <v>1099</v>
      </c>
      <c r="AS137" s="284" t="s">
        <v>13947</v>
      </c>
      <c r="AT137" s="29">
        <v>5000</v>
      </c>
      <c r="AU137" s="24" t="s">
        <v>14004</v>
      </c>
      <c r="AV137" s="29">
        <v>10</v>
      </c>
      <c r="AW137" s="24" t="s">
        <v>14047</v>
      </c>
      <c r="AX137" s="29"/>
      <c r="AY137" s="24"/>
      <c r="AZ137" s="29">
        <v>229600</v>
      </c>
      <c r="BA137" s="24" t="s">
        <v>14107</v>
      </c>
      <c r="BB137" s="97">
        <f>+SUM(BB132:BB136)</f>
        <v>482496.3</v>
      </c>
      <c r="BC137" s="24"/>
      <c r="BD137" s="29">
        <v>2369</v>
      </c>
      <c r="BE137" s="24" t="s">
        <v>14174</v>
      </c>
      <c r="BF137" s="29">
        <v>25000</v>
      </c>
      <c r="BG137" s="24" t="s">
        <v>14198</v>
      </c>
      <c r="BH137" s="146"/>
      <c r="BI137" s="24"/>
      <c r="BJ137" s="183"/>
      <c r="BK137" s="120"/>
      <c r="BL137" s="72"/>
      <c r="BM137" s="24"/>
      <c r="BN137" s="72"/>
      <c r="BO137" s="24"/>
      <c r="BP137" s="72"/>
      <c r="BQ137" s="24"/>
      <c r="BR137" s="72"/>
      <c r="BS137" s="24"/>
      <c r="BT137" s="72"/>
      <c r="BU137" s="24"/>
      <c r="BV137" s="72"/>
      <c r="BW137" s="24"/>
      <c r="BX137" s="72"/>
      <c r="BY137" s="24"/>
      <c r="BZ137" s="72"/>
      <c r="CA137" s="24"/>
      <c r="CB137" s="72"/>
      <c r="CC137" s="24"/>
      <c r="CD137" s="72"/>
      <c r="CE137" s="24"/>
      <c r="CF137" s="72"/>
      <c r="CG137" s="24"/>
      <c r="CH137" s="72"/>
      <c r="CI137" s="24"/>
      <c r="CJ137" s="72"/>
      <c r="CK137" s="24"/>
      <c r="CL137" s="72"/>
      <c r="CM137" s="24"/>
      <c r="CN137" s="72"/>
      <c r="CO137" s="24"/>
      <c r="CP137" s="72"/>
      <c r="CQ137" s="24"/>
      <c r="CR137" s="72"/>
    </row>
    <row r="138" spans="1:96" x14ac:dyDescent="0.25">
      <c r="A138" s="45"/>
      <c r="B138" s="221">
        <f>+SUM(B132:B137)</f>
        <v>534894.87</v>
      </c>
      <c r="C138" s="153"/>
      <c r="D138" s="97">
        <f>+SUM(D132:D137)</f>
        <v>785892.85</v>
      </c>
      <c r="E138" s="24"/>
      <c r="F138" s="122">
        <v>29000</v>
      </c>
      <c r="G138" s="24" t="s">
        <v>13237</v>
      </c>
      <c r="H138" s="29">
        <v>1099</v>
      </c>
      <c r="I138" s="24" t="s">
        <v>13191</v>
      </c>
      <c r="J138" s="96">
        <v>3320</v>
      </c>
      <c r="K138" s="15" t="s">
        <v>13277</v>
      </c>
      <c r="L138" s="29">
        <v>1169</v>
      </c>
      <c r="M138" s="24" t="s">
        <v>13323</v>
      </c>
      <c r="N138" s="122">
        <v>390318.43</v>
      </c>
      <c r="O138" s="24" t="s">
        <v>13382</v>
      </c>
      <c r="P138" s="29">
        <v>67400</v>
      </c>
      <c r="Q138" s="166" t="s">
        <v>13417</v>
      </c>
      <c r="R138" s="29">
        <v>2065</v>
      </c>
      <c r="S138" s="24" t="s">
        <v>13469</v>
      </c>
      <c r="T138" s="29">
        <v>1100</v>
      </c>
      <c r="U138" s="166" t="s">
        <v>13521</v>
      </c>
      <c r="V138" s="122"/>
      <c r="W138" s="24"/>
      <c r="X138" s="200">
        <f>+SUM(X134:X137)</f>
        <v>357919</v>
      </c>
      <c r="Y138" s="24"/>
      <c r="Z138" s="104">
        <v>1995</v>
      </c>
      <c r="AA138" s="24" t="s">
        <v>13608</v>
      </c>
      <c r="AB138" s="183">
        <v>20000</v>
      </c>
      <c r="AC138" s="24" t="s">
        <v>13675</v>
      </c>
      <c r="AD138" s="29">
        <v>539307</v>
      </c>
      <c r="AE138" s="24" t="s">
        <v>13720</v>
      </c>
      <c r="AF138" s="138">
        <v>16108.05</v>
      </c>
      <c r="AG138" s="85" t="s">
        <v>13748</v>
      </c>
      <c r="AH138" s="29"/>
      <c r="AI138" s="85"/>
      <c r="AJ138" s="29"/>
      <c r="AK138" s="24"/>
      <c r="AL138" s="96"/>
      <c r="AM138" s="15"/>
      <c r="AN138" s="29"/>
      <c r="AO138" s="24"/>
      <c r="AP138" s="96">
        <v>1995</v>
      </c>
      <c r="AQ138" s="26" t="s">
        <v>13896</v>
      </c>
      <c r="AR138" s="227">
        <v>10249</v>
      </c>
      <c r="AS138" s="284" t="s">
        <v>13948</v>
      </c>
      <c r="AT138" s="29">
        <v>1099</v>
      </c>
      <c r="AU138" s="24" t="s">
        <v>14005</v>
      </c>
      <c r="AV138" s="29">
        <v>3169</v>
      </c>
      <c r="AW138" s="24" t="s">
        <v>14053</v>
      </c>
      <c r="AX138" s="96"/>
      <c r="AY138" s="15"/>
      <c r="AZ138" s="96">
        <v>5000</v>
      </c>
      <c r="BA138" s="15" t="s">
        <v>14109</v>
      </c>
      <c r="BB138" s="29"/>
      <c r="BC138" s="24"/>
      <c r="BD138" s="30">
        <v>30000</v>
      </c>
      <c r="BE138" s="15" t="s">
        <v>14175</v>
      </c>
      <c r="BF138" s="29">
        <v>6743.69</v>
      </c>
      <c r="BG138" s="24" t="s">
        <v>14199</v>
      </c>
      <c r="BH138" s="30"/>
      <c r="BI138" s="24"/>
      <c r="BJ138" s="208"/>
      <c r="BK138" s="120"/>
      <c r="BL138" s="72"/>
      <c r="BM138" s="24"/>
      <c r="BN138" s="24"/>
      <c r="BO138" s="24"/>
      <c r="BP138" s="72"/>
      <c r="BQ138" s="24"/>
      <c r="BR138" s="72"/>
      <c r="BS138" s="24"/>
      <c r="BT138" s="72"/>
      <c r="BU138" s="24"/>
      <c r="BV138" s="72"/>
      <c r="BW138" s="24"/>
      <c r="BX138" s="72"/>
      <c r="BY138" s="24"/>
      <c r="BZ138" s="72"/>
      <c r="CA138" s="24"/>
      <c r="CB138" s="72"/>
      <c r="CC138" s="24"/>
      <c r="CD138" s="72"/>
      <c r="CE138" s="24"/>
      <c r="CF138" s="72"/>
      <c r="CG138" s="24"/>
      <c r="CH138" s="72"/>
      <c r="CI138" s="24"/>
      <c r="CJ138" s="72"/>
      <c r="CK138" s="24"/>
      <c r="CL138" s="72"/>
      <c r="CM138" s="24"/>
      <c r="CN138" s="72"/>
      <c r="CO138" s="24"/>
      <c r="CP138" s="72"/>
      <c r="CQ138" s="24"/>
      <c r="CR138" s="72"/>
    </row>
    <row r="139" spans="1:96" x14ac:dyDescent="0.25">
      <c r="A139" s="45"/>
      <c r="B139" s="183"/>
      <c r="C139" s="153"/>
      <c r="D139" s="104"/>
      <c r="E139" s="24"/>
      <c r="F139" s="122">
        <v>1970</v>
      </c>
      <c r="G139" s="24" t="s">
        <v>13242</v>
      </c>
      <c r="H139" s="29">
        <v>1099</v>
      </c>
      <c r="I139" s="24" t="s">
        <v>13192</v>
      </c>
      <c r="J139" s="122">
        <v>4465</v>
      </c>
      <c r="K139" s="24" t="s">
        <v>13278</v>
      </c>
      <c r="L139" s="29">
        <v>5458.8</v>
      </c>
      <c r="M139" s="24" t="s">
        <v>13324</v>
      </c>
      <c r="N139" s="122">
        <v>4395</v>
      </c>
      <c r="O139" s="24" t="s">
        <v>13389</v>
      </c>
      <c r="P139" s="29">
        <v>4500</v>
      </c>
      <c r="Q139" s="166" t="s">
        <v>13418</v>
      </c>
      <c r="R139" s="29">
        <v>2040.9</v>
      </c>
      <c r="S139" s="24" t="s">
        <v>13470</v>
      </c>
      <c r="T139" s="29">
        <v>11210.12</v>
      </c>
      <c r="U139" s="166" t="s">
        <v>13528</v>
      </c>
      <c r="V139" s="122"/>
      <c r="W139" s="24"/>
      <c r="X139" s="122"/>
      <c r="Y139" s="24"/>
      <c r="Z139" s="104">
        <v>3250</v>
      </c>
      <c r="AA139" s="24" t="s">
        <v>13609</v>
      </c>
      <c r="AB139" s="151">
        <f>+SUM(AB132:AB138)</f>
        <v>948700</v>
      </c>
      <c r="AC139" s="24"/>
      <c r="AD139" s="97">
        <f>+SUM(AD132:AD138)</f>
        <v>1206678.3799999999</v>
      </c>
      <c r="AE139" s="24"/>
      <c r="AF139" s="138">
        <v>12103.99</v>
      </c>
      <c r="AG139" s="85" t="s">
        <v>13749</v>
      </c>
      <c r="AH139" s="29"/>
      <c r="AI139" s="85"/>
      <c r="AJ139" s="29"/>
      <c r="AK139" s="24"/>
      <c r="AL139" s="29"/>
      <c r="AM139" s="85"/>
      <c r="AN139" s="29">
        <v>38000</v>
      </c>
      <c r="AO139" s="24" t="s">
        <v>13855</v>
      </c>
      <c r="AP139" s="96">
        <v>4577.63</v>
      </c>
      <c r="AQ139" s="26" t="s">
        <v>13898</v>
      </c>
      <c r="AR139" s="156">
        <f>+SUM(AR131:AR138)</f>
        <v>257748.26</v>
      </c>
      <c r="AS139" s="184"/>
      <c r="AT139" s="97">
        <f>+SUM(AT132:AT138)</f>
        <v>613499</v>
      </c>
      <c r="AU139" s="24"/>
      <c r="AV139" s="29">
        <v>1099.01</v>
      </c>
      <c r="AW139" s="24" t="s">
        <v>14070</v>
      </c>
      <c r="AX139" s="105"/>
      <c r="AY139" s="106"/>
      <c r="AZ139" s="96">
        <v>10000</v>
      </c>
      <c r="BA139" s="15" t="s">
        <v>14110</v>
      </c>
      <c r="BB139" s="29">
        <v>200000</v>
      </c>
      <c r="BC139" s="24" t="s">
        <v>14226</v>
      </c>
      <c r="BD139" s="30">
        <v>100000</v>
      </c>
      <c r="BE139" s="24" t="s">
        <v>14176</v>
      </c>
      <c r="BF139" s="29">
        <v>28000.76</v>
      </c>
      <c r="BG139" s="24" t="s">
        <v>14200</v>
      </c>
      <c r="BH139" s="30"/>
      <c r="BI139" s="24"/>
      <c r="BJ139" s="128"/>
      <c r="BK139" s="120"/>
      <c r="BL139" s="72"/>
      <c r="BM139" s="24"/>
      <c r="BN139" s="72"/>
      <c r="BO139" s="24"/>
      <c r="BP139" s="72"/>
      <c r="BQ139" s="24"/>
      <c r="BR139" s="72"/>
      <c r="BS139" s="24"/>
      <c r="BT139" s="72"/>
      <c r="BU139" s="24"/>
      <c r="BV139" s="72"/>
      <c r="BW139" s="24"/>
      <c r="BX139" s="72"/>
      <c r="BY139" s="24"/>
      <c r="BZ139" s="72"/>
      <c r="CA139" s="24"/>
      <c r="CB139" s="72"/>
      <c r="CC139" s="24"/>
      <c r="CD139" s="72"/>
      <c r="CE139" s="24"/>
      <c r="CF139" s="72"/>
      <c r="CG139" s="24"/>
      <c r="CH139" s="72"/>
      <c r="CI139" s="24"/>
      <c r="CJ139" s="72"/>
      <c r="CK139" s="24"/>
      <c r="CL139" s="72"/>
      <c r="CM139" s="24"/>
      <c r="CN139" s="72"/>
      <c r="CO139" s="24"/>
      <c r="CP139" s="72"/>
      <c r="CQ139" s="24"/>
      <c r="CR139" s="72"/>
    </row>
    <row r="140" spans="1:96" x14ac:dyDescent="0.25">
      <c r="A140" s="41"/>
      <c r="B140" s="183">
        <v>215000</v>
      </c>
      <c r="C140" s="153" t="s">
        <v>13111</v>
      </c>
      <c r="D140" s="30"/>
      <c r="E140" s="15"/>
      <c r="F140" s="122">
        <v>4395</v>
      </c>
      <c r="G140" s="24" t="s">
        <v>13264</v>
      </c>
      <c r="H140" s="30">
        <v>1099</v>
      </c>
      <c r="I140" s="15" t="s">
        <v>13194</v>
      </c>
      <c r="J140" s="29">
        <v>7524</v>
      </c>
      <c r="K140" s="24" t="s">
        <v>13289</v>
      </c>
      <c r="L140" s="30">
        <v>1479</v>
      </c>
      <c r="M140" s="15" t="s">
        <v>13328</v>
      </c>
      <c r="N140" s="122">
        <v>3250</v>
      </c>
      <c r="O140" s="24" t="s">
        <v>13390</v>
      </c>
      <c r="P140" s="30">
        <v>5500</v>
      </c>
      <c r="Q140" s="162" t="s">
        <v>13419</v>
      </c>
      <c r="R140" s="29">
        <v>3250.01</v>
      </c>
      <c r="S140" s="15" t="s">
        <v>13472</v>
      </c>
      <c r="T140" s="30">
        <v>1995</v>
      </c>
      <c r="U140" s="162" t="s">
        <v>13535</v>
      </c>
      <c r="V140" s="29"/>
      <c r="W140" s="24"/>
      <c r="X140" s="29"/>
      <c r="Y140" s="24"/>
      <c r="Z140" s="115">
        <f>+SUM(Z132:Z139)</f>
        <v>1249588.3999999999</v>
      </c>
      <c r="AA140" s="24"/>
      <c r="AB140" s="199"/>
      <c r="AC140" s="24"/>
      <c r="AD140" s="30"/>
      <c r="AE140" s="15"/>
      <c r="AF140" s="138">
        <v>41117.01</v>
      </c>
      <c r="AG140" s="85" t="s">
        <v>13750</v>
      </c>
      <c r="AH140" s="29"/>
      <c r="AI140" s="85"/>
      <c r="AJ140" s="30"/>
      <c r="AK140" s="15"/>
      <c r="AL140" s="30"/>
      <c r="AM140" s="86"/>
      <c r="AN140" s="30">
        <v>44000</v>
      </c>
      <c r="AO140" s="15" t="s">
        <v>13856</v>
      </c>
      <c r="AP140" s="100">
        <f>+SUM(AP132:AP139)</f>
        <v>1174457.97</v>
      </c>
      <c r="AQ140" s="15"/>
      <c r="AR140" s="227"/>
      <c r="AS140" s="184"/>
      <c r="AT140" s="30"/>
      <c r="AU140" s="15"/>
      <c r="AV140" s="29">
        <v>3250</v>
      </c>
      <c r="AW140" s="24" t="s">
        <v>14071</v>
      </c>
      <c r="AX140" s="96"/>
      <c r="AY140" s="15"/>
      <c r="AZ140" s="96">
        <v>20000</v>
      </c>
      <c r="BA140" s="15" t="s">
        <v>14112</v>
      </c>
      <c r="BB140" s="30">
        <v>40000</v>
      </c>
      <c r="BC140" s="15" t="s">
        <v>14230</v>
      </c>
      <c r="BD140" s="29">
        <v>200000</v>
      </c>
      <c r="BE140" s="15" t="s">
        <v>14177</v>
      </c>
      <c r="BF140" s="30">
        <v>9362.99</v>
      </c>
      <c r="BG140" s="15" t="s">
        <v>14201</v>
      </c>
      <c r="BH140" s="30"/>
      <c r="BI140" s="15"/>
      <c r="BJ140" s="183"/>
      <c r="BK140" s="127"/>
      <c r="BL140" s="9"/>
      <c r="BM140" s="15"/>
      <c r="BN140" s="9"/>
      <c r="BO140" s="15"/>
      <c r="BP140" s="9"/>
      <c r="BQ140" s="15"/>
      <c r="BR140" s="9"/>
      <c r="BS140" s="15"/>
      <c r="BT140" s="9"/>
      <c r="BU140" s="15"/>
      <c r="BV140" s="9"/>
      <c r="BW140" s="15"/>
      <c r="BX140" s="9"/>
      <c r="BY140" s="15"/>
      <c r="BZ140" s="9"/>
      <c r="CA140" s="15"/>
      <c r="CB140" s="9"/>
      <c r="CC140" s="15"/>
      <c r="CD140" s="9"/>
      <c r="CE140" s="15"/>
      <c r="CF140" s="9"/>
      <c r="CG140" s="15"/>
      <c r="CH140" s="9"/>
      <c r="CI140" s="15"/>
      <c r="CJ140" s="9"/>
      <c r="CK140" s="15"/>
      <c r="CL140" s="9"/>
      <c r="CM140" s="15"/>
      <c r="CN140" s="9"/>
      <c r="CO140" s="15"/>
      <c r="CP140" s="9"/>
      <c r="CQ140" s="15"/>
      <c r="CR140" s="9"/>
    </row>
    <row r="141" spans="1:96" x14ac:dyDescent="0.25">
      <c r="A141" s="45"/>
      <c r="B141" s="199">
        <v>215000</v>
      </c>
      <c r="C141" s="153" t="s">
        <v>13112</v>
      </c>
      <c r="D141" s="29"/>
      <c r="E141" s="24"/>
      <c r="F141" s="96">
        <v>1793.89</v>
      </c>
      <c r="G141" s="15" t="s">
        <v>13266</v>
      </c>
      <c r="H141" s="29">
        <v>3320</v>
      </c>
      <c r="I141" s="24" t="s">
        <v>13201</v>
      </c>
      <c r="J141" s="29">
        <v>3320</v>
      </c>
      <c r="K141" s="24" t="s">
        <v>13291</v>
      </c>
      <c r="L141" s="100">
        <f>+SUM(L132:L140)</f>
        <v>484976.71</v>
      </c>
      <c r="M141" s="24"/>
      <c r="N141" s="96">
        <v>1099.01</v>
      </c>
      <c r="O141" s="15" t="s">
        <v>13400</v>
      </c>
      <c r="P141" s="96">
        <v>4287.8599999999997</v>
      </c>
      <c r="Q141" s="162" t="s">
        <v>13420</v>
      </c>
      <c r="R141" s="97">
        <f>+SUM(R132:R140)</f>
        <v>27510.310000000005</v>
      </c>
      <c r="S141" s="15"/>
      <c r="T141" s="29">
        <v>11883.55</v>
      </c>
      <c r="U141" s="166" t="s">
        <v>13540</v>
      </c>
      <c r="V141" s="29"/>
      <c r="W141" s="24"/>
      <c r="X141" s="29"/>
      <c r="Y141" s="24"/>
      <c r="Z141" s="116"/>
      <c r="AA141" s="24"/>
      <c r="AB141" s="183">
        <v>125000</v>
      </c>
      <c r="AC141" s="24" t="s">
        <v>13681</v>
      </c>
      <c r="AD141" s="29">
        <v>1600</v>
      </c>
      <c r="AE141" s="24" t="s">
        <v>13721</v>
      </c>
      <c r="AF141" s="183">
        <v>9284.9500000000007</v>
      </c>
      <c r="AG141" s="85" t="s">
        <v>13751</v>
      </c>
      <c r="AH141" s="29"/>
      <c r="AI141" s="85"/>
      <c r="AJ141" s="29"/>
      <c r="AK141" s="24"/>
      <c r="AL141" s="29"/>
      <c r="AM141" s="85"/>
      <c r="AN141" s="29">
        <v>4218.12</v>
      </c>
      <c r="AO141" s="24" t="s">
        <v>13857</v>
      </c>
      <c r="AP141" s="122"/>
      <c r="AQ141" s="24"/>
      <c r="AR141" s="122">
        <v>14901.51</v>
      </c>
      <c r="AS141" s="184" t="s">
        <v>13966</v>
      </c>
      <c r="AT141" s="30">
        <v>4360</v>
      </c>
      <c r="AU141" s="24" t="s">
        <v>14035</v>
      </c>
      <c r="AV141" s="96">
        <v>1099</v>
      </c>
      <c r="AW141" s="15" t="s">
        <v>14080</v>
      </c>
      <c r="AX141" s="256"/>
      <c r="AY141" s="15"/>
      <c r="AZ141" s="96">
        <v>1995</v>
      </c>
      <c r="BA141" s="15" t="s">
        <v>14113</v>
      </c>
      <c r="BB141" s="29">
        <v>100000</v>
      </c>
      <c r="BC141" s="24" t="s">
        <v>14231</v>
      </c>
      <c r="BD141" s="29">
        <f>1790+180</f>
        <v>1970</v>
      </c>
      <c r="BE141" s="24" t="s">
        <v>14180</v>
      </c>
      <c r="BF141" s="29">
        <v>293683.08</v>
      </c>
      <c r="BG141" s="24" t="s">
        <v>14201</v>
      </c>
      <c r="BH141" s="30"/>
      <c r="BI141" s="15"/>
      <c r="BJ141" s="183"/>
      <c r="BK141" s="127"/>
      <c r="BL141" s="72"/>
      <c r="BM141" s="24"/>
      <c r="BN141" s="72"/>
      <c r="BO141" s="24"/>
      <c r="BP141" s="72"/>
      <c r="BQ141" s="24"/>
      <c r="BR141" s="72"/>
      <c r="BS141" s="24"/>
      <c r="BT141" s="72"/>
      <c r="BU141" s="24"/>
      <c r="BV141" s="72"/>
      <c r="BW141" s="24"/>
      <c r="BX141" s="72"/>
      <c r="BY141" s="24"/>
      <c r="BZ141" s="72"/>
      <c r="CA141" s="24"/>
      <c r="CB141" s="72"/>
      <c r="CC141" s="24"/>
      <c r="CD141" s="72"/>
      <c r="CE141" s="24"/>
      <c r="CF141" s="72"/>
      <c r="CG141" s="24"/>
      <c r="CH141" s="72"/>
      <c r="CI141" s="24"/>
      <c r="CJ141" s="72"/>
      <c r="CK141" s="24"/>
      <c r="CL141" s="72"/>
      <c r="CM141" s="24"/>
      <c r="CN141" s="72"/>
      <c r="CO141" s="24"/>
      <c r="CP141" s="72"/>
      <c r="CQ141" s="24"/>
      <c r="CR141" s="72"/>
    </row>
    <row r="142" spans="1:96" x14ac:dyDescent="0.25">
      <c r="A142" s="45"/>
      <c r="B142" s="183">
        <v>215000</v>
      </c>
      <c r="C142" s="153" t="s">
        <v>13113</v>
      </c>
      <c r="D142" s="29"/>
      <c r="E142" s="24"/>
      <c r="F142" s="122">
        <v>13823.51</v>
      </c>
      <c r="G142" s="24" t="s">
        <v>13227</v>
      </c>
      <c r="H142" s="29">
        <v>3250</v>
      </c>
      <c r="I142" s="24" t="s">
        <v>13203</v>
      </c>
      <c r="J142" s="279">
        <f>+SUM(J137:J141)</f>
        <v>23629</v>
      </c>
      <c r="K142" s="24"/>
      <c r="L142" s="30"/>
      <c r="M142" s="24"/>
      <c r="N142" s="242">
        <f>+SUM(N136:N141)</f>
        <v>1078962.44</v>
      </c>
      <c r="O142" s="15"/>
      <c r="P142" s="29">
        <v>33626.44</v>
      </c>
      <c r="Q142" s="166" t="s">
        <v>13421</v>
      </c>
      <c r="R142" s="29"/>
      <c r="S142" s="24"/>
      <c r="T142" s="96">
        <v>2545</v>
      </c>
      <c r="U142" s="162" t="s">
        <v>13542</v>
      </c>
      <c r="V142" s="29"/>
      <c r="W142" s="24"/>
      <c r="X142" s="94"/>
      <c r="Y142" s="24"/>
      <c r="Z142" s="104">
        <v>5000</v>
      </c>
      <c r="AA142" s="24" t="s">
        <v>13626</v>
      </c>
      <c r="AB142" s="122">
        <v>1649</v>
      </c>
      <c r="AC142" s="24" t="s">
        <v>13687</v>
      </c>
      <c r="AD142" s="29">
        <v>325511.28999999998</v>
      </c>
      <c r="AE142" s="24" t="s">
        <v>13707</v>
      </c>
      <c r="AF142" s="138">
        <v>8765.19</v>
      </c>
      <c r="AG142" s="85" t="s">
        <v>13752</v>
      </c>
      <c r="AH142" s="31"/>
      <c r="AI142" s="85"/>
      <c r="AJ142" s="256"/>
      <c r="AK142" s="26"/>
      <c r="AL142" s="29"/>
      <c r="AM142" s="85"/>
      <c r="AN142" s="97">
        <f>+SUM(AN139:AN141)</f>
        <v>86218.12</v>
      </c>
      <c r="AO142" s="24"/>
      <c r="AP142" s="29">
        <v>30592.58</v>
      </c>
      <c r="AQ142" s="24" t="s">
        <v>13902</v>
      </c>
      <c r="AR142" s="29">
        <v>14909.55</v>
      </c>
      <c r="AS142" s="184" t="s">
        <v>13967</v>
      </c>
      <c r="AT142" s="29"/>
      <c r="AU142" s="24"/>
      <c r="AV142" s="96">
        <v>1099</v>
      </c>
      <c r="AW142" s="15" t="s">
        <v>14076</v>
      </c>
      <c r="AX142" s="105"/>
      <c r="AY142" s="106"/>
      <c r="AZ142" s="105">
        <v>2955</v>
      </c>
      <c r="BA142" s="106" t="s">
        <v>14120</v>
      </c>
      <c r="BB142" s="29">
        <v>74339</v>
      </c>
      <c r="BC142" s="24" t="s">
        <v>14236</v>
      </c>
      <c r="BD142" s="29">
        <v>1099</v>
      </c>
      <c r="BE142" s="24" t="s">
        <v>14183</v>
      </c>
      <c r="BF142" s="29">
        <v>308989.5</v>
      </c>
      <c r="BG142" s="24" t="s">
        <v>14203</v>
      </c>
      <c r="BH142" s="29"/>
      <c r="BI142" s="24"/>
      <c r="BJ142" s="183"/>
      <c r="BK142" s="127"/>
      <c r="BL142" s="72"/>
      <c r="BM142" s="24"/>
      <c r="BN142" s="72"/>
      <c r="BO142" s="24"/>
      <c r="BP142" s="72"/>
      <c r="BQ142" s="24"/>
      <c r="BR142" s="72"/>
      <c r="BS142" s="24"/>
      <c r="BT142" s="72"/>
      <c r="BU142" s="24"/>
      <c r="BV142" s="72"/>
      <c r="BW142" s="24"/>
      <c r="BX142" s="72"/>
      <c r="BY142" s="24"/>
      <c r="BZ142" s="72"/>
      <c r="CA142" s="24"/>
      <c r="CB142" s="72"/>
      <c r="CC142" s="24"/>
      <c r="CD142" s="72"/>
      <c r="CE142" s="24"/>
      <c r="CF142" s="72"/>
      <c r="CG142" s="24"/>
      <c r="CH142" s="72"/>
      <c r="CI142" s="24"/>
      <c r="CJ142" s="72"/>
      <c r="CK142" s="24"/>
      <c r="CL142" s="72"/>
      <c r="CM142" s="24"/>
      <c r="CN142" s="72"/>
      <c r="CO142" s="24"/>
      <c r="CP142" s="72"/>
      <c r="CQ142" s="24"/>
      <c r="CR142" s="72"/>
    </row>
    <row r="143" spans="1:96" x14ac:dyDescent="0.25">
      <c r="A143" s="45"/>
      <c r="B143" s="183">
        <v>2800</v>
      </c>
      <c r="C143" s="153" t="s">
        <v>13119</v>
      </c>
      <c r="D143" s="29"/>
      <c r="E143" s="24"/>
      <c r="F143" s="122">
        <v>1233.82</v>
      </c>
      <c r="G143" s="24" t="s">
        <v>13268</v>
      </c>
      <c r="H143" s="97">
        <f>+SUM(H132:H142)</f>
        <v>38287.42</v>
      </c>
      <c r="I143" s="24"/>
      <c r="J143" s="29"/>
      <c r="K143" s="24"/>
      <c r="L143" s="30">
        <v>5000</v>
      </c>
      <c r="M143" s="24" t="s">
        <v>13339</v>
      </c>
      <c r="N143" s="29"/>
      <c r="O143" s="24"/>
      <c r="P143" s="29">
        <v>28635.98</v>
      </c>
      <c r="Q143" s="166" t="s">
        <v>13422</v>
      </c>
      <c r="R143" s="29">
        <v>335400</v>
      </c>
      <c r="S143" s="15" t="s">
        <v>13474</v>
      </c>
      <c r="T143" s="96">
        <v>1995</v>
      </c>
      <c r="U143" s="166" t="s">
        <v>13544</v>
      </c>
      <c r="V143" s="31"/>
      <c r="W143" s="24"/>
      <c r="X143" s="32"/>
      <c r="Y143" s="24"/>
      <c r="Z143" s="104">
        <v>44000</v>
      </c>
      <c r="AA143" s="24" t="s">
        <v>13627</v>
      </c>
      <c r="AB143" s="122">
        <v>4465</v>
      </c>
      <c r="AC143" s="24" t="s">
        <v>13688</v>
      </c>
      <c r="AD143" s="31">
        <v>395244.9</v>
      </c>
      <c r="AE143" s="24" t="s">
        <v>13722</v>
      </c>
      <c r="AF143" s="138">
        <v>9559.5</v>
      </c>
      <c r="AG143" s="85" t="s">
        <v>13753</v>
      </c>
      <c r="AH143" s="31"/>
      <c r="AI143" s="85"/>
      <c r="AJ143" s="256"/>
      <c r="AK143" s="15"/>
      <c r="AL143" s="29"/>
      <c r="AM143" s="85"/>
      <c r="AN143" s="29"/>
      <c r="AO143" s="24"/>
      <c r="AP143" s="29">
        <v>25000</v>
      </c>
      <c r="AQ143" s="24" t="s">
        <v>13902</v>
      </c>
      <c r="AR143" s="29">
        <v>2179.5</v>
      </c>
      <c r="AS143" s="184" t="s">
        <v>13971</v>
      </c>
      <c r="AT143" s="29"/>
      <c r="AU143" s="24"/>
      <c r="AV143" s="97">
        <f>+SUM(AV132:AV142)</f>
        <v>299726.01</v>
      </c>
      <c r="AW143" s="24"/>
      <c r="AX143" s="94"/>
      <c r="AY143" s="108"/>
      <c r="AZ143" s="105">
        <v>3929</v>
      </c>
      <c r="BA143" s="106" t="s">
        <v>14123</v>
      </c>
      <c r="BB143" s="29">
        <v>75000</v>
      </c>
      <c r="BC143" s="24" t="s">
        <v>14237</v>
      </c>
      <c r="BD143" s="29">
        <v>10765.76</v>
      </c>
      <c r="BE143" s="24" t="s">
        <v>14189</v>
      </c>
      <c r="BF143" s="97">
        <f>+SUM(BF132:BF142)</f>
        <v>1487615.46</v>
      </c>
      <c r="BG143" s="24"/>
      <c r="BH143" s="29"/>
      <c r="BI143" s="24"/>
      <c r="BJ143" s="183"/>
      <c r="BK143" s="127"/>
      <c r="BL143" s="72"/>
      <c r="BM143" s="24"/>
      <c r="BN143" s="72"/>
      <c r="BO143" s="24"/>
      <c r="BP143" s="72"/>
      <c r="BQ143" s="24"/>
      <c r="BR143" s="72"/>
      <c r="BS143" s="24"/>
      <c r="BT143" s="72"/>
      <c r="BU143" s="24"/>
      <c r="BV143" s="72"/>
      <c r="BW143" s="24"/>
      <c r="BX143" s="72"/>
      <c r="BY143" s="24"/>
      <c r="BZ143" s="72"/>
      <c r="CA143" s="24"/>
      <c r="CB143" s="72"/>
      <c r="CC143" s="24"/>
      <c r="CD143" s="72"/>
      <c r="CE143" s="24"/>
      <c r="CF143" s="72"/>
      <c r="CG143" s="24"/>
      <c r="CH143" s="72"/>
      <c r="CI143" s="24"/>
      <c r="CJ143" s="72"/>
      <c r="CK143" s="24"/>
      <c r="CL143" s="72"/>
      <c r="CM143" s="24"/>
      <c r="CN143" s="72"/>
      <c r="CO143" s="24"/>
      <c r="CP143" s="72"/>
      <c r="CQ143" s="24"/>
      <c r="CR143" s="72"/>
    </row>
    <row r="144" spans="1:96" x14ac:dyDescent="0.25">
      <c r="A144" s="45"/>
      <c r="B144" s="183">
        <v>3935</v>
      </c>
      <c r="C144" s="153" t="s">
        <v>13130</v>
      </c>
      <c r="D144" s="29"/>
      <c r="E144" s="24"/>
      <c r="F144" s="122">
        <v>1233.83</v>
      </c>
      <c r="G144" s="24" t="s">
        <v>13269</v>
      </c>
      <c r="H144" s="94"/>
      <c r="I144" s="24"/>
      <c r="J144" s="31"/>
      <c r="K144" s="15"/>
      <c r="L144" s="30">
        <v>125000</v>
      </c>
      <c r="M144" s="24" t="s">
        <v>13340</v>
      </c>
      <c r="N144" s="29"/>
      <c r="O144" s="24"/>
      <c r="P144" s="29">
        <v>52490.79</v>
      </c>
      <c r="Q144" s="166" t="s">
        <v>13424</v>
      </c>
      <c r="R144" s="29">
        <v>2250</v>
      </c>
      <c r="S144" s="24" t="s">
        <v>13476</v>
      </c>
      <c r="T144" s="122">
        <v>1169</v>
      </c>
      <c r="U144" s="166" t="s">
        <v>13545</v>
      </c>
      <c r="V144" s="31"/>
      <c r="W144" s="24"/>
      <c r="X144" s="32"/>
      <c r="Y144" s="24"/>
      <c r="Z144" s="96">
        <v>348456.88</v>
      </c>
      <c r="AA144" s="15" t="s">
        <v>13629</v>
      </c>
      <c r="AB144" s="122">
        <v>3320</v>
      </c>
      <c r="AC144" s="24" t="s">
        <v>13689</v>
      </c>
      <c r="AD144" s="97">
        <f>+SUM(AD141:AD143)</f>
        <v>722356.19</v>
      </c>
      <c r="AE144" s="24"/>
      <c r="AF144" s="138">
        <v>1970</v>
      </c>
      <c r="AG144" s="85" t="s">
        <v>13767</v>
      </c>
      <c r="AH144" s="31"/>
      <c r="AI144" s="86"/>
      <c r="AJ144" s="96"/>
      <c r="AK144" s="15"/>
      <c r="AL144" s="94"/>
      <c r="AM144" s="85"/>
      <c r="AN144" s="94"/>
      <c r="AO144" s="24"/>
      <c r="AP144" s="29">
        <v>50000</v>
      </c>
      <c r="AQ144" s="24" t="s">
        <v>13902</v>
      </c>
      <c r="AR144" s="97">
        <f>+SUM(AR141:AR143)</f>
        <v>31990.559999999998</v>
      </c>
      <c r="AS144" s="184"/>
      <c r="AT144" s="29"/>
      <c r="AU144" s="24"/>
      <c r="AV144" s="96"/>
      <c r="AW144" s="15"/>
      <c r="AX144" s="30"/>
      <c r="AY144" s="106"/>
      <c r="AZ144" s="105">
        <v>1970</v>
      </c>
      <c r="BA144" s="106" t="s">
        <v>14144</v>
      </c>
      <c r="BB144" s="29">
        <v>80000</v>
      </c>
      <c r="BC144" s="24" t="s">
        <v>14238</v>
      </c>
      <c r="BD144" s="97">
        <f>+SUM(BD132:BD143)</f>
        <v>697081.86</v>
      </c>
      <c r="BE144" s="24"/>
      <c r="BF144" s="29"/>
      <c r="BG144" s="24"/>
      <c r="BH144" s="29"/>
      <c r="BI144" s="24"/>
      <c r="BJ144" s="96"/>
      <c r="BK144" s="15"/>
      <c r="BL144" s="72"/>
      <c r="BM144" s="24"/>
      <c r="BN144" s="72"/>
      <c r="BO144" s="24"/>
      <c r="BP144" s="72"/>
      <c r="BQ144" s="24"/>
      <c r="BR144" s="72"/>
      <c r="BS144" s="24"/>
      <c r="BT144" s="72"/>
      <c r="BU144" s="24"/>
      <c r="BV144" s="72"/>
      <c r="BW144" s="24"/>
      <c r="BX144" s="72"/>
      <c r="BY144" s="24"/>
      <c r="BZ144" s="72"/>
      <c r="CA144" s="24"/>
      <c r="CB144" s="72"/>
      <c r="CC144" s="24"/>
      <c r="CD144" s="72"/>
      <c r="CE144" s="24"/>
      <c r="CF144" s="72"/>
      <c r="CG144" s="24"/>
      <c r="CH144" s="72"/>
      <c r="CI144" s="24"/>
      <c r="CJ144" s="72"/>
      <c r="CK144" s="24"/>
      <c r="CL144" s="72"/>
      <c r="CM144" s="24"/>
      <c r="CN144" s="72"/>
      <c r="CO144" s="24"/>
      <c r="CP144" s="72"/>
      <c r="CQ144" s="24"/>
      <c r="CR144" s="72"/>
    </row>
    <row r="145" spans="1:96" x14ac:dyDescent="0.25">
      <c r="A145" s="45"/>
      <c r="B145" s="221">
        <f>+SUM(B140:B144)</f>
        <v>651735</v>
      </c>
      <c r="C145" s="153"/>
      <c r="D145" s="29"/>
      <c r="E145" s="24"/>
      <c r="F145" s="200">
        <f>+SUM(F132:F144)</f>
        <v>1511835.8900000001</v>
      </c>
      <c r="G145" s="24"/>
      <c r="H145" s="31"/>
      <c r="I145" s="15"/>
      <c r="J145" s="63"/>
      <c r="K145" s="57"/>
      <c r="L145" s="29">
        <v>513300</v>
      </c>
      <c r="M145" s="24" t="s">
        <v>13344</v>
      </c>
      <c r="N145" s="29"/>
      <c r="O145" s="24"/>
      <c r="P145" s="31">
        <v>924</v>
      </c>
      <c r="Q145" s="166" t="s">
        <v>13426</v>
      </c>
      <c r="R145" s="31">
        <v>100160</v>
      </c>
      <c r="S145" s="24" t="s">
        <v>13478</v>
      </c>
      <c r="T145" s="104">
        <v>1099</v>
      </c>
      <c r="U145" s="166" t="s">
        <v>13546</v>
      </c>
      <c r="V145" s="122"/>
      <c r="W145" s="24"/>
      <c r="X145" s="29"/>
      <c r="Y145" s="24"/>
      <c r="Z145" s="96">
        <v>161000</v>
      </c>
      <c r="AA145" s="15" t="s">
        <v>13630</v>
      </c>
      <c r="AB145" s="97">
        <f>+SUM(AB141:AB144)</f>
        <v>134434</v>
      </c>
      <c r="AC145" s="24"/>
      <c r="AD145" s="29"/>
      <c r="AE145" s="24"/>
      <c r="AF145" s="151">
        <f>+SUM(AF132:AF144)</f>
        <v>1031400.7999999998</v>
      </c>
      <c r="AH145" s="31"/>
      <c r="AI145" s="86"/>
      <c r="AJ145" s="29"/>
      <c r="AK145" s="24"/>
      <c r="AL145" s="29"/>
      <c r="AM145" s="85"/>
      <c r="AN145" s="29"/>
      <c r="AO145" s="24"/>
      <c r="AP145" s="29">
        <v>50000</v>
      </c>
      <c r="AQ145" s="24" t="s">
        <v>13902</v>
      </c>
      <c r="AR145" s="29"/>
      <c r="AS145" s="184"/>
      <c r="AT145" s="94"/>
      <c r="AU145" s="24"/>
      <c r="AV145" s="256"/>
      <c r="AW145" s="15"/>
      <c r="AX145" s="29"/>
      <c r="AY145" s="108"/>
      <c r="AZ145" s="29">
        <v>1169</v>
      </c>
      <c r="BA145" s="108" t="s">
        <v>14146</v>
      </c>
      <c r="BB145" s="30">
        <v>351600</v>
      </c>
      <c r="BC145" s="24" t="s">
        <v>14239</v>
      </c>
      <c r="BD145" s="29"/>
      <c r="BE145" s="24"/>
      <c r="BF145" s="29">
        <v>857.63</v>
      </c>
      <c r="BG145" s="24" t="s">
        <v>14312</v>
      </c>
      <c r="BH145" s="29"/>
      <c r="BI145" s="24"/>
      <c r="BJ145" s="96"/>
      <c r="BK145" s="15"/>
      <c r="BL145" s="72"/>
      <c r="BM145" s="24"/>
      <c r="BN145" s="72"/>
      <c r="BO145" s="24"/>
      <c r="BP145" s="72"/>
      <c r="BQ145" s="24"/>
      <c r="BR145" s="24"/>
      <c r="BS145" s="24"/>
      <c r="BT145" s="72"/>
      <c r="BU145" s="24"/>
      <c r="BV145" s="72"/>
      <c r="BW145" s="24"/>
      <c r="BX145" s="72"/>
      <c r="BY145" s="24"/>
      <c r="BZ145" s="72"/>
      <c r="CA145" s="24"/>
      <c r="CB145" s="72"/>
      <c r="CC145" s="24"/>
      <c r="CD145" s="72"/>
      <c r="CE145" s="24"/>
      <c r="CF145" s="72"/>
      <c r="CG145" s="24"/>
      <c r="CH145" s="72"/>
      <c r="CI145" s="24"/>
      <c r="CJ145" s="72"/>
      <c r="CK145" s="24"/>
      <c r="CL145" s="72"/>
      <c r="CM145" s="24"/>
      <c r="CN145" s="72"/>
      <c r="CO145" s="24"/>
      <c r="CP145" s="72"/>
      <c r="CQ145" s="24"/>
      <c r="CR145" s="72"/>
    </row>
    <row r="146" spans="1:96" x14ac:dyDescent="0.25">
      <c r="A146" s="41"/>
      <c r="B146" s="116"/>
      <c r="C146" s="24"/>
      <c r="D146" s="256"/>
      <c r="E146" s="26"/>
      <c r="F146" s="116"/>
      <c r="G146" s="15"/>
      <c r="H146" s="96"/>
      <c r="I146" s="15"/>
      <c r="J146" s="31"/>
      <c r="K146" s="24"/>
      <c r="L146" s="30">
        <v>75000</v>
      </c>
      <c r="M146" s="15" t="s">
        <v>13345</v>
      </c>
      <c r="N146" s="30"/>
      <c r="O146" s="15"/>
      <c r="P146" s="30">
        <v>7530</v>
      </c>
      <c r="Q146" s="162" t="s">
        <v>13431</v>
      </c>
      <c r="R146" s="31">
        <v>140260</v>
      </c>
      <c r="S146" s="15" t="s">
        <v>13479</v>
      </c>
      <c r="T146" s="242">
        <f>+SUM(T132:T145)</f>
        <v>279014.90000000002</v>
      </c>
      <c r="U146" s="15"/>
      <c r="V146" s="30"/>
      <c r="W146" s="15"/>
      <c r="X146" s="30"/>
      <c r="Y146" s="15"/>
      <c r="Z146" s="96">
        <v>10978.85</v>
      </c>
      <c r="AA146" s="15" t="s">
        <v>13632</v>
      </c>
      <c r="AB146" s="30"/>
      <c r="AC146" s="15"/>
      <c r="AD146" s="30"/>
      <c r="AE146" s="15"/>
      <c r="AF146" s="138"/>
      <c r="AH146" s="31"/>
      <c r="AI146" s="85"/>
      <c r="AJ146" s="30"/>
      <c r="AK146" s="15"/>
      <c r="AL146" s="30"/>
      <c r="AM146" s="15"/>
      <c r="AN146" s="30"/>
      <c r="AO146" s="15"/>
      <c r="AP146" s="30">
        <v>20000</v>
      </c>
      <c r="AQ146" s="24" t="s">
        <v>13902</v>
      </c>
      <c r="AR146" s="98"/>
      <c r="AS146" s="185"/>
      <c r="AT146" s="30"/>
      <c r="AU146" s="15"/>
      <c r="AV146" s="94"/>
      <c r="AW146" s="24"/>
      <c r="AX146" s="30"/>
      <c r="AY146" s="108"/>
      <c r="AZ146" s="100">
        <f>+SUM(AZ137:AZ145)</f>
        <v>276618</v>
      </c>
      <c r="BA146" s="106"/>
      <c r="BB146" s="30">
        <v>69356.97</v>
      </c>
      <c r="BC146" s="15" t="s">
        <v>14242</v>
      </c>
      <c r="BD146" s="29">
        <v>3592.35</v>
      </c>
      <c r="BE146" s="15" t="s">
        <v>14278</v>
      </c>
      <c r="BF146" s="30">
        <v>1219.81</v>
      </c>
      <c r="BG146" s="15" t="s">
        <v>14313</v>
      </c>
      <c r="BH146" s="30"/>
      <c r="BI146" s="15"/>
      <c r="BJ146" s="183"/>
      <c r="BK146" s="127"/>
      <c r="BL146" s="72"/>
      <c r="BM146" s="15"/>
      <c r="BN146" s="9"/>
      <c r="BO146" s="15"/>
      <c r="BP146" s="9"/>
      <c r="BQ146" s="15"/>
      <c r="BR146" s="9"/>
      <c r="BS146" s="15"/>
      <c r="BT146" s="9"/>
      <c r="BU146" s="15"/>
      <c r="BV146" s="9"/>
      <c r="BW146" s="15"/>
      <c r="BX146" s="9"/>
      <c r="BY146" s="15"/>
      <c r="BZ146" s="9"/>
      <c r="CA146" s="15"/>
      <c r="CB146" s="9"/>
      <c r="CC146" s="15"/>
      <c r="CD146" s="9"/>
      <c r="CE146" s="15"/>
      <c r="CF146" s="9"/>
      <c r="CG146" s="15"/>
      <c r="CH146" s="9"/>
      <c r="CI146" s="15"/>
      <c r="CJ146" s="9"/>
      <c r="CK146" s="15"/>
      <c r="CL146" s="9"/>
      <c r="CM146" s="15"/>
      <c r="CN146" s="9"/>
      <c r="CO146" s="15"/>
      <c r="CP146" s="9"/>
      <c r="CQ146" s="15"/>
      <c r="CR146" s="9"/>
    </row>
    <row r="147" spans="1:96" x14ac:dyDescent="0.25">
      <c r="A147" s="50"/>
      <c r="B147" s="104"/>
      <c r="C147" s="24"/>
      <c r="D147" s="32"/>
      <c r="E147" s="57"/>
      <c r="F147" s="165"/>
      <c r="G147" s="57"/>
      <c r="H147" s="31"/>
      <c r="I147" s="24"/>
      <c r="J147" s="264"/>
      <c r="K147" s="24"/>
      <c r="L147" s="104">
        <v>1563</v>
      </c>
      <c r="M147" s="57" t="s">
        <v>13352</v>
      </c>
      <c r="N147" s="94"/>
      <c r="O147" s="57"/>
      <c r="P147" s="101">
        <v>2390</v>
      </c>
      <c r="Q147" s="281" t="s">
        <v>13433</v>
      </c>
      <c r="R147" s="101">
        <v>155000</v>
      </c>
      <c r="S147" s="57" t="s">
        <v>13481</v>
      </c>
      <c r="T147" s="165"/>
      <c r="U147" s="57"/>
      <c r="V147" s="101"/>
      <c r="W147" s="57"/>
      <c r="X147" s="63"/>
      <c r="Y147" s="57"/>
      <c r="Z147" s="165">
        <v>3169</v>
      </c>
      <c r="AA147" s="57" t="s">
        <v>13640</v>
      </c>
      <c r="AB147" s="63"/>
      <c r="AC147" s="57"/>
      <c r="AD147" s="101"/>
      <c r="AE147" s="57"/>
      <c r="AF147" s="138">
        <v>390000</v>
      </c>
      <c r="AG147" s="85" t="s">
        <v>13778</v>
      </c>
      <c r="AH147" s="104"/>
      <c r="AI147" s="24"/>
      <c r="AJ147" s="101"/>
      <c r="AK147" s="57"/>
      <c r="AL147" s="63"/>
      <c r="AM147" s="57"/>
      <c r="AN147" s="101"/>
      <c r="AO147" s="57"/>
      <c r="AP147" s="29">
        <v>10500</v>
      </c>
      <c r="AQ147" s="57" t="s">
        <v>13904</v>
      </c>
      <c r="AR147" s="63"/>
      <c r="AS147" s="186"/>
      <c r="AT147" s="101"/>
      <c r="AU147" s="57"/>
      <c r="AV147" s="98"/>
      <c r="AW147" s="57"/>
      <c r="AX147" s="29"/>
      <c r="AY147" s="108"/>
      <c r="AZ147" s="94"/>
      <c r="BA147" s="108"/>
      <c r="BB147" s="96">
        <v>70000</v>
      </c>
      <c r="BC147" s="26" t="s">
        <v>14243</v>
      </c>
      <c r="BD147" s="101">
        <v>250000</v>
      </c>
      <c r="BE147" s="57" t="s">
        <v>14279</v>
      </c>
      <c r="BF147" s="101">
        <v>150000</v>
      </c>
      <c r="BG147" s="57" t="s">
        <v>14314</v>
      </c>
      <c r="BH147" s="101"/>
      <c r="BI147" s="57"/>
      <c r="BJ147" s="183"/>
      <c r="BK147" s="127"/>
      <c r="BL147" s="73"/>
      <c r="BM147" s="57"/>
      <c r="BN147" s="73"/>
      <c r="BO147" s="57"/>
      <c r="BP147" s="57"/>
      <c r="BQ147" s="57"/>
      <c r="BR147" s="73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</row>
    <row r="148" spans="1:96" x14ac:dyDescent="0.25">
      <c r="A148" s="46"/>
      <c r="B148" s="114"/>
      <c r="C148" s="13"/>
      <c r="D148" s="31"/>
      <c r="E148" s="24"/>
      <c r="F148" s="104"/>
      <c r="G148" s="24"/>
      <c r="H148" s="32"/>
      <c r="I148" s="24"/>
      <c r="J148" s="31"/>
      <c r="K148" s="24"/>
      <c r="L148" s="115">
        <f>+SUM(L143:L147)</f>
        <v>719863</v>
      </c>
      <c r="M148" s="24"/>
      <c r="N148" s="31"/>
      <c r="O148" s="24"/>
      <c r="P148" s="148">
        <f>+SUM(P132:P147)</f>
        <v>1504613.85</v>
      </c>
      <c r="Q148" s="24"/>
      <c r="R148" s="31">
        <v>190000</v>
      </c>
      <c r="S148" s="24" t="s">
        <v>13484</v>
      </c>
      <c r="T148" s="116"/>
      <c r="U148" s="24"/>
      <c r="V148" s="31"/>
      <c r="W148" s="24"/>
      <c r="X148" s="31"/>
      <c r="Y148" s="24"/>
      <c r="Z148" s="104">
        <v>7548.99</v>
      </c>
      <c r="AA148" s="24" t="s">
        <v>13641</v>
      </c>
      <c r="AB148" s="31"/>
      <c r="AC148" s="24"/>
      <c r="AD148" s="31"/>
      <c r="AE148" s="24"/>
      <c r="AF148" s="138">
        <v>315000</v>
      </c>
      <c r="AG148" s="85" t="s">
        <v>13781</v>
      </c>
      <c r="AH148" s="104"/>
      <c r="AI148" s="86"/>
      <c r="AJ148" s="148"/>
      <c r="AK148" s="24"/>
      <c r="AL148" s="31"/>
      <c r="AM148" s="24"/>
      <c r="AN148" s="31"/>
      <c r="AO148" s="24"/>
      <c r="AP148" s="31">
        <v>190000</v>
      </c>
      <c r="AQ148" s="24" t="s">
        <v>13905</v>
      </c>
      <c r="AR148" s="31"/>
      <c r="AS148" s="184"/>
      <c r="AT148" s="31"/>
      <c r="AU148" s="24"/>
      <c r="AV148" s="30"/>
      <c r="AW148" s="24"/>
      <c r="AX148" s="78"/>
      <c r="AY148" s="106"/>
      <c r="AZ148" s="78"/>
      <c r="BA148" s="106"/>
      <c r="BB148" s="31">
        <v>77100</v>
      </c>
      <c r="BC148" s="24" t="s">
        <v>14245</v>
      </c>
      <c r="BD148" s="122">
        <v>17230.61</v>
      </c>
      <c r="BE148" s="24" t="s">
        <v>14280</v>
      </c>
      <c r="BF148" s="104">
        <v>78108.38</v>
      </c>
      <c r="BG148" s="24" t="s">
        <v>14316</v>
      </c>
      <c r="BH148" s="104"/>
      <c r="BI148" s="24"/>
      <c r="BJ148" s="183"/>
      <c r="BK148" s="127"/>
      <c r="BL148" s="72"/>
      <c r="BM148" s="24"/>
      <c r="BN148" s="72"/>
      <c r="BO148" s="24"/>
      <c r="BP148" s="72"/>
      <c r="BQ148" s="24"/>
      <c r="BR148" s="72"/>
      <c r="BS148" s="24"/>
      <c r="BT148" s="72"/>
      <c r="BU148" s="24"/>
      <c r="BV148" s="72"/>
      <c r="BW148" s="24"/>
      <c r="BX148" s="72"/>
      <c r="BY148" s="24"/>
      <c r="BZ148" s="72"/>
      <c r="CA148" s="24"/>
      <c r="CB148" s="72"/>
      <c r="CC148" s="24"/>
      <c r="CD148" s="72"/>
      <c r="CE148" s="24"/>
      <c r="CF148" s="72"/>
      <c r="CG148" s="24"/>
      <c r="CH148" s="72"/>
      <c r="CI148" s="24"/>
      <c r="CJ148" s="72"/>
      <c r="CK148" s="24"/>
      <c r="CL148" s="72"/>
      <c r="CM148" s="24"/>
      <c r="CN148" s="72"/>
      <c r="CO148" s="24"/>
      <c r="CP148" s="72"/>
      <c r="CQ148" s="24"/>
      <c r="CR148" s="72"/>
    </row>
    <row r="149" spans="1:96" x14ac:dyDescent="0.25">
      <c r="A149" s="46"/>
      <c r="B149" s="96"/>
      <c r="C149" s="15"/>
      <c r="D149" s="31"/>
      <c r="E149" s="24"/>
      <c r="F149" s="104"/>
      <c r="G149" s="24"/>
      <c r="H149" s="31"/>
      <c r="I149" s="24"/>
      <c r="J149" s="104"/>
      <c r="K149" s="24"/>
      <c r="L149" s="31"/>
      <c r="M149" s="24"/>
      <c r="N149" s="104"/>
      <c r="O149" s="24"/>
      <c r="P149" s="104"/>
      <c r="Q149" s="24"/>
      <c r="R149" s="31">
        <v>1090</v>
      </c>
      <c r="S149" s="24" t="s">
        <v>13485</v>
      </c>
      <c r="T149" s="96"/>
      <c r="U149" s="26"/>
      <c r="V149" s="31"/>
      <c r="W149" s="24"/>
      <c r="X149" s="31"/>
      <c r="Y149" s="24"/>
      <c r="Z149" s="115">
        <f>+SUM(Z142:Z148)</f>
        <v>580153.72</v>
      </c>
      <c r="AA149" s="24"/>
      <c r="AB149" s="31"/>
      <c r="AC149" s="24"/>
      <c r="AD149" s="104"/>
      <c r="AE149" s="24"/>
      <c r="AF149" s="138">
        <v>13095.3</v>
      </c>
      <c r="AG149" s="85" t="s">
        <v>13791</v>
      </c>
      <c r="AH149" s="241"/>
      <c r="AI149" s="127"/>
      <c r="AJ149" s="32"/>
      <c r="AK149" s="24"/>
      <c r="AL149" s="32"/>
      <c r="AM149" s="24"/>
      <c r="AN149" s="104"/>
      <c r="AO149" s="24"/>
      <c r="AP149" s="31">
        <v>50000</v>
      </c>
      <c r="AQ149" s="24" t="s">
        <v>13910</v>
      </c>
      <c r="AR149" s="104"/>
      <c r="AS149" s="185"/>
      <c r="AT149" s="31"/>
      <c r="AU149" s="24"/>
      <c r="AV149" s="104"/>
      <c r="AW149" s="26"/>
      <c r="AX149" s="78"/>
      <c r="AY149" s="106"/>
      <c r="AZ149" s="78"/>
      <c r="BA149" s="106"/>
      <c r="BB149" s="31">
        <v>351600</v>
      </c>
      <c r="BC149" s="24" t="s">
        <v>14246</v>
      </c>
      <c r="BD149" s="104">
        <v>46408.57</v>
      </c>
      <c r="BE149" s="24" t="s">
        <v>14282</v>
      </c>
      <c r="BF149" s="104">
        <v>1099</v>
      </c>
      <c r="BG149" s="24" t="s">
        <v>14324</v>
      </c>
      <c r="BH149" s="116"/>
      <c r="BI149" s="24"/>
      <c r="BJ149" s="183"/>
      <c r="BK149" s="127"/>
      <c r="BL149" s="72"/>
      <c r="BM149" s="24"/>
      <c r="BN149" s="72"/>
      <c r="BO149" s="24"/>
      <c r="BP149" s="72"/>
      <c r="BQ149" s="24"/>
      <c r="BR149" s="72"/>
      <c r="BS149" s="24"/>
      <c r="BT149" s="72"/>
      <c r="BU149" s="24"/>
      <c r="BV149" s="72"/>
      <c r="BW149" s="24"/>
      <c r="BX149" s="72"/>
      <c r="BY149" s="24"/>
      <c r="BZ149" s="72"/>
      <c r="CA149" s="24"/>
      <c r="CB149" s="72"/>
      <c r="CC149" s="24"/>
      <c r="CD149" s="72"/>
      <c r="CE149" s="24"/>
      <c r="CF149" s="72"/>
      <c r="CG149" s="24"/>
      <c r="CH149" s="72"/>
      <c r="CI149" s="24"/>
      <c r="CJ149" s="72"/>
      <c r="CK149" s="24"/>
      <c r="CL149" s="72"/>
      <c r="CM149" s="24"/>
      <c r="CN149" s="72"/>
      <c r="CO149" s="24"/>
      <c r="CP149" s="72"/>
      <c r="CQ149" s="24"/>
      <c r="CR149" s="72"/>
    </row>
    <row r="150" spans="1:96" x14ac:dyDescent="0.25">
      <c r="B150" s="24"/>
      <c r="C150" s="24"/>
      <c r="D150" s="127"/>
      <c r="E150" s="127"/>
      <c r="F150" s="146"/>
      <c r="G150" s="24"/>
      <c r="H150" s="127"/>
      <c r="I150" s="127"/>
      <c r="J150" s="146"/>
      <c r="K150" s="24"/>
      <c r="L150" s="146"/>
      <c r="M150" s="127"/>
      <c r="N150" s="199"/>
      <c r="O150" s="24"/>
      <c r="P150" s="280">
        <v>67948.45</v>
      </c>
      <c r="Q150" s="24" t="s">
        <v>13436</v>
      </c>
      <c r="R150" s="199">
        <v>2866</v>
      </c>
      <c r="S150" s="24" t="s">
        <v>13489</v>
      </c>
      <c r="T150" s="191"/>
      <c r="U150" s="24"/>
      <c r="V150" s="128"/>
      <c r="W150" s="24"/>
      <c r="X150" s="120"/>
      <c r="Y150" s="120"/>
      <c r="Z150" s="120"/>
      <c r="AA150" s="120"/>
      <c r="AB150" s="128"/>
      <c r="AC150" s="24"/>
      <c r="AD150" s="104"/>
      <c r="AE150" s="24"/>
      <c r="AF150" s="138">
        <v>6085.64</v>
      </c>
      <c r="AG150" s="85" t="s">
        <v>13793</v>
      </c>
      <c r="AH150" s="104"/>
      <c r="AI150" s="24"/>
      <c r="AJ150" s="96"/>
      <c r="AK150" s="127"/>
      <c r="AL150" s="120"/>
      <c r="AM150" s="120"/>
      <c r="AN150" s="128"/>
      <c r="AO150" s="24"/>
      <c r="AP150" s="199">
        <v>20000</v>
      </c>
      <c r="AQ150" s="24" t="s">
        <v>13911</v>
      </c>
      <c r="AR150" s="256"/>
      <c r="AS150" s="189"/>
      <c r="AT150" s="30"/>
      <c r="AU150" s="24"/>
      <c r="AV150" s="96"/>
      <c r="AW150" s="120"/>
      <c r="AX150" s="150"/>
      <c r="AY150" s="106"/>
      <c r="AZ150" s="227"/>
      <c r="BA150" s="106"/>
      <c r="BB150" s="96">
        <v>49425.43</v>
      </c>
      <c r="BC150" s="26" t="s">
        <v>14247</v>
      </c>
      <c r="BD150" s="183">
        <v>18900</v>
      </c>
      <c r="BE150" s="24" t="s">
        <v>14283</v>
      </c>
      <c r="BF150" s="199">
        <v>1099</v>
      </c>
      <c r="BG150" s="24" t="s">
        <v>14328</v>
      </c>
      <c r="BH150" s="227"/>
      <c r="BI150" s="24"/>
      <c r="BJ150" s="183"/>
      <c r="BK150" s="127"/>
      <c r="BL150" s="127"/>
      <c r="BM150" s="24"/>
      <c r="BN150" s="127"/>
      <c r="BO150" s="24"/>
      <c r="BP150" s="127"/>
      <c r="BQ150" s="127"/>
      <c r="BR150" s="236"/>
      <c r="BS150" s="127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</row>
    <row r="151" spans="1:96" x14ac:dyDescent="0.25">
      <c r="B151" s="24"/>
      <c r="C151" s="24"/>
      <c r="D151" s="127"/>
      <c r="E151" s="127"/>
      <c r="F151" s="237"/>
      <c r="G151" s="127"/>
      <c r="H151" s="127"/>
      <c r="I151" s="239"/>
      <c r="J151" s="9"/>
      <c r="K151" s="15"/>
      <c r="L151" s="127"/>
      <c r="M151" s="127"/>
      <c r="N151" s="128"/>
      <c r="O151" s="24"/>
      <c r="P151" s="280">
        <v>38567.85</v>
      </c>
      <c r="Q151" s="24" t="s">
        <v>13437</v>
      </c>
      <c r="R151" s="183">
        <v>1099</v>
      </c>
      <c r="S151" s="24" t="s">
        <v>13490</v>
      </c>
      <c r="T151" s="173"/>
      <c r="U151" s="24"/>
      <c r="V151" s="128"/>
      <c r="W151" s="24"/>
      <c r="X151" s="120"/>
      <c r="Y151" s="120"/>
      <c r="Z151" s="120"/>
      <c r="AA151" s="120"/>
      <c r="AB151" s="128"/>
      <c r="AC151" s="24"/>
      <c r="AD151" s="104"/>
      <c r="AE151" s="24"/>
      <c r="AF151" s="221">
        <f>+SUM(AF147:AF150)</f>
        <v>724180.94000000006</v>
      </c>
      <c r="AH151" s="173"/>
      <c r="AI151" s="24"/>
      <c r="AJ151" s="179"/>
      <c r="AK151" s="127"/>
      <c r="AL151" s="120"/>
      <c r="AM151" s="120"/>
      <c r="AN151" s="128"/>
      <c r="AO151" s="24"/>
      <c r="AP151" s="199">
        <v>1099</v>
      </c>
      <c r="AQ151" s="24" t="s">
        <v>13917</v>
      </c>
      <c r="AR151" s="183"/>
      <c r="AS151" s="189"/>
      <c r="AT151" s="98"/>
      <c r="AU151" s="24"/>
      <c r="AV151" s="277"/>
      <c r="AW151" s="120"/>
      <c r="AX151" s="146"/>
      <c r="AY151" s="106"/>
      <c r="AZ151" s="128"/>
      <c r="BA151" s="106"/>
      <c r="BB151" s="199">
        <v>9919.82</v>
      </c>
      <c r="BC151" s="15" t="s">
        <v>14254</v>
      </c>
      <c r="BD151" s="183">
        <v>13494.4</v>
      </c>
      <c r="BE151" s="24" t="s">
        <v>14284</v>
      </c>
      <c r="BF151" s="183">
        <v>3250</v>
      </c>
      <c r="BG151" s="24" t="s">
        <v>14329</v>
      </c>
      <c r="BH151" s="208"/>
      <c r="BI151" s="24"/>
      <c r="BJ151" s="183"/>
      <c r="BK151" s="127"/>
      <c r="BL151" s="9"/>
      <c r="BM151" s="15"/>
      <c r="BN151" s="127"/>
      <c r="BO151" s="24"/>
      <c r="BP151" s="127"/>
      <c r="BQ151" s="127"/>
      <c r="BR151" s="127"/>
      <c r="BS151" s="127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</row>
    <row r="152" spans="1:96" x14ac:dyDescent="0.25">
      <c r="B152" s="24"/>
      <c r="C152" s="24"/>
      <c r="D152" s="127"/>
      <c r="E152" s="127"/>
      <c r="F152" s="127"/>
      <c r="G152" s="127"/>
      <c r="H152" s="127"/>
      <c r="I152" s="127"/>
      <c r="J152" s="237"/>
      <c r="K152" s="127"/>
      <c r="L152" s="127"/>
      <c r="M152" s="127"/>
      <c r="N152" s="128"/>
      <c r="O152" s="24"/>
      <c r="P152" s="128">
        <v>624800</v>
      </c>
      <c r="Q152" s="24" t="s">
        <v>13439</v>
      </c>
      <c r="R152" s="151">
        <f>+SUM(R143:R151)</f>
        <v>928125</v>
      </c>
      <c r="S152" s="24"/>
      <c r="T152" s="249"/>
      <c r="U152" s="24"/>
      <c r="V152" s="146"/>
      <c r="W152" s="24"/>
      <c r="X152" s="120"/>
      <c r="Y152" s="120"/>
      <c r="Z152" s="120"/>
      <c r="AA152" s="120"/>
      <c r="AB152" s="128"/>
      <c r="AC152" s="24"/>
      <c r="AD152" s="96"/>
      <c r="AE152" s="15"/>
      <c r="AF152" s="127"/>
      <c r="AG152" s="127"/>
      <c r="AH152" s="173"/>
      <c r="AI152" s="24"/>
      <c r="AJ152" s="128"/>
      <c r="AK152" s="120"/>
      <c r="AL152" s="120"/>
      <c r="AM152" s="120"/>
      <c r="AN152" s="128"/>
      <c r="AO152" s="24"/>
      <c r="AP152" s="151">
        <f>+SUM(AP142:AP151)</f>
        <v>447191.58</v>
      </c>
      <c r="AQ152" s="24"/>
      <c r="AR152" s="128"/>
      <c r="AS152" s="189"/>
      <c r="AT152" s="32"/>
      <c r="AU152" s="127"/>
      <c r="AV152" s="245"/>
      <c r="AW152" s="120"/>
      <c r="AX152" s="199"/>
      <c r="AY152" s="106"/>
      <c r="AZ152" s="151"/>
      <c r="BA152" s="120"/>
      <c r="BB152" s="96">
        <v>3169</v>
      </c>
      <c r="BC152" s="15" t="s">
        <v>14256</v>
      </c>
      <c r="BD152" s="183">
        <v>346600</v>
      </c>
      <c r="BE152" s="24" t="s">
        <v>14285</v>
      </c>
      <c r="BF152" s="183">
        <v>4395</v>
      </c>
      <c r="BG152" s="24" t="s">
        <v>14332</v>
      </c>
      <c r="BH152" s="128"/>
      <c r="BI152" s="24"/>
      <c r="BJ152" s="183"/>
      <c r="BK152" s="153"/>
      <c r="BL152" s="237"/>
      <c r="BM152" s="127"/>
      <c r="BN152" s="127"/>
      <c r="BO152" s="24"/>
      <c r="BP152" s="127"/>
      <c r="BQ152" s="127"/>
      <c r="BR152" s="127"/>
      <c r="BS152" s="127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</row>
    <row r="153" spans="1:96" x14ac:dyDescent="0.25">
      <c r="B153" s="24"/>
      <c r="C153" s="24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8"/>
      <c r="O153" s="24"/>
      <c r="P153" s="128">
        <v>624800</v>
      </c>
      <c r="Q153" s="24" t="s">
        <v>13440</v>
      </c>
      <c r="R153" s="96"/>
      <c r="S153" s="15"/>
      <c r="T153" s="173"/>
      <c r="U153" s="24"/>
      <c r="V153" s="146"/>
      <c r="W153" s="24"/>
      <c r="X153" s="120"/>
      <c r="Y153" s="120"/>
      <c r="Z153" s="120"/>
      <c r="AA153" s="120"/>
      <c r="AB153" s="199"/>
      <c r="AC153" s="24"/>
      <c r="AD153" s="116"/>
      <c r="AE153" s="24"/>
      <c r="AF153" s="127"/>
      <c r="AG153" s="127"/>
      <c r="AH153" s="173"/>
      <c r="AI153" s="24"/>
      <c r="AJ153" s="128"/>
      <c r="AK153" s="127"/>
      <c r="AL153" s="120"/>
      <c r="AM153" s="120"/>
      <c r="AN153" s="128"/>
      <c r="AO153" s="24"/>
      <c r="AP153" s="199"/>
      <c r="AQ153" s="24"/>
      <c r="AR153" s="146"/>
      <c r="AS153" s="189"/>
      <c r="AT153" s="128"/>
      <c r="AU153" s="127"/>
      <c r="AV153" s="257"/>
      <c r="AW153" s="120"/>
      <c r="AX153" s="128"/>
      <c r="AY153" s="106"/>
      <c r="AZ153" s="120"/>
      <c r="BA153" s="120"/>
      <c r="BB153" s="96">
        <v>5610</v>
      </c>
      <c r="BC153" s="15" t="s">
        <v>14257</v>
      </c>
      <c r="BD153" s="199">
        <v>247400</v>
      </c>
      <c r="BE153" s="239" t="s">
        <v>14288</v>
      </c>
      <c r="BF153" s="151">
        <f>+SUM(BF145:BF152)</f>
        <v>240028.82</v>
      </c>
      <c r="BG153" s="24"/>
      <c r="BH153" s="128"/>
      <c r="BI153" s="24"/>
      <c r="BJ153" s="199"/>
      <c r="BK153" s="127"/>
      <c r="BL153" s="127"/>
      <c r="BM153" s="127"/>
      <c r="BN153" s="127"/>
      <c r="BO153" s="24"/>
      <c r="BP153" s="127"/>
      <c r="BQ153" s="127"/>
      <c r="BR153" s="127"/>
      <c r="BS153" s="127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</row>
    <row r="154" spans="1:96" x14ac:dyDescent="0.25">
      <c r="B154" s="72"/>
      <c r="C154" s="24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8"/>
      <c r="O154" s="24"/>
      <c r="P154" s="128">
        <v>154000</v>
      </c>
      <c r="Q154" s="24" t="s">
        <v>13441</v>
      </c>
      <c r="R154" s="146"/>
      <c r="S154" s="120"/>
      <c r="T154" s="191"/>
      <c r="U154" s="120"/>
      <c r="V154" s="128"/>
      <c r="W154" s="24"/>
      <c r="X154" s="120"/>
      <c r="Y154" s="120"/>
      <c r="Z154" s="120"/>
      <c r="AA154" s="120"/>
      <c r="AB154" s="128"/>
      <c r="AC154" s="24"/>
      <c r="AD154" s="104"/>
      <c r="AE154" s="24"/>
      <c r="AF154" s="127"/>
      <c r="AG154" s="127"/>
      <c r="AH154" s="173"/>
      <c r="AI154" s="24"/>
      <c r="AJ154" s="146"/>
      <c r="AK154" s="120"/>
      <c r="AL154" s="120"/>
      <c r="AM154" s="120"/>
      <c r="AN154" s="128"/>
      <c r="AO154" s="24"/>
      <c r="AP154" s="128"/>
      <c r="AQ154" s="24"/>
      <c r="AR154" s="146"/>
      <c r="AS154" s="127"/>
      <c r="AT154" s="128"/>
      <c r="AU154" s="127"/>
      <c r="AV154" s="120"/>
      <c r="AW154" s="120"/>
      <c r="AX154" s="146"/>
      <c r="AY154" s="106"/>
      <c r="AZ154" s="120"/>
      <c r="BA154" s="120"/>
      <c r="BB154" s="199">
        <v>34007.050000000003</v>
      </c>
      <c r="BC154" s="15" t="s">
        <v>14258</v>
      </c>
      <c r="BD154" s="183">
        <v>1169</v>
      </c>
      <c r="BE154" s="24" t="s">
        <v>14300</v>
      </c>
      <c r="BF154" s="183"/>
      <c r="BG154" s="24"/>
      <c r="BH154" s="128"/>
      <c r="BI154" s="24"/>
      <c r="BJ154" s="183"/>
      <c r="BK154" s="127"/>
      <c r="BL154" s="127"/>
      <c r="BM154" s="127"/>
      <c r="BN154" s="9"/>
      <c r="BO154" s="15"/>
      <c r="BP154" s="127"/>
      <c r="BQ154" s="127"/>
      <c r="BR154" s="127"/>
      <c r="BS154" s="127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</row>
    <row r="155" spans="1:96" x14ac:dyDescent="0.25">
      <c r="B155" s="54"/>
      <c r="C155" s="54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8"/>
      <c r="O155" s="24"/>
      <c r="P155" s="128">
        <v>1970</v>
      </c>
      <c r="Q155" s="24" t="s">
        <v>13442</v>
      </c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5"/>
      <c r="AC155" s="15"/>
      <c r="AD155" s="104"/>
      <c r="AE155" s="24"/>
      <c r="AF155" s="127"/>
      <c r="AG155" s="127"/>
      <c r="AH155" s="173"/>
      <c r="AI155" s="24"/>
      <c r="AJ155" s="128"/>
      <c r="AK155" s="120"/>
      <c r="AL155" s="120"/>
      <c r="AM155" s="120"/>
      <c r="AN155" s="128"/>
      <c r="AO155" s="24"/>
      <c r="AP155" s="128"/>
      <c r="AQ155" s="24"/>
      <c r="AR155" s="128"/>
      <c r="AS155" s="120"/>
      <c r="AT155" s="128"/>
      <c r="AU155" s="127"/>
      <c r="AV155" s="120"/>
      <c r="AW155" s="120"/>
      <c r="AX155" s="120"/>
      <c r="AY155" s="106"/>
      <c r="AZ155" s="120"/>
      <c r="BA155" s="120"/>
      <c r="BB155" s="96">
        <v>36046.85</v>
      </c>
      <c r="BC155" s="26" t="s">
        <v>14249</v>
      </c>
      <c r="BD155" s="151">
        <f>+SUM(BD146:BD154)</f>
        <v>944794.93</v>
      </c>
      <c r="BE155" s="24"/>
      <c r="BF155" s="183"/>
      <c r="BG155" s="24"/>
      <c r="BH155" s="150"/>
      <c r="BI155" s="120"/>
      <c r="BJ155" s="240"/>
      <c r="BK155" s="120"/>
      <c r="BL155" s="127"/>
      <c r="BM155" s="127"/>
      <c r="BN155" s="229"/>
      <c r="BO155" s="127"/>
      <c r="BP155" s="127"/>
      <c r="BQ155" s="127"/>
      <c r="BR155" s="127"/>
      <c r="BS155" s="127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</row>
    <row r="156" spans="1:96" x14ac:dyDescent="0.25">
      <c r="B156" s="72"/>
      <c r="C156" s="24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8"/>
      <c r="O156" s="24"/>
      <c r="P156" s="128">
        <v>6754</v>
      </c>
      <c r="Q156" s="24" t="s">
        <v>13450</v>
      </c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237"/>
      <c r="AC156" s="127"/>
      <c r="AD156" s="146"/>
      <c r="AE156" s="127"/>
      <c r="AF156" s="127"/>
      <c r="AG156" s="127"/>
      <c r="AH156" s="173"/>
      <c r="AI156" s="24"/>
      <c r="AJ156" s="120"/>
      <c r="AK156" s="120"/>
      <c r="AL156" s="120"/>
      <c r="AM156" s="120"/>
      <c r="AN156" s="208"/>
      <c r="AO156" s="120"/>
      <c r="AP156" s="146"/>
      <c r="AQ156" s="24"/>
      <c r="AR156" s="120"/>
      <c r="AS156" s="120"/>
      <c r="AT156" s="240"/>
      <c r="AU156" s="127"/>
      <c r="AV156" s="120"/>
      <c r="AW156" s="120"/>
      <c r="AX156" s="127"/>
      <c r="AY156" s="106"/>
      <c r="AZ156" s="120"/>
      <c r="BA156" s="120"/>
      <c r="BB156" s="96">
        <v>20000</v>
      </c>
      <c r="BC156" s="26" t="s">
        <v>14250</v>
      </c>
      <c r="BD156" s="183"/>
      <c r="BE156" s="24"/>
      <c r="BF156" s="199"/>
      <c r="BG156" s="24"/>
      <c r="BH156" s="120"/>
      <c r="BI156" s="120"/>
      <c r="BJ156" s="128"/>
      <c r="BK156" s="120"/>
      <c r="BL156" s="127"/>
      <c r="BM156" s="127"/>
      <c r="BN156" s="127"/>
      <c r="BO156" s="127"/>
      <c r="BP156" s="127"/>
      <c r="BQ156" s="127"/>
      <c r="BR156" s="127"/>
      <c r="BS156" s="127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</row>
    <row r="157" spans="1:96" x14ac:dyDescent="0.25">
      <c r="B157" s="72"/>
      <c r="C157" s="24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8"/>
      <c r="O157" s="24"/>
      <c r="P157" s="96">
        <v>3018</v>
      </c>
      <c r="Q157" s="15" t="s">
        <v>13446</v>
      </c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7"/>
      <c r="AC157" s="127"/>
      <c r="AD157" s="127"/>
      <c r="AE157" s="127"/>
      <c r="AF157" s="127"/>
      <c r="AG157" s="127"/>
      <c r="AH157" s="270"/>
      <c r="AI157" s="24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7"/>
      <c r="AV157" s="120"/>
      <c r="AW157" s="120"/>
      <c r="AX157" s="127"/>
      <c r="AY157" s="106"/>
      <c r="AZ157" s="120"/>
      <c r="BA157" s="120"/>
      <c r="BB157" s="151">
        <f>+SUM(BB139:BB156)</f>
        <v>1647174.12</v>
      </c>
      <c r="BC157" s="15"/>
      <c r="BD157" s="199"/>
      <c r="BE157" s="24"/>
      <c r="BF157" s="199" t="s">
        <v>3594</v>
      </c>
      <c r="BG157" s="24"/>
      <c r="BH157" s="120"/>
      <c r="BI157" s="120"/>
      <c r="BJ157" s="120"/>
      <c r="BK157" s="120"/>
      <c r="BL157" s="127"/>
      <c r="BM157" s="127"/>
      <c r="BN157" s="127"/>
      <c r="BO157" s="127"/>
      <c r="BP157" s="127"/>
      <c r="BQ157" s="127"/>
      <c r="BR157" s="127"/>
      <c r="BS157" s="127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</row>
    <row r="158" spans="1:96" x14ac:dyDescent="0.25">
      <c r="B158" s="72"/>
      <c r="C158" s="24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8"/>
      <c r="O158" s="24"/>
      <c r="P158" s="151">
        <f>+SUM(P150:P157)</f>
        <v>1521858.3</v>
      </c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7"/>
      <c r="AC158" s="127"/>
      <c r="AD158" s="127"/>
      <c r="AE158" s="127"/>
      <c r="AF158" s="127"/>
      <c r="AG158" s="127"/>
      <c r="AH158" s="173"/>
      <c r="AI158" s="24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7"/>
      <c r="AV158" s="120"/>
      <c r="AW158" s="120"/>
      <c r="AX158" s="127"/>
      <c r="AY158" s="106"/>
      <c r="AZ158" s="120"/>
      <c r="BA158" s="120"/>
      <c r="BB158" s="183"/>
      <c r="BC158" s="15"/>
      <c r="BD158" s="146"/>
      <c r="BE158" s="127"/>
      <c r="BF158" s="29"/>
      <c r="BG158" s="15"/>
      <c r="BH158" s="9"/>
      <c r="BI158" s="120"/>
      <c r="BJ158" s="120"/>
      <c r="BK158" s="120"/>
      <c r="BL158" s="127"/>
      <c r="BM158" s="127"/>
      <c r="BN158" s="127"/>
      <c r="BO158" s="127"/>
      <c r="BP158" s="127"/>
      <c r="BQ158" s="127"/>
      <c r="BR158" s="127"/>
      <c r="BS158" s="127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</row>
    <row r="159" spans="1:96" x14ac:dyDescent="0.25">
      <c r="B159" s="74"/>
      <c r="C159" s="58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8"/>
      <c r="O159" s="24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7"/>
      <c r="AC159" s="127"/>
      <c r="AD159" s="127"/>
      <c r="AE159" s="127"/>
      <c r="AF159" s="127"/>
      <c r="AG159" s="127"/>
      <c r="AH159" s="173"/>
      <c r="AI159" s="24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7"/>
      <c r="AV159" s="120"/>
      <c r="AW159" s="120"/>
      <c r="AX159" s="127"/>
      <c r="AY159" s="106"/>
      <c r="AZ159" s="120"/>
      <c r="BA159" s="120"/>
      <c r="BB159" s="183"/>
      <c r="BC159" s="15"/>
      <c r="BD159" s="120"/>
      <c r="BE159" s="127"/>
      <c r="BF159" s="29"/>
      <c r="BG159" s="24"/>
      <c r="BH159" s="120"/>
      <c r="BI159" s="120"/>
      <c r="BJ159" s="120"/>
      <c r="BK159" s="120"/>
      <c r="BL159" s="127"/>
      <c r="BM159" s="127"/>
      <c r="BN159" s="228"/>
      <c r="BO159" s="127"/>
      <c r="BP159" s="127"/>
      <c r="BQ159" s="127"/>
      <c r="BR159" s="127"/>
      <c r="BS159" s="127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</row>
    <row r="160" spans="1:96" x14ac:dyDescent="0.25">
      <c r="B160" s="72"/>
      <c r="C160" s="24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8"/>
      <c r="O160" s="24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73"/>
      <c r="AI160" s="24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7"/>
      <c r="AV160" s="120"/>
      <c r="AW160" s="120"/>
      <c r="AX160" s="259"/>
      <c r="AY160" s="120"/>
      <c r="AZ160" s="120"/>
      <c r="BA160" s="120"/>
      <c r="BB160" s="183"/>
      <c r="BC160" s="15"/>
      <c r="BD160" s="120"/>
      <c r="BE160" s="120"/>
      <c r="BF160" s="146"/>
      <c r="BG160" s="120"/>
      <c r="BH160" s="120"/>
      <c r="BI160" s="120"/>
      <c r="BJ160" s="120"/>
      <c r="BK160" s="120"/>
      <c r="BL160" s="127"/>
      <c r="BM160" s="127"/>
      <c r="BN160" s="127"/>
      <c r="BO160" s="127"/>
      <c r="BP160" s="127"/>
      <c r="BQ160" s="127"/>
      <c r="BR160" s="127"/>
      <c r="BS160" s="127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</row>
    <row r="161" spans="2:71" x14ac:dyDescent="0.25">
      <c r="B161" s="11"/>
      <c r="C161" s="13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8"/>
      <c r="O161" s="24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73"/>
      <c r="AI161" s="24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7"/>
      <c r="AV161" s="120"/>
      <c r="AW161" s="120"/>
      <c r="AX161" s="120"/>
      <c r="AY161" s="120"/>
      <c r="AZ161" s="120"/>
      <c r="BA161" s="120"/>
      <c r="BB161" s="146"/>
      <c r="BC161" s="120"/>
      <c r="BD161" s="120"/>
      <c r="BE161" s="120"/>
      <c r="BF161" s="15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</row>
    <row r="162" spans="2:71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51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73"/>
      <c r="AI162" s="24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7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4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</row>
    <row r="163" spans="2:71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73"/>
      <c r="AI163" s="24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4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</row>
    <row r="164" spans="2:71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73"/>
      <c r="AI164" s="24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</row>
    <row r="165" spans="2:71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271">
        <f>+SUM(AH151:AH164)</f>
        <v>0</v>
      </c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</row>
    <row r="166" spans="2:71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</row>
    <row r="167" spans="2:71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</row>
    <row r="168" spans="2:71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</row>
    <row r="169" spans="2:71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</row>
    <row r="170" spans="2:71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</row>
    <row r="171" spans="2:71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</row>
    <row r="172" spans="2:71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</row>
    <row r="173" spans="2:71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</row>
    <row r="174" spans="2:71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  <c r="BM174" s="120"/>
      <c r="BN174" s="120"/>
    </row>
    <row r="175" spans="2:71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</row>
    <row r="176" spans="2:71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  <c r="BM176" s="120"/>
      <c r="BN176" s="120"/>
    </row>
    <row r="177" spans="2:51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</row>
    <row r="178" spans="2:51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</row>
    <row r="179" spans="2:51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</row>
    <row r="180" spans="2:51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</row>
    <row r="181" spans="2:51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</row>
    <row r="182" spans="2:51" x14ac:dyDescent="0.25"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</row>
    <row r="183" spans="2:51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</row>
    <row r="184" spans="2:51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</row>
    <row r="185" spans="2:51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</row>
    <row r="186" spans="2:51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</row>
    <row r="187" spans="2:51" x14ac:dyDescent="0.25"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88"/>
  <sheetViews>
    <sheetView tabSelected="1" zoomScaleNormal="100" workbookViewId="0">
      <pane xSplit="1" ySplit="1" topLeftCell="AR2" activePane="bottomRight" state="frozen"/>
      <selection pane="topRight" activeCell="B1" sqref="B1"/>
      <selection pane="bottomLeft" activeCell="A2" sqref="A2"/>
      <selection pane="bottomRight" activeCell="BD9" sqref="BD9"/>
    </sheetView>
  </sheetViews>
  <sheetFormatPr baseColWidth="10" defaultRowHeight="11.25" x14ac:dyDescent="0.2"/>
  <cols>
    <col min="1" max="1" width="11.42578125" style="6"/>
    <col min="2" max="2" width="16.85546875" style="6" customWidth="1"/>
    <col min="3" max="3" width="11.42578125" style="6"/>
    <col min="4" max="4" width="14" style="6" bestFit="1" customWidth="1"/>
    <col min="5" max="5" width="11.42578125" style="6"/>
    <col min="6" max="6" width="14.7109375" style="6" bestFit="1" customWidth="1"/>
    <col min="7" max="7" width="11.42578125" style="6"/>
    <col min="8" max="8" width="13.5703125" style="6" bestFit="1" customWidth="1"/>
    <col min="9" max="9" width="12.28515625" style="6" bestFit="1" customWidth="1"/>
    <col min="10" max="10" width="13.5703125" style="6" bestFit="1" customWidth="1"/>
    <col min="11" max="11" width="11.42578125" style="6"/>
    <col min="12" max="12" width="13.5703125" style="6" bestFit="1" customWidth="1"/>
    <col min="13" max="13" width="11.42578125" style="6"/>
    <col min="14" max="14" width="13.28515625" style="6" bestFit="1" customWidth="1"/>
    <col min="15" max="15" width="11.42578125" style="6"/>
    <col min="16" max="16" width="13.5703125" style="6" bestFit="1" customWidth="1"/>
    <col min="17" max="17" width="11.42578125" style="6"/>
    <col min="18" max="18" width="15" style="6" bestFit="1" customWidth="1"/>
    <col min="19" max="19" width="11.42578125" style="6"/>
    <col min="20" max="20" width="14.7109375" style="6" bestFit="1" customWidth="1"/>
    <col min="21" max="21" width="11.42578125" style="6"/>
    <col min="22" max="22" width="13.28515625" style="6" bestFit="1" customWidth="1"/>
    <col min="23" max="23" width="11.42578125" style="6"/>
    <col min="24" max="24" width="14.7109375" style="6" bestFit="1" customWidth="1"/>
    <col min="25" max="25" width="11.42578125" style="6"/>
    <col min="26" max="26" width="13.28515625" style="6" bestFit="1" customWidth="1"/>
    <col min="27" max="27" width="11.42578125" style="6"/>
    <col min="28" max="28" width="13.7109375" style="6" bestFit="1" customWidth="1"/>
    <col min="29" max="29" width="11.42578125" style="6"/>
    <col min="30" max="30" width="13.5703125" style="6" bestFit="1" customWidth="1"/>
    <col min="31" max="31" width="11.42578125" style="6"/>
    <col min="32" max="32" width="14.5703125" style="6" customWidth="1"/>
    <col min="33" max="33" width="11.42578125" style="6"/>
    <col min="34" max="34" width="14" style="6" bestFit="1" customWidth="1"/>
    <col min="35" max="35" width="13.140625" style="6" bestFit="1" customWidth="1"/>
    <col min="36" max="36" width="14.85546875" style="6" customWidth="1"/>
    <col min="37" max="37" width="11.42578125" style="6"/>
    <col min="38" max="38" width="13.7109375" style="6" bestFit="1" customWidth="1"/>
    <col min="39" max="39" width="11.42578125" style="6"/>
    <col min="40" max="40" width="14.42578125" style="6" bestFit="1" customWidth="1"/>
    <col min="41" max="41" width="11.42578125" style="6"/>
    <col min="42" max="42" width="15.42578125" style="6" bestFit="1" customWidth="1"/>
    <col min="43" max="43" width="11.42578125" style="6"/>
    <col min="44" max="44" width="14" style="6" bestFit="1" customWidth="1"/>
    <col min="45" max="45" width="11.42578125" style="6"/>
    <col min="46" max="46" width="13.7109375" style="6" customWidth="1"/>
    <col min="47" max="47" width="11.42578125" style="6"/>
    <col min="48" max="48" width="13.140625" style="6" bestFit="1" customWidth="1"/>
    <col min="49" max="49" width="11.42578125" style="327"/>
    <col min="50" max="50" width="14" style="6" bestFit="1" customWidth="1"/>
    <col min="51" max="51" width="11.42578125" style="6"/>
    <col min="52" max="52" width="12.85546875" style="6" bestFit="1" customWidth="1"/>
    <col min="53" max="53" width="11.42578125" style="6"/>
    <col min="54" max="54" width="14" style="6" bestFit="1" customWidth="1"/>
    <col min="55" max="55" width="11.42578125" style="6"/>
    <col min="56" max="56" width="14" style="76" bestFit="1" customWidth="1"/>
    <col min="57" max="57" width="11.42578125" style="76"/>
    <col min="58" max="58" width="14" style="76" bestFit="1" customWidth="1"/>
    <col min="59" max="59" width="12.7109375" style="76" bestFit="1" customWidth="1"/>
    <col min="60" max="60" width="14" style="76" bestFit="1" customWidth="1"/>
    <col min="61" max="61" width="11.42578125" style="76"/>
    <col min="62" max="62" width="13.85546875" style="76" bestFit="1" customWidth="1"/>
    <col min="63" max="63" width="11.42578125" style="76"/>
    <col min="64" max="64" width="13.140625" style="76" bestFit="1" customWidth="1"/>
    <col min="65" max="65" width="11.5703125" style="76" bestFit="1" customWidth="1"/>
    <col min="66" max="66" width="13.42578125" style="76" bestFit="1" customWidth="1"/>
    <col min="67" max="67" width="11.42578125" style="76"/>
    <col min="68" max="68" width="13.42578125" style="76" bestFit="1" customWidth="1"/>
    <col min="69" max="69" width="11.42578125" style="76"/>
    <col min="70" max="70" width="15.28515625" style="76" bestFit="1" customWidth="1"/>
    <col min="71" max="99" width="11.42578125" style="76"/>
    <col min="100" max="16384" width="11.42578125" style="6"/>
  </cols>
  <sheetData>
    <row r="1" spans="1:96" x14ac:dyDescent="0.2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289">
        <v>43088</v>
      </c>
      <c r="AK1" s="1"/>
      <c r="AL1" s="289">
        <v>43089</v>
      </c>
      <c r="AM1" s="1"/>
      <c r="AN1" s="289">
        <v>43090</v>
      </c>
      <c r="AO1" s="1"/>
      <c r="AP1" s="289">
        <v>43091</v>
      </c>
      <c r="AQ1" s="1"/>
      <c r="AR1" s="289">
        <v>43092</v>
      </c>
      <c r="AS1" s="289"/>
      <c r="AT1" s="289">
        <v>43095</v>
      </c>
      <c r="AU1" s="1"/>
      <c r="AV1" s="289">
        <v>43461</v>
      </c>
      <c r="AW1" s="318"/>
      <c r="AX1" s="289">
        <v>43462</v>
      </c>
      <c r="AY1" s="1"/>
      <c r="AZ1" s="289">
        <v>43463</v>
      </c>
      <c r="BA1" s="1"/>
      <c r="BB1" s="289">
        <v>43464</v>
      </c>
      <c r="BC1" s="1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</row>
    <row r="2" spans="1:96" x14ac:dyDescent="0.2">
      <c r="A2" s="47"/>
      <c r="B2" s="142">
        <v>43070</v>
      </c>
      <c r="C2" s="142"/>
      <c r="D2" s="141">
        <v>43071</v>
      </c>
      <c r="E2" s="142"/>
      <c r="F2" s="141">
        <v>43042</v>
      </c>
      <c r="G2" s="142"/>
      <c r="H2" s="141">
        <v>43073</v>
      </c>
      <c r="I2" s="142"/>
      <c r="J2" s="141">
        <v>43074</v>
      </c>
      <c r="K2" s="142"/>
      <c r="L2" s="141">
        <v>43075</v>
      </c>
      <c r="M2" s="142"/>
      <c r="N2" s="141"/>
      <c r="O2" s="142"/>
      <c r="P2" s="141">
        <v>43077</v>
      </c>
      <c r="Q2" s="142"/>
      <c r="R2" s="141">
        <v>43078</v>
      </c>
      <c r="S2" s="142"/>
      <c r="T2" s="141">
        <v>43080</v>
      </c>
      <c r="U2" s="142"/>
      <c r="V2" s="141">
        <v>43081</v>
      </c>
      <c r="W2" s="142"/>
      <c r="X2" s="141">
        <v>43082</v>
      </c>
      <c r="Y2" s="142"/>
      <c r="Z2" s="163">
        <v>43083</v>
      </c>
      <c r="AA2" s="142"/>
      <c r="AB2" s="141">
        <v>43084</v>
      </c>
      <c r="AC2" s="142"/>
      <c r="AD2" s="141">
        <v>43085</v>
      </c>
      <c r="AE2" s="142"/>
      <c r="AF2" s="141">
        <v>43086</v>
      </c>
      <c r="AG2" s="142"/>
      <c r="AH2" s="141">
        <v>43087</v>
      </c>
      <c r="AI2" s="142"/>
      <c r="AJ2" s="141">
        <v>43088</v>
      </c>
      <c r="AK2" s="142"/>
      <c r="AL2" s="141"/>
      <c r="AM2" s="142"/>
      <c r="AN2" s="141"/>
      <c r="AO2" s="142"/>
      <c r="AP2" s="141"/>
      <c r="AQ2" s="142"/>
      <c r="AR2" s="141"/>
      <c r="AS2" s="142"/>
      <c r="AT2" s="141"/>
      <c r="AU2" s="142"/>
      <c r="AV2" s="141"/>
      <c r="AW2" s="319"/>
      <c r="AX2" s="141"/>
      <c r="AY2" s="142"/>
      <c r="AZ2" s="141"/>
      <c r="BA2" s="142"/>
      <c r="BB2" s="141"/>
      <c r="BC2" s="142"/>
      <c r="BD2" s="231"/>
      <c r="BE2" s="232"/>
      <c r="BF2" s="231"/>
      <c r="BG2" s="232"/>
      <c r="BH2" s="231"/>
      <c r="BI2" s="232"/>
      <c r="BJ2" s="231"/>
      <c r="BK2" s="232"/>
      <c r="BL2" s="231"/>
      <c r="BM2" s="232"/>
      <c r="BN2" s="231"/>
      <c r="BO2" s="232"/>
      <c r="BP2" s="231"/>
      <c r="BQ2" s="232"/>
      <c r="BR2" s="231"/>
      <c r="BS2" s="232"/>
      <c r="BT2" s="231"/>
      <c r="BU2" s="232"/>
      <c r="BV2" s="231"/>
      <c r="BW2" s="232"/>
      <c r="BX2" s="231"/>
      <c r="BY2" s="232"/>
      <c r="BZ2" s="231"/>
      <c r="CA2" s="232"/>
      <c r="CB2" s="231"/>
      <c r="CC2" s="232"/>
      <c r="CD2" s="231"/>
      <c r="CE2" s="232"/>
      <c r="CF2" s="231"/>
      <c r="CG2" s="232"/>
      <c r="CH2" s="65"/>
      <c r="CI2" s="233"/>
      <c r="CJ2" s="65"/>
      <c r="CK2" s="233"/>
      <c r="CL2" s="65"/>
      <c r="CM2" s="233"/>
      <c r="CN2" s="65"/>
      <c r="CO2" s="233"/>
      <c r="CP2" s="65"/>
      <c r="CQ2" s="233"/>
      <c r="CR2" s="65"/>
    </row>
    <row r="3" spans="1:96" x14ac:dyDescent="0.2">
      <c r="A3" s="38" t="s">
        <v>0</v>
      </c>
      <c r="B3" s="98">
        <v>3932.12</v>
      </c>
      <c r="C3" s="15"/>
      <c r="D3" s="143">
        <v>276719.55</v>
      </c>
      <c r="E3" s="15"/>
      <c r="F3" s="143">
        <v>1000</v>
      </c>
      <c r="G3" s="15"/>
      <c r="H3" s="143">
        <v>18368.71</v>
      </c>
      <c r="I3" s="15"/>
      <c r="J3" s="143">
        <v>111460.61</v>
      </c>
      <c r="K3" s="15"/>
      <c r="L3" s="143">
        <v>6018.63</v>
      </c>
      <c r="M3" s="15"/>
      <c r="N3" s="98">
        <v>113280.24</v>
      </c>
      <c r="O3" s="15"/>
      <c r="P3" s="143">
        <v>18941.09</v>
      </c>
      <c r="Q3" s="15"/>
      <c r="R3" s="143">
        <v>90149.119999999995</v>
      </c>
      <c r="S3" s="15"/>
      <c r="T3" s="143">
        <v>32317.86</v>
      </c>
      <c r="U3" s="15"/>
      <c r="V3" s="143">
        <v>154099.01</v>
      </c>
      <c r="W3" s="15"/>
      <c r="X3" s="143">
        <v>21780.97</v>
      </c>
      <c r="Y3" s="15"/>
      <c r="Z3" s="256">
        <v>134721.13</v>
      </c>
      <c r="AA3" s="15"/>
      <c r="AB3" s="143">
        <v>68208.850000000006</v>
      </c>
      <c r="AC3" s="15"/>
      <c r="AD3" s="98">
        <v>47209.89</v>
      </c>
      <c r="AE3" s="15"/>
      <c r="AF3" s="143">
        <v>121500</v>
      </c>
      <c r="AG3" s="15"/>
      <c r="AH3" s="143">
        <v>123612.47</v>
      </c>
      <c r="AI3" s="15"/>
      <c r="AJ3" s="143">
        <f>SUM(AJ6:AJ16)</f>
        <v>36956.240000000005</v>
      </c>
      <c r="AK3" s="15"/>
      <c r="AL3" s="143">
        <v>50170.91</v>
      </c>
      <c r="AM3" s="15"/>
      <c r="AN3" s="143">
        <v>121810.7</v>
      </c>
      <c r="AO3" s="15"/>
      <c r="AP3" s="143">
        <v>207050.29</v>
      </c>
      <c r="AQ3" s="15"/>
      <c r="AR3" s="143">
        <v>215112.76</v>
      </c>
      <c r="AS3" s="15"/>
      <c r="AT3" s="143">
        <v>7864.86</v>
      </c>
      <c r="AU3" s="15"/>
      <c r="AV3" s="143">
        <v>28569.91</v>
      </c>
      <c r="AW3" s="86"/>
      <c r="AX3" s="143">
        <v>350168.37</v>
      </c>
      <c r="AY3" s="15"/>
      <c r="AZ3" s="143">
        <v>154016.32000000001</v>
      </c>
      <c r="BA3" s="15"/>
      <c r="BB3" s="143">
        <v>17695.86</v>
      </c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</row>
    <row r="4" spans="1:96" x14ac:dyDescent="0.2">
      <c r="A4" s="39"/>
      <c r="B4" s="98">
        <v>85275.55</v>
      </c>
      <c r="C4" s="15"/>
      <c r="D4" s="98"/>
      <c r="E4" s="15"/>
      <c r="F4" s="98"/>
      <c r="G4" s="15"/>
      <c r="H4" s="98">
        <v>157514.62</v>
      </c>
      <c r="I4" s="15"/>
      <c r="J4" s="98">
        <v>207471.16</v>
      </c>
      <c r="K4" s="15"/>
      <c r="L4" s="98">
        <v>326896.02</v>
      </c>
      <c r="M4" s="15"/>
      <c r="N4" s="98">
        <v>36669.949999999997</v>
      </c>
      <c r="O4" s="15"/>
      <c r="P4" s="98">
        <v>350119.7</v>
      </c>
      <c r="Q4" s="15"/>
      <c r="R4" s="98"/>
      <c r="S4" s="15"/>
      <c r="T4" s="98">
        <v>146960.89000000001</v>
      </c>
      <c r="U4" s="15"/>
      <c r="V4" s="98"/>
      <c r="W4" s="15"/>
      <c r="X4" s="98">
        <v>181061.42</v>
      </c>
      <c r="Y4" s="15"/>
      <c r="Z4" s="283">
        <v>48708.9</v>
      </c>
      <c r="AA4" s="15"/>
      <c r="AB4" s="98">
        <v>223694.52</v>
      </c>
      <c r="AC4" s="15"/>
      <c r="AD4" s="98"/>
      <c r="AE4" s="15"/>
      <c r="AF4" s="98"/>
      <c r="AG4" s="15"/>
      <c r="AH4" s="98">
        <v>180791.11</v>
      </c>
      <c r="AI4" s="15"/>
      <c r="AJ4" s="98">
        <f>SUM(AJ18:AJ32)</f>
        <v>214270.66000000003</v>
      </c>
      <c r="AK4" s="15"/>
      <c r="AL4" s="98">
        <v>56577.17</v>
      </c>
      <c r="AM4" s="15"/>
      <c r="AN4" s="98">
        <v>7912.74</v>
      </c>
      <c r="AO4" s="15"/>
      <c r="AP4" s="98">
        <v>17011.2</v>
      </c>
      <c r="AQ4" s="15"/>
      <c r="AR4" s="98"/>
      <c r="AS4" s="15"/>
      <c r="AT4" s="98">
        <v>83863.34</v>
      </c>
      <c r="AU4" s="15"/>
      <c r="AV4" s="98">
        <v>9421.61</v>
      </c>
      <c r="AW4" s="86"/>
      <c r="AX4" s="98">
        <v>17058.669999999998</v>
      </c>
      <c r="AY4" s="15"/>
      <c r="AZ4" s="98">
        <v>217643.99</v>
      </c>
      <c r="BA4" s="15"/>
      <c r="BB4" s="98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</row>
    <row r="5" spans="1:96" x14ac:dyDescent="0.2">
      <c r="A5" s="48"/>
      <c r="B5" s="18"/>
      <c r="C5" s="59"/>
      <c r="D5" s="18"/>
      <c r="E5" s="59"/>
      <c r="F5" s="18"/>
      <c r="G5" s="59"/>
      <c r="H5" s="75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75"/>
      <c r="Y5" s="59"/>
      <c r="Z5" s="59"/>
      <c r="AA5" s="59"/>
      <c r="AB5" s="18"/>
      <c r="AC5" s="59"/>
      <c r="AD5" s="18"/>
      <c r="AE5" s="59"/>
      <c r="AF5" s="18"/>
      <c r="AG5" s="59"/>
      <c r="AH5" s="18"/>
      <c r="AI5" s="59"/>
      <c r="AJ5" s="299"/>
      <c r="AK5" s="59"/>
      <c r="AL5" s="18"/>
      <c r="AM5" s="59"/>
      <c r="AN5" s="75"/>
      <c r="AO5" s="25"/>
      <c r="AP5" s="75"/>
      <c r="AQ5" s="59"/>
      <c r="AR5" s="75"/>
      <c r="AS5" s="59"/>
      <c r="AT5" s="18"/>
      <c r="AU5" s="59"/>
      <c r="AV5" s="18"/>
      <c r="AW5" s="319"/>
      <c r="AX5" s="18"/>
      <c r="AY5" s="59"/>
      <c r="AZ5" s="18"/>
      <c r="BA5" s="59"/>
      <c r="BB5" s="18"/>
      <c r="BC5" s="59"/>
      <c r="BD5" s="75"/>
      <c r="BE5" s="25"/>
      <c r="BF5" s="75"/>
      <c r="BG5" s="25"/>
      <c r="BH5" s="75"/>
      <c r="BI5" s="25"/>
      <c r="BJ5" s="75"/>
      <c r="BK5" s="25"/>
      <c r="BL5" s="75"/>
      <c r="BM5" s="25"/>
      <c r="BN5" s="75"/>
      <c r="BO5" s="25"/>
      <c r="BP5" s="75"/>
      <c r="BQ5" s="25"/>
      <c r="BR5" s="75"/>
      <c r="BS5" s="25"/>
      <c r="BT5" s="75"/>
      <c r="BU5" s="25"/>
      <c r="BV5" s="75"/>
      <c r="BW5" s="25"/>
      <c r="BX5" s="75"/>
      <c r="BY5" s="25"/>
      <c r="BZ5" s="75"/>
      <c r="CA5" s="25"/>
      <c r="CB5" s="75"/>
      <c r="CC5" s="25"/>
      <c r="CD5" s="75"/>
      <c r="CE5" s="25"/>
      <c r="CF5" s="75"/>
      <c r="CG5" s="25"/>
      <c r="CI5" s="234"/>
      <c r="CK5" s="234"/>
      <c r="CM5" s="234"/>
      <c r="CO5" s="234"/>
      <c r="CQ5" s="234"/>
    </row>
    <row r="6" spans="1:96" x14ac:dyDescent="0.2">
      <c r="A6" s="41"/>
      <c r="B6" s="9">
        <v>1605.35</v>
      </c>
      <c r="C6" s="15" t="s">
        <v>14217</v>
      </c>
      <c r="D6" s="96">
        <v>10000</v>
      </c>
      <c r="E6" s="15" t="s">
        <v>14371</v>
      </c>
      <c r="F6" s="9">
        <v>1000</v>
      </c>
      <c r="G6" s="15" t="s">
        <v>14340</v>
      </c>
      <c r="H6" s="9">
        <v>1155.1780000000001</v>
      </c>
      <c r="I6" s="15" t="s">
        <v>14405</v>
      </c>
      <c r="J6" s="9">
        <v>500</v>
      </c>
      <c r="K6" s="15" t="s">
        <v>14454</v>
      </c>
      <c r="L6" s="9">
        <v>1000</v>
      </c>
      <c r="M6" s="15" t="s">
        <v>14491</v>
      </c>
      <c r="N6" s="9">
        <v>90000</v>
      </c>
      <c r="O6" s="26" t="s">
        <v>14601</v>
      </c>
      <c r="P6" s="9">
        <v>464</v>
      </c>
      <c r="Q6" s="15" t="s">
        <v>14579</v>
      </c>
      <c r="R6" s="9">
        <v>3000</v>
      </c>
      <c r="S6" s="15" t="s">
        <v>14637</v>
      </c>
      <c r="T6" s="9">
        <v>2600</v>
      </c>
      <c r="U6" s="15" t="s">
        <v>14725</v>
      </c>
      <c r="V6" s="9">
        <v>148000</v>
      </c>
      <c r="W6" s="15" t="s">
        <v>14774</v>
      </c>
      <c r="X6" s="9">
        <v>263.74</v>
      </c>
      <c r="Y6" s="15" t="s">
        <v>14781</v>
      </c>
      <c r="Z6" s="9">
        <v>112300</v>
      </c>
      <c r="AA6" s="15" t="s">
        <v>14832</v>
      </c>
      <c r="AB6" s="9">
        <v>40000</v>
      </c>
      <c r="AC6" s="15" t="s">
        <v>14891</v>
      </c>
      <c r="AD6" s="9">
        <v>4000</v>
      </c>
      <c r="AE6" s="15" t="s">
        <v>14948</v>
      </c>
      <c r="AF6" s="72">
        <v>1000</v>
      </c>
      <c r="AG6" s="86" t="s">
        <v>14988</v>
      </c>
      <c r="AH6" s="72">
        <v>513.05999999999995</v>
      </c>
      <c r="AI6" s="86" t="s">
        <v>14990</v>
      </c>
      <c r="AJ6" s="9">
        <v>15000</v>
      </c>
      <c r="AK6" s="15" t="s">
        <v>15051</v>
      </c>
      <c r="AL6" s="72">
        <v>9151.91</v>
      </c>
      <c r="AM6" s="15" t="s">
        <v>15117</v>
      </c>
      <c r="AN6" s="9">
        <v>3046</v>
      </c>
      <c r="AO6" s="15" t="s">
        <v>15181</v>
      </c>
      <c r="AP6" s="9">
        <v>1795.01</v>
      </c>
      <c r="AQ6" s="26" t="s">
        <v>15254</v>
      </c>
      <c r="AR6" s="9">
        <v>1099.01</v>
      </c>
      <c r="AS6" s="15" t="s">
        <v>15306</v>
      </c>
      <c r="AT6" s="9">
        <v>2924.96</v>
      </c>
      <c r="AU6" s="15" t="s">
        <v>15370</v>
      </c>
      <c r="AV6" s="9">
        <v>1468.33</v>
      </c>
      <c r="AW6" s="86" t="s">
        <v>15411</v>
      </c>
      <c r="AX6" s="9">
        <v>746.94</v>
      </c>
      <c r="AY6" s="15" t="s">
        <v>15480</v>
      </c>
      <c r="AZ6" s="9">
        <v>1099</v>
      </c>
      <c r="BA6" s="15" t="s">
        <v>15567</v>
      </c>
      <c r="BB6" s="9">
        <v>505.01</v>
      </c>
      <c r="BC6" s="15"/>
      <c r="BD6" s="9"/>
      <c r="BE6" s="15"/>
      <c r="BF6" s="9"/>
      <c r="BG6" s="15"/>
      <c r="BH6" s="9"/>
      <c r="BI6" s="15"/>
      <c r="BJ6" s="9"/>
      <c r="BK6" s="15"/>
      <c r="BL6" s="9"/>
      <c r="BM6" s="15"/>
      <c r="BN6" s="9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  <c r="CO6" s="15"/>
      <c r="CP6" s="9"/>
      <c r="CQ6" s="15"/>
      <c r="CR6" s="9"/>
    </row>
    <row r="7" spans="1:96" x14ac:dyDescent="0.2">
      <c r="A7" s="41"/>
      <c r="B7" s="9">
        <v>331.77</v>
      </c>
      <c r="C7" s="15" t="s">
        <v>14218</v>
      </c>
      <c r="D7" s="96">
        <v>242000</v>
      </c>
      <c r="E7" s="26" t="s">
        <v>14372</v>
      </c>
      <c r="F7" s="9"/>
      <c r="G7" s="26"/>
      <c r="H7" s="9">
        <v>87.38</v>
      </c>
      <c r="I7" s="15" t="s">
        <v>14408</v>
      </c>
      <c r="J7" s="9">
        <v>7265.24</v>
      </c>
      <c r="K7" s="26" t="s">
        <v>14459</v>
      </c>
      <c r="L7" s="7">
        <v>100</v>
      </c>
      <c r="M7" s="26" t="s">
        <v>14492</v>
      </c>
      <c r="N7" s="9">
        <v>351.98</v>
      </c>
      <c r="O7" s="26" t="s">
        <v>14606</v>
      </c>
      <c r="P7" s="9">
        <v>1099</v>
      </c>
      <c r="Q7" s="26" t="s">
        <v>14580</v>
      </c>
      <c r="R7" s="9">
        <v>1473.2</v>
      </c>
      <c r="S7" s="26" t="s">
        <v>14639</v>
      </c>
      <c r="T7" s="7">
        <v>5000</v>
      </c>
      <c r="U7" s="26" t="s">
        <v>14726</v>
      </c>
      <c r="V7" s="9">
        <v>5000</v>
      </c>
      <c r="W7" s="26" t="s">
        <v>14776</v>
      </c>
      <c r="X7" s="9">
        <v>432.22</v>
      </c>
      <c r="Y7" s="26" t="s">
        <v>14784</v>
      </c>
      <c r="Z7" s="6">
        <v>1089.75</v>
      </c>
      <c r="AA7" s="6" t="s">
        <v>14835</v>
      </c>
      <c r="AB7" s="9">
        <v>20000</v>
      </c>
      <c r="AC7" s="26" t="s">
        <v>14899</v>
      </c>
      <c r="AD7" s="9">
        <v>30000</v>
      </c>
      <c r="AE7" s="15" t="s">
        <v>14953</v>
      </c>
      <c r="AF7" s="72">
        <v>120500</v>
      </c>
      <c r="AG7" s="86" t="s">
        <v>14989</v>
      </c>
      <c r="AH7" s="72">
        <v>115000</v>
      </c>
      <c r="AI7" s="86" t="s">
        <v>14994</v>
      </c>
      <c r="AJ7" s="9">
        <v>645.01</v>
      </c>
      <c r="AK7" s="15" t="s">
        <v>15053</v>
      </c>
      <c r="AL7" s="72">
        <v>1099</v>
      </c>
      <c r="AM7" s="26" t="s">
        <v>15118</v>
      </c>
      <c r="AN7" s="9">
        <v>13170.59</v>
      </c>
      <c r="AO7" s="15" t="s">
        <v>15182</v>
      </c>
      <c r="AP7" s="9">
        <v>1099.01</v>
      </c>
      <c r="AQ7" s="15" t="s">
        <v>15255</v>
      </c>
      <c r="AR7" s="9">
        <v>1970</v>
      </c>
      <c r="AS7" s="26" t="s">
        <v>15307</v>
      </c>
      <c r="AT7" s="9">
        <v>1097.48</v>
      </c>
      <c r="AU7" s="26" t="s">
        <v>15371</v>
      </c>
      <c r="AV7" s="72">
        <v>1970</v>
      </c>
      <c r="AW7" s="85" t="s">
        <v>15412</v>
      </c>
      <c r="AX7" s="7">
        <v>3169</v>
      </c>
      <c r="AY7" s="26" t="s">
        <v>15481</v>
      </c>
      <c r="AZ7" s="9">
        <v>1000</v>
      </c>
      <c r="BA7" s="26" t="s">
        <v>15568</v>
      </c>
      <c r="BB7" s="7">
        <v>1099.01</v>
      </c>
      <c r="BC7" s="26"/>
      <c r="BD7" s="9"/>
      <c r="BE7" s="15"/>
      <c r="BF7" s="9"/>
      <c r="BG7" s="15"/>
      <c r="BH7" s="9"/>
      <c r="BI7" s="15"/>
      <c r="BJ7" s="9"/>
      <c r="BK7" s="15"/>
      <c r="BL7" s="9"/>
      <c r="BM7" s="15"/>
      <c r="BN7" s="9"/>
      <c r="BO7" s="15"/>
      <c r="BP7" s="9"/>
      <c r="BQ7" s="15"/>
      <c r="BR7" s="9"/>
      <c r="BS7" s="15"/>
      <c r="BT7" s="9"/>
      <c r="BU7" s="15"/>
      <c r="BV7" s="9"/>
      <c r="BW7" s="15"/>
      <c r="BX7" s="9"/>
      <c r="BY7" s="15"/>
      <c r="BZ7" s="9"/>
      <c r="CA7" s="15"/>
      <c r="CB7" s="9"/>
      <c r="CC7" s="15"/>
      <c r="CD7" s="9"/>
      <c r="CE7" s="15"/>
      <c r="CF7" s="9"/>
      <c r="CG7" s="15"/>
      <c r="CH7" s="9"/>
      <c r="CI7" s="15"/>
      <c r="CJ7" s="9"/>
      <c r="CK7" s="15"/>
      <c r="CL7" s="9"/>
      <c r="CM7" s="15"/>
      <c r="CN7" s="9"/>
      <c r="CO7" s="15"/>
      <c r="CP7" s="9"/>
      <c r="CQ7" s="15"/>
      <c r="CR7" s="9"/>
    </row>
    <row r="8" spans="1:96" x14ac:dyDescent="0.2">
      <c r="A8" s="41"/>
      <c r="B8" s="18">
        <v>1995</v>
      </c>
      <c r="C8" s="15" t="s">
        <v>14224</v>
      </c>
      <c r="D8" s="96">
        <v>1077.96</v>
      </c>
      <c r="E8" s="15" t="s">
        <v>14374</v>
      </c>
      <c r="F8" s="9"/>
      <c r="G8" s="26"/>
      <c r="H8" s="9">
        <v>1370.41</v>
      </c>
      <c r="I8" s="15" t="s">
        <v>14411</v>
      </c>
      <c r="J8" s="9">
        <v>85000</v>
      </c>
      <c r="K8" s="26" t="s">
        <v>14460</v>
      </c>
      <c r="L8" s="7">
        <v>116.46</v>
      </c>
      <c r="M8" s="26" t="s">
        <v>14493</v>
      </c>
      <c r="N8" s="9">
        <v>1099.01</v>
      </c>
      <c r="O8" s="26" t="s">
        <v>14612</v>
      </c>
      <c r="P8" s="9">
        <v>10000</v>
      </c>
      <c r="Q8" s="26" t="s">
        <v>14582</v>
      </c>
      <c r="R8" s="9">
        <v>5400</v>
      </c>
      <c r="S8" s="26" t="s">
        <v>14642</v>
      </c>
      <c r="T8" s="7">
        <v>7339.66</v>
      </c>
      <c r="U8" s="26" t="s">
        <v>14728</v>
      </c>
      <c r="V8" s="9">
        <v>1099.01</v>
      </c>
      <c r="W8" s="15" t="s">
        <v>14777</v>
      </c>
      <c r="X8" s="9">
        <v>1941.97</v>
      </c>
      <c r="Y8" s="15" t="s">
        <v>14786</v>
      </c>
      <c r="Z8" s="9">
        <v>1000</v>
      </c>
      <c r="AA8" s="15" t="s">
        <v>14838</v>
      </c>
      <c r="AB8" s="7">
        <v>16.809999999999999</v>
      </c>
      <c r="AC8" s="26" t="s">
        <v>14900</v>
      </c>
      <c r="AD8" s="9">
        <v>150</v>
      </c>
      <c r="AE8" s="26" t="s">
        <v>14961</v>
      </c>
      <c r="AF8" s="72"/>
      <c r="AG8" s="13"/>
      <c r="AH8" s="72">
        <v>4100</v>
      </c>
      <c r="AI8" s="86" t="s">
        <v>14995</v>
      </c>
      <c r="AJ8" s="9">
        <v>5000</v>
      </c>
      <c r="AK8" s="15" t="s">
        <v>15054</v>
      </c>
      <c r="AL8" s="72">
        <v>4395</v>
      </c>
      <c r="AM8" s="26" t="s">
        <v>15119</v>
      </c>
      <c r="AN8" s="9">
        <v>1099.01</v>
      </c>
      <c r="AO8" s="15" t="s">
        <v>15183</v>
      </c>
      <c r="AP8" s="9">
        <v>561.20000000000005</v>
      </c>
      <c r="AQ8" s="15" t="s">
        <v>15256</v>
      </c>
      <c r="AR8" s="9">
        <v>92.87</v>
      </c>
      <c r="AS8" s="26" t="s">
        <v>15308</v>
      </c>
      <c r="AT8" s="9">
        <v>1099</v>
      </c>
      <c r="AU8" s="26" t="s">
        <v>15372</v>
      </c>
      <c r="AV8" s="9">
        <v>1970</v>
      </c>
      <c r="AW8" s="86" t="s">
        <v>15413</v>
      </c>
      <c r="AX8" s="7">
        <v>3168.99</v>
      </c>
      <c r="AY8" s="26" t="s">
        <v>15482</v>
      </c>
      <c r="AZ8" s="9">
        <v>4395</v>
      </c>
      <c r="BA8" s="26" t="s">
        <v>15569</v>
      </c>
      <c r="BB8" s="7">
        <v>1970</v>
      </c>
      <c r="BC8" s="26"/>
      <c r="BD8" s="9"/>
      <c r="BE8" s="15"/>
      <c r="BF8" s="9"/>
      <c r="BG8" s="15"/>
      <c r="BH8" s="9"/>
      <c r="BI8" s="15"/>
      <c r="BJ8" s="9"/>
      <c r="BK8" s="15"/>
      <c r="BL8" s="9"/>
      <c r="BM8" s="15"/>
      <c r="BN8" s="9"/>
      <c r="BO8" s="15"/>
      <c r="BP8" s="9"/>
      <c r="BQ8" s="15"/>
      <c r="BR8" s="9"/>
      <c r="BS8" s="15"/>
      <c r="BT8" s="9"/>
      <c r="BU8" s="15"/>
      <c r="BV8" s="9"/>
      <c r="BW8" s="15"/>
      <c r="BX8" s="9"/>
      <c r="BY8" s="15"/>
      <c r="BZ8" s="9"/>
      <c r="CA8" s="15"/>
      <c r="CB8" s="9"/>
      <c r="CC8" s="15"/>
      <c r="CD8" s="9"/>
      <c r="CE8" s="15"/>
      <c r="CF8" s="9"/>
      <c r="CG8" s="15"/>
      <c r="CH8" s="9"/>
      <c r="CI8" s="15"/>
      <c r="CJ8" s="9"/>
      <c r="CK8" s="15"/>
      <c r="CL8" s="9"/>
      <c r="CM8" s="15"/>
      <c r="CN8" s="9"/>
      <c r="CO8" s="15"/>
      <c r="CP8" s="9"/>
      <c r="CQ8" s="15"/>
      <c r="CR8" s="9"/>
    </row>
    <row r="9" spans="1:96" x14ac:dyDescent="0.2">
      <c r="A9" s="41"/>
      <c r="B9" s="9"/>
      <c r="C9" s="15"/>
      <c r="D9" s="96">
        <v>10000</v>
      </c>
      <c r="E9" s="26" t="s">
        <v>14375</v>
      </c>
      <c r="F9" s="9"/>
      <c r="G9" s="15"/>
      <c r="H9" s="9">
        <v>330.76</v>
      </c>
      <c r="I9" s="15" t="s">
        <v>14412</v>
      </c>
      <c r="J9" s="9">
        <v>1000</v>
      </c>
      <c r="K9" s="15" t="s">
        <v>14462</v>
      </c>
      <c r="L9" s="9">
        <f>1168.4-1077.96</f>
        <v>90.440000000000055</v>
      </c>
      <c r="M9" s="15" t="s">
        <v>14500</v>
      </c>
      <c r="N9" s="9">
        <v>1099</v>
      </c>
      <c r="O9" s="26" t="s">
        <v>14614</v>
      </c>
      <c r="P9" s="9">
        <v>1970</v>
      </c>
      <c r="Q9" s="15" t="s">
        <v>14586</v>
      </c>
      <c r="R9" s="9">
        <v>60000</v>
      </c>
      <c r="S9" s="15" t="s">
        <v>14643</v>
      </c>
      <c r="T9" s="9">
        <v>500</v>
      </c>
      <c r="U9" s="15" t="s">
        <v>14730</v>
      </c>
      <c r="V9" s="9"/>
      <c r="W9" s="15"/>
      <c r="X9" s="9">
        <v>419.36</v>
      </c>
      <c r="Y9" s="15" t="s">
        <v>14787</v>
      </c>
      <c r="Z9" s="9">
        <v>9500</v>
      </c>
      <c r="AA9" s="15" t="s">
        <v>14841</v>
      </c>
      <c r="AB9" s="9">
        <v>1995</v>
      </c>
      <c r="AC9" s="26" t="s">
        <v>14908</v>
      </c>
      <c r="AD9" s="9">
        <v>90</v>
      </c>
      <c r="AE9" s="15" t="s">
        <v>14963</v>
      </c>
      <c r="AF9" s="72"/>
      <c r="AG9" s="85"/>
      <c r="AH9" s="72">
        <v>34.42</v>
      </c>
      <c r="AI9" s="86" t="s">
        <v>14996</v>
      </c>
      <c r="AJ9" s="9">
        <v>78.099999999999994</v>
      </c>
      <c r="AK9" s="15" t="s">
        <v>15055</v>
      </c>
      <c r="AL9" s="72">
        <v>1970</v>
      </c>
      <c r="AM9" s="15" t="s">
        <v>15120</v>
      </c>
      <c r="AN9" s="9">
        <v>1970</v>
      </c>
      <c r="AO9" s="15" t="s">
        <v>15184</v>
      </c>
      <c r="AP9" s="9">
        <v>237.24</v>
      </c>
      <c r="AQ9" s="26" t="s">
        <v>15257</v>
      </c>
      <c r="AR9" s="9">
        <v>1970</v>
      </c>
      <c r="AS9" s="15" t="s">
        <v>15309</v>
      </c>
      <c r="AT9" s="9">
        <v>2000</v>
      </c>
      <c r="AU9" s="15" t="s">
        <v>15373</v>
      </c>
      <c r="AV9" s="7">
        <v>874.55</v>
      </c>
      <c r="AW9" s="88" t="s">
        <v>15414</v>
      </c>
      <c r="AX9" s="9">
        <v>50000</v>
      </c>
      <c r="AY9" s="15" t="s">
        <v>15483</v>
      </c>
      <c r="AZ9" s="9">
        <v>575.41999999999996</v>
      </c>
      <c r="BA9" s="15" t="s">
        <v>15570</v>
      </c>
      <c r="BB9" s="9">
        <v>5500</v>
      </c>
      <c r="BC9" s="15"/>
      <c r="BD9" s="9"/>
      <c r="BE9" s="15"/>
      <c r="BF9" s="72"/>
      <c r="BG9" s="24"/>
      <c r="BH9" s="9"/>
      <c r="BI9" s="15"/>
      <c r="BJ9" s="9"/>
      <c r="BK9" s="15"/>
      <c r="BL9" s="9"/>
      <c r="BM9" s="15"/>
      <c r="BN9" s="9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  <c r="CO9" s="15"/>
      <c r="CP9" s="9"/>
      <c r="CQ9" s="15"/>
      <c r="CR9" s="9"/>
    </row>
    <row r="10" spans="1:96" x14ac:dyDescent="0.2">
      <c r="A10" s="41"/>
      <c r="B10" s="9">
        <v>77000</v>
      </c>
      <c r="C10" s="15" t="s">
        <v>14345</v>
      </c>
      <c r="D10" s="96">
        <v>53.33</v>
      </c>
      <c r="E10" s="15" t="s">
        <v>14378</v>
      </c>
      <c r="F10" s="9"/>
      <c r="G10" s="26"/>
      <c r="H10" s="9">
        <v>1099</v>
      </c>
      <c r="I10" s="15" t="s">
        <v>14413</v>
      </c>
      <c r="J10" s="9">
        <f>4570.69-3000</f>
        <v>1570.6899999999996</v>
      </c>
      <c r="K10" s="26" t="s">
        <v>14466</v>
      </c>
      <c r="L10" s="9">
        <v>107.06</v>
      </c>
      <c r="M10" s="26" t="s">
        <v>14501</v>
      </c>
      <c r="N10" s="9">
        <v>1468.07</v>
      </c>
      <c r="O10" s="26" t="s">
        <v>14616</v>
      </c>
      <c r="P10" s="9">
        <v>3250.01</v>
      </c>
      <c r="Q10" s="26" t="s">
        <v>14588</v>
      </c>
      <c r="R10" s="9">
        <v>3250.01</v>
      </c>
      <c r="S10" s="26" t="s">
        <v>14652</v>
      </c>
      <c r="T10" s="7">
        <v>93.02</v>
      </c>
      <c r="U10" s="26" t="s">
        <v>14734</v>
      </c>
      <c r="V10" s="9"/>
      <c r="W10" s="26"/>
      <c r="X10" s="9">
        <v>92.87</v>
      </c>
      <c r="Y10" s="26" t="s">
        <v>14788</v>
      </c>
      <c r="Z10" s="7">
        <v>654.07000000000005</v>
      </c>
      <c r="AA10" s="26" t="s">
        <v>14842</v>
      </c>
      <c r="AB10" s="9">
        <v>1099</v>
      </c>
      <c r="AC10" s="26" t="s">
        <v>14916</v>
      </c>
      <c r="AD10" s="9">
        <v>536.15</v>
      </c>
      <c r="AE10" s="26" t="s">
        <v>14964</v>
      </c>
      <c r="AF10" s="72"/>
      <c r="AG10" s="86"/>
      <c r="AH10" s="72">
        <v>1994.99</v>
      </c>
      <c r="AI10" s="86" t="s">
        <v>14999</v>
      </c>
      <c r="AJ10" s="9">
        <v>9019.65</v>
      </c>
      <c r="AK10" s="15" t="s">
        <v>15056</v>
      </c>
      <c r="AL10" s="72">
        <v>2566</v>
      </c>
      <c r="AM10" s="26" t="s">
        <v>15121</v>
      </c>
      <c r="AN10" s="9">
        <v>1099.01</v>
      </c>
      <c r="AO10" s="15" t="s">
        <v>15185</v>
      </c>
      <c r="AP10" s="9">
        <v>1970</v>
      </c>
      <c r="AQ10" s="26" t="s">
        <v>15258</v>
      </c>
      <c r="AR10" s="9">
        <v>232</v>
      </c>
      <c r="AS10" s="26" t="s">
        <v>15310</v>
      </c>
      <c r="AT10" s="9">
        <v>87</v>
      </c>
      <c r="AU10" s="26" t="s">
        <v>15374</v>
      </c>
      <c r="AV10" s="7">
        <v>1857.39</v>
      </c>
      <c r="AW10" s="88" t="s">
        <v>15415</v>
      </c>
      <c r="AX10" s="7">
        <v>136.9</v>
      </c>
      <c r="AY10" s="26" t="s">
        <v>15484</v>
      </c>
      <c r="AZ10" s="9">
        <v>2300</v>
      </c>
      <c r="BA10" s="26" t="s">
        <v>15547</v>
      </c>
      <c r="BB10" s="7">
        <v>912.83</v>
      </c>
      <c r="BC10" s="26"/>
      <c r="BD10" s="9"/>
      <c r="BE10" s="15"/>
      <c r="BF10" s="9"/>
      <c r="BG10" s="15"/>
      <c r="BH10" s="9"/>
      <c r="BI10" s="15"/>
      <c r="BJ10" s="9"/>
      <c r="BK10" s="15"/>
      <c r="BL10" s="9"/>
      <c r="BM10" s="15"/>
      <c r="BN10" s="9"/>
      <c r="BO10" s="15"/>
      <c r="BP10" s="9"/>
      <c r="BQ10" s="15"/>
      <c r="BR10" s="9"/>
      <c r="BS10" s="15"/>
      <c r="BT10" s="9"/>
      <c r="BU10" s="15"/>
      <c r="BV10" s="9"/>
      <c r="BW10" s="15"/>
      <c r="BX10" s="9"/>
      <c r="BY10" s="15"/>
      <c r="BZ10" s="9"/>
      <c r="CA10" s="15"/>
      <c r="CB10" s="9"/>
      <c r="CC10" s="15"/>
      <c r="CD10" s="9"/>
      <c r="CE10" s="15"/>
      <c r="CF10" s="9"/>
      <c r="CG10" s="15"/>
      <c r="CH10" s="9"/>
      <c r="CI10" s="15"/>
      <c r="CJ10" s="9"/>
      <c r="CK10" s="15"/>
      <c r="CL10" s="9"/>
      <c r="CM10" s="15"/>
      <c r="CN10" s="9"/>
      <c r="CO10" s="15"/>
      <c r="CP10" s="9"/>
      <c r="CQ10" s="15"/>
      <c r="CR10" s="9"/>
    </row>
    <row r="11" spans="1:96" x14ac:dyDescent="0.2">
      <c r="A11" s="41"/>
      <c r="B11" s="9">
        <v>85.84</v>
      </c>
      <c r="C11" s="15" t="s">
        <v>14351</v>
      </c>
      <c r="D11" s="96">
        <f>788.79-702.95</f>
        <v>85.839999999999918</v>
      </c>
      <c r="E11" s="15" t="s">
        <v>14379</v>
      </c>
      <c r="F11" s="9"/>
      <c r="G11" s="26"/>
      <c r="H11" s="9">
        <v>1969.99</v>
      </c>
      <c r="I11" s="15" t="s">
        <v>14414</v>
      </c>
      <c r="J11" s="9">
        <v>472.68</v>
      </c>
      <c r="K11" s="26" t="s">
        <v>14468</v>
      </c>
      <c r="L11" s="7">
        <v>1970</v>
      </c>
      <c r="M11" s="26" t="s">
        <v>14510</v>
      </c>
      <c r="N11" s="9">
        <v>1099.01</v>
      </c>
      <c r="O11" s="26" t="s">
        <v>14617</v>
      </c>
      <c r="P11" s="9">
        <v>1995</v>
      </c>
      <c r="Q11" s="26" t="s">
        <v>14589</v>
      </c>
      <c r="R11" s="9">
        <v>995</v>
      </c>
      <c r="S11" s="26" t="s">
        <v>14658</v>
      </c>
      <c r="T11" s="7">
        <f>5652.13-2676.14</f>
        <v>2975.9900000000002</v>
      </c>
      <c r="U11" s="26" t="s">
        <v>14735</v>
      </c>
      <c r="V11" s="9"/>
      <c r="W11" s="15"/>
      <c r="X11" s="9">
        <v>253.33</v>
      </c>
      <c r="Y11" s="26" t="s">
        <v>14789</v>
      </c>
      <c r="Z11" s="7">
        <v>613.29999999999995</v>
      </c>
      <c r="AA11" s="26" t="s">
        <v>14844</v>
      </c>
      <c r="AB11" s="9">
        <v>4395.01</v>
      </c>
      <c r="AC11" s="26" t="s">
        <v>14917</v>
      </c>
      <c r="AD11" s="9">
        <v>1970</v>
      </c>
      <c r="AE11" s="26" t="s">
        <v>14965</v>
      </c>
      <c r="AF11" s="24"/>
      <c r="AG11" s="85"/>
      <c r="AH11" s="72">
        <v>1970</v>
      </c>
      <c r="AI11" s="86" t="s">
        <v>15002</v>
      </c>
      <c r="AJ11" s="72">
        <v>143.83000000000001</v>
      </c>
      <c r="AK11" s="15" t="s">
        <v>15057</v>
      </c>
      <c r="AL11" s="72">
        <v>2500</v>
      </c>
      <c r="AM11" s="26" t="s">
        <v>15122</v>
      </c>
      <c r="AN11" s="9">
        <v>4687.01</v>
      </c>
      <c r="AO11" s="15" t="s">
        <v>15186</v>
      </c>
      <c r="AP11" s="9">
        <v>1994.99</v>
      </c>
      <c r="AQ11" s="26" t="s">
        <v>15259</v>
      </c>
      <c r="AR11" s="9">
        <v>928</v>
      </c>
      <c r="AS11" s="26" t="s">
        <v>15311</v>
      </c>
      <c r="AT11" s="9">
        <v>656.42</v>
      </c>
      <c r="AU11" s="15" t="s">
        <v>15375</v>
      </c>
      <c r="AV11" s="7">
        <v>1481.13</v>
      </c>
      <c r="AW11" s="320" t="s">
        <v>15422</v>
      </c>
      <c r="AX11" s="9">
        <v>1970</v>
      </c>
      <c r="AY11" s="26" t="s">
        <v>15485</v>
      </c>
      <c r="AZ11" s="9">
        <v>230.75</v>
      </c>
      <c r="BA11" s="26" t="s">
        <v>15571</v>
      </c>
      <c r="BB11" s="7">
        <v>2000</v>
      </c>
      <c r="BC11" s="26"/>
      <c r="BD11" s="9"/>
      <c r="BE11" s="15"/>
      <c r="BF11" s="9"/>
      <c r="BG11" s="15"/>
      <c r="BH11" s="9"/>
      <c r="BI11" s="15"/>
      <c r="BJ11" s="9"/>
      <c r="BK11" s="15"/>
      <c r="BL11" s="9"/>
      <c r="BM11" s="15"/>
      <c r="BN11" s="9"/>
      <c r="BO11" s="15"/>
      <c r="BP11" s="9"/>
      <c r="BQ11" s="15"/>
      <c r="BR11" s="9"/>
      <c r="BS11" s="15"/>
      <c r="BT11" s="9"/>
      <c r="BU11" s="15"/>
      <c r="BV11" s="9"/>
      <c r="BW11" s="15"/>
      <c r="BX11" s="9"/>
      <c r="BY11" s="15"/>
      <c r="BZ11" s="9"/>
      <c r="CA11" s="15"/>
      <c r="CB11" s="9"/>
      <c r="CC11" s="15"/>
      <c r="CD11" s="9"/>
      <c r="CE11" s="15"/>
      <c r="CF11" s="9"/>
      <c r="CG11" s="15"/>
      <c r="CH11" s="9"/>
      <c r="CI11" s="15"/>
      <c r="CJ11" s="9"/>
      <c r="CK11" s="15"/>
      <c r="CL11" s="9"/>
      <c r="CM11" s="15"/>
      <c r="CN11" s="9"/>
      <c r="CO11" s="15"/>
      <c r="CP11" s="9"/>
      <c r="CQ11" s="15"/>
      <c r="CR11" s="9"/>
    </row>
    <row r="12" spans="1:96" x14ac:dyDescent="0.2">
      <c r="A12" s="41"/>
      <c r="B12" s="9">
        <f>1175.28-639.13</f>
        <v>536.15</v>
      </c>
      <c r="C12" s="15" t="s">
        <v>14352</v>
      </c>
      <c r="D12" s="96">
        <v>103.66</v>
      </c>
      <c r="E12" s="26" t="s">
        <v>14380</v>
      </c>
      <c r="F12" s="9"/>
      <c r="G12" s="15"/>
      <c r="H12" s="9">
        <v>1994.99</v>
      </c>
      <c r="I12" s="15" t="s">
        <v>14415</v>
      </c>
      <c r="J12" s="9">
        <v>561.20000000000005</v>
      </c>
      <c r="K12" s="15" t="s">
        <v>14469</v>
      </c>
      <c r="L12" s="9">
        <v>1099</v>
      </c>
      <c r="M12" s="15" t="s">
        <v>14511</v>
      </c>
      <c r="N12" s="9">
        <v>3250</v>
      </c>
      <c r="O12" s="26" t="s">
        <v>14618</v>
      </c>
      <c r="P12" s="9">
        <v>163.08000000000001</v>
      </c>
      <c r="Q12" s="15" t="s">
        <v>14598</v>
      </c>
      <c r="R12" s="9">
        <v>1970</v>
      </c>
      <c r="S12" s="15" t="s">
        <v>14663</v>
      </c>
      <c r="T12" s="9">
        <v>1995</v>
      </c>
      <c r="U12" s="15" t="s">
        <v>14736</v>
      </c>
      <c r="V12" s="9"/>
      <c r="W12" s="15"/>
      <c r="X12" s="9">
        <v>1099</v>
      </c>
      <c r="Y12" s="15" t="s">
        <v>14791</v>
      </c>
      <c r="Z12" s="9">
        <v>1970</v>
      </c>
      <c r="AA12" s="15" t="s">
        <v>14845</v>
      </c>
      <c r="AB12" s="9">
        <v>610.16</v>
      </c>
      <c r="AC12" s="26" t="s">
        <v>14918</v>
      </c>
      <c r="AD12" s="9">
        <v>3250</v>
      </c>
      <c r="AE12" s="26" t="s">
        <v>14970</v>
      </c>
      <c r="AF12" s="72"/>
      <c r="AG12" s="86"/>
      <c r="AH12" s="72"/>
      <c r="AI12" s="86"/>
      <c r="AJ12" s="72">
        <v>1279.07</v>
      </c>
      <c r="AK12" s="15" t="s">
        <v>15058</v>
      </c>
      <c r="AL12" s="72">
        <v>25000</v>
      </c>
      <c r="AM12" s="85" t="s">
        <v>15123</v>
      </c>
      <c r="AN12" s="9">
        <v>505.01</v>
      </c>
      <c r="AO12" s="15" t="s">
        <v>15187</v>
      </c>
      <c r="AP12" s="9">
        <v>15894</v>
      </c>
      <c r="AQ12" s="15" t="s">
        <v>15260</v>
      </c>
      <c r="AR12" s="9">
        <v>1099</v>
      </c>
      <c r="AS12" s="15" t="s">
        <v>15423</v>
      </c>
      <c r="AT12" s="9"/>
      <c r="AU12" s="15"/>
      <c r="AV12" s="7">
        <v>185.74</v>
      </c>
      <c r="AW12" s="88" t="s">
        <v>15416</v>
      </c>
      <c r="AX12" s="222">
        <v>134.37</v>
      </c>
      <c r="AY12" s="106" t="s">
        <v>15486</v>
      </c>
      <c r="AZ12" s="9">
        <v>20000</v>
      </c>
      <c r="BA12" s="15" t="s">
        <v>15572</v>
      </c>
      <c r="BB12" s="9">
        <v>1099.01</v>
      </c>
      <c r="BC12" s="15"/>
      <c r="BD12" s="9"/>
      <c r="BE12" s="15"/>
      <c r="BF12" s="9"/>
      <c r="BG12" s="15"/>
      <c r="BH12" s="9"/>
      <c r="BI12" s="15"/>
      <c r="BJ12" s="75"/>
      <c r="BK12" s="15"/>
      <c r="BL12" s="9"/>
      <c r="BM12" s="15"/>
      <c r="BN12" s="9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  <c r="CO12" s="15"/>
      <c r="CP12" s="9"/>
      <c r="CQ12" s="15"/>
      <c r="CR12" s="9"/>
    </row>
    <row r="13" spans="1:96" x14ac:dyDescent="0.2">
      <c r="A13" s="41"/>
      <c r="B13" s="9">
        <v>4584.55</v>
      </c>
      <c r="C13" s="15" t="s">
        <v>14354</v>
      </c>
      <c r="D13" s="96">
        <v>752.57</v>
      </c>
      <c r="E13" s="26" t="s">
        <v>14381</v>
      </c>
      <c r="F13" s="9"/>
      <c r="G13" s="15"/>
      <c r="H13" s="9">
        <v>1099.01</v>
      </c>
      <c r="I13" s="15" t="s">
        <v>14417</v>
      </c>
      <c r="J13" s="9">
        <f>1477.48-1187.6</f>
        <v>289.88000000000011</v>
      </c>
      <c r="K13" s="15" t="s">
        <v>14470</v>
      </c>
      <c r="L13" s="9">
        <f>6535.67-5000</f>
        <v>1535.67</v>
      </c>
      <c r="M13" s="15" t="s">
        <v>14512</v>
      </c>
      <c r="N13" s="9">
        <v>1099.01</v>
      </c>
      <c r="O13" s="26" t="s">
        <v>14619</v>
      </c>
      <c r="P13" s="9"/>
      <c r="Q13" s="15"/>
      <c r="R13" s="9">
        <v>1099</v>
      </c>
      <c r="S13" s="15" t="s">
        <v>14665</v>
      </c>
      <c r="T13" s="9">
        <v>4395.01</v>
      </c>
      <c r="U13" s="15" t="s">
        <v>14737</v>
      </c>
      <c r="V13" s="9"/>
      <c r="W13" s="26"/>
      <c r="X13" s="9">
        <v>2359.96</v>
      </c>
      <c r="Y13" s="15" t="s">
        <v>14792</v>
      </c>
      <c r="Z13" s="9">
        <v>1970</v>
      </c>
      <c r="AA13" s="15" t="s">
        <v>14848</v>
      </c>
      <c r="AB13" s="9">
        <v>92.87</v>
      </c>
      <c r="AC13" s="15" t="s">
        <v>14921</v>
      </c>
      <c r="AD13" s="9">
        <v>2394.15</v>
      </c>
      <c r="AE13" s="15" t="s">
        <v>14973</v>
      </c>
      <c r="AF13" s="72"/>
      <c r="AG13" s="86"/>
      <c r="AH13" s="72">
        <v>5000</v>
      </c>
      <c r="AI13" s="15" t="s">
        <v>15003</v>
      </c>
      <c r="AJ13" s="9">
        <v>474.73</v>
      </c>
      <c r="AK13" s="15" t="s">
        <v>15059</v>
      </c>
      <c r="AL13" s="72">
        <v>3489</v>
      </c>
      <c r="AM13" s="26" t="s">
        <v>15124</v>
      </c>
      <c r="AN13" s="9">
        <v>3000</v>
      </c>
      <c r="AO13" s="15" t="s">
        <v>15188</v>
      </c>
      <c r="AP13" s="9">
        <v>1169</v>
      </c>
      <c r="AQ13" s="26" t="s">
        <v>15261</v>
      </c>
      <c r="AR13" s="9">
        <v>170000</v>
      </c>
      <c r="AS13" s="26" t="s">
        <v>15312</v>
      </c>
      <c r="AT13" s="9">
        <v>7296.76</v>
      </c>
      <c r="AU13" s="26" t="s">
        <v>15428</v>
      </c>
      <c r="AV13" s="7">
        <v>1099.01</v>
      </c>
      <c r="AW13" s="88" t="s">
        <v>15417</v>
      </c>
      <c r="AX13" s="222">
        <v>845.54</v>
      </c>
      <c r="AY13" s="106" t="s">
        <v>15487</v>
      </c>
      <c r="AZ13" s="9">
        <v>4095.1</v>
      </c>
      <c r="BA13" s="15" t="s">
        <v>15573</v>
      </c>
      <c r="BB13" s="9">
        <v>1360</v>
      </c>
      <c r="BC13" s="15"/>
      <c r="BD13" s="9"/>
      <c r="BE13" s="15"/>
      <c r="BF13" s="9"/>
      <c r="BG13" s="15"/>
      <c r="BH13" s="9"/>
      <c r="BI13" s="15"/>
      <c r="BJ13" s="9"/>
      <c r="BK13" s="15"/>
      <c r="BL13" s="9"/>
      <c r="BM13" s="15"/>
      <c r="BN13" s="9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  <c r="CO13" s="15"/>
      <c r="CP13" s="9"/>
      <c r="CQ13" s="15"/>
      <c r="CR13" s="9"/>
    </row>
    <row r="14" spans="1:96" x14ac:dyDescent="0.2">
      <c r="A14" s="41"/>
      <c r="B14" s="9">
        <v>1970</v>
      </c>
      <c r="C14" s="15" t="s">
        <v>14367</v>
      </c>
      <c r="D14" s="96">
        <v>1099</v>
      </c>
      <c r="E14" s="26" t="s">
        <v>14387</v>
      </c>
      <c r="F14" s="9"/>
      <c r="G14" s="26"/>
      <c r="H14" s="9">
        <v>4395</v>
      </c>
      <c r="I14" s="15" t="s">
        <v>14418</v>
      </c>
      <c r="J14" s="9">
        <f>1777.49-1219.81</f>
        <v>557.68000000000006</v>
      </c>
      <c r="K14" s="26" t="s">
        <v>14471</v>
      </c>
      <c r="L14" s="9"/>
      <c r="M14" s="26"/>
      <c r="N14" s="9">
        <v>1099.01</v>
      </c>
      <c r="O14" s="15" t="s">
        <v>14620</v>
      </c>
      <c r="P14" s="9">
        <v>100137.24</v>
      </c>
      <c r="Q14" s="26" t="s">
        <v>14705</v>
      </c>
      <c r="R14" s="9">
        <v>1970</v>
      </c>
      <c r="S14" s="26" t="s">
        <v>14666</v>
      </c>
      <c r="T14" s="7">
        <v>4168.99</v>
      </c>
      <c r="U14" s="26" t="s">
        <v>14738</v>
      </c>
      <c r="V14" s="9"/>
      <c r="W14" s="26"/>
      <c r="X14" s="9">
        <v>1098.79</v>
      </c>
      <c r="Y14" s="26" t="s">
        <v>14793</v>
      </c>
      <c r="Z14" s="7">
        <v>1465.53</v>
      </c>
      <c r="AA14" s="26" t="s">
        <v>14849</v>
      </c>
      <c r="AB14" s="9"/>
      <c r="AC14" s="15"/>
      <c r="AD14" s="9">
        <v>1099.01</v>
      </c>
      <c r="AE14" s="15" t="s">
        <v>14976</v>
      </c>
      <c r="AF14" s="72"/>
      <c r="AG14" s="86"/>
      <c r="AH14" s="72">
        <v>870</v>
      </c>
      <c r="AI14" s="26" t="s">
        <v>15004</v>
      </c>
      <c r="AJ14" s="9">
        <v>95.85</v>
      </c>
      <c r="AK14" s="15" t="s">
        <v>15061</v>
      </c>
      <c r="AL14" s="72"/>
      <c r="AM14" s="26"/>
      <c r="AN14" s="9">
        <v>92.87</v>
      </c>
      <c r="AO14" s="15" t="s">
        <v>15189</v>
      </c>
      <c r="AP14" s="9">
        <v>1099.01</v>
      </c>
      <c r="AQ14" s="26" t="s">
        <v>15262</v>
      </c>
      <c r="AR14" s="9">
        <v>26079</v>
      </c>
      <c r="AS14" s="26" t="s">
        <v>15313</v>
      </c>
      <c r="AT14" s="9">
        <v>3000</v>
      </c>
      <c r="AU14" s="26" t="s">
        <v>15429</v>
      </c>
      <c r="AV14" s="7">
        <v>1970</v>
      </c>
      <c r="AW14" s="88" t="s">
        <v>15418</v>
      </c>
      <c r="AX14" s="9">
        <v>242300</v>
      </c>
      <c r="AY14" s="26" t="s">
        <v>15488</v>
      </c>
      <c r="AZ14" s="9">
        <v>4330</v>
      </c>
      <c r="BA14" s="26" t="s">
        <v>15574</v>
      </c>
      <c r="BB14" s="7">
        <v>3250</v>
      </c>
      <c r="BC14" s="26"/>
      <c r="BD14" s="9"/>
      <c r="BE14" s="15"/>
      <c r="BF14" s="9"/>
      <c r="BG14" s="15"/>
      <c r="BH14" s="9"/>
      <c r="BI14" s="15"/>
      <c r="BJ14" s="9"/>
      <c r="BK14" s="15"/>
      <c r="BL14" s="9"/>
      <c r="BM14" s="15"/>
      <c r="BN14" s="9"/>
      <c r="BO14" s="15"/>
      <c r="BP14" s="9"/>
      <c r="BQ14" s="15"/>
      <c r="BR14" s="9"/>
      <c r="BS14" s="15"/>
      <c r="BT14" s="9"/>
      <c r="BU14" s="15"/>
      <c r="BV14" s="9"/>
      <c r="BW14" s="15"/>
      <c r="BX14" s="9"/>
      <c r="BY14" s="15"/>
      <c r="BZ14" s="9"/>
      <c r="CA14" s="15"/>
      <c r="CB14" s="9"/>
      <c r="CC14" s="15"/>
      <c r="CD14" s="9"/>
      <c r="CE14" s="15"/>
      <c r="CF14" s="9"/>
      <c r="CG14" s="15"/>
      <c r="CH14" s="9"/>
      <c r="CI14" s="15"/>
      <c r="CJ14" s="9"/>
      <c r="CK14" s="15"/>
      <c r="CL14" s="9"/>
      <c r="CM14" s="15"/>
      <c r="CN14" s="9"/>
      <c r="CO14" s="15"/>
      <c r="CP14" s="9"/>
      <c r="CQ14" s="15"/>
      <c r="CR14" s="9"/>
    </row>
    <row r="15" spans="1:96" x14ac:dyDescent="0.2">
      <c r="A15" s="41"/>
      <c r="B15" s="9">
        <v>1099.01</v>
      </c>
      <c r="C15" s="15" t="s">
        <v>14368</v>
      </c>
      <c r="D15" s="96">
        <v>1700</v>
      </c>
      <c r="E15" s="26" t="s">
        <v>14388</v>
      </c>
      <c r="F15" s="9"/>
      <c r="G15" s="26"/>
      <c r="H15" s="9">
        <f>1099.01-1068</f>
        <v>31.009999999999991</v>
      </c>
      <c r="I15" s="15" t="s">
        <v>14420</v>
      </c>
      <c r="J15" s="9">
        <v>3250.01</v>
      </c>
      <c r="K15" s="26" t="s">
        <v>14472</v>
      </c>
      <c r="L15" s="9">
        <v>3554.01</v>
      </c>
      <c r="M15" s="26" t="s">
        <v>14532</v>
      </c>
      <c r="N15" s="9">
        <v>4395</v>
      </c>
      <c r="O15" s="15" t="s">
        <v>14621</v>
      </c>
      <c r="P15" s="9">
        <v>240000</v>
      </c>
      <c r="Q15" s="26" t="s">
        <v>14709</v>
      </c>
      <c r="R15" s="9">
        <v>2866</v>
      </c>
      <c r="S15" s="26" t="s">
        <v>14667</v>
      </c>
      <c r="T15" s="7">
        <v>3250</v>
      </c>
      <c r="U15" s="26" t="s">
        <v>14746</v>
      </c>
      <c r="V15" s="7"/>
      <c r="W15" s="26"/>
      <c r="X15" s="9">
        <v>3250</v>
      </c>
      <c r="Y15" s="26" t="s">
        <v>14794</v>
      </c>
      <c r="Z15" s="7">
        <f>308.76-160.28</f>
        <v>148.47999999999999</v>
      </c>
      <c r="AA15" s="26" t="s">
        <v>14813</v>
      </c>
      <c r="AB15" s="9">
        <v>70200</v>
      </c>
      <c r="AC15" s="26" t="s">
        <v>14925</v>
      </c>
      <c r="AD15" s="9">
        <v>1099</v>
      </c>
      <c r="AE15" s="15" t="s">
        <v>14983</v>
      </c>
      <c r="AF15" s="72"/>
      <c r="AG15" s="86"/>
      <c r="AH15" s="72">
        <v>50000</v>
      </c>
      <c r="AI15" s="26" t="s">
        <v>15005</v>
      </c>
      <c r="AJ15" s="7">
        <v>3250</v>
      </c>
      <c r="AK15" s="26" t="s">
        <v>15069</v>
      </c>
      <c r="AL15" s="87">
        <v>1875.2</v>
      </c>
      <c r="AM15" s="9" t="s">
        <v>15152</v>
      </c>
      <c r="AN15" s="9">
        <v>199.71</v>
      </c>
      <c r="AO15" s="15" t="s">
        <v>15180</v>
      </c>
      <c r="AP15" s="9">
        <v>3250</v>
      </c>
      <c r="AQ15" s="26" t="s">
        <v>15263</v>
      </c>
      <c r="AR15" s="11">
        <v>3250</v>
      </c>
      <c r="AS15" s="12" t="s">
        <v>15314</v>
      </c>
      <c r="AT15" s="9">
        <v>8901.23</v>
      </c>
      <c r="AU15" s="26" t="s">
        <v>15430</v>
      </c>
      <c r="AV15" s="7">
        <v>3250.01</v>
      </c>
      <c r="AW15" s="88" t="s">
        <v>15419</v>
      </c>
      <c r="AX15" s="9">
        <v>137.25</v>
      </c>
      <c r="AY15" s="26" t="s">
        <v>15489</v>
      </c>
      <c r="AZ15" s="9">
        <v>1970</v>
      </c>
      <c r="BA15" s="26" t="s">
        <v>15575</v>
      </c>
      <c r="BB15" s="7"/>
      <c r="BC15" s="26"/>
      <c r="BD15" s="9"/>
      <c r="BE15" s="15"/>
      <c r="BF15" s="9"/>
      <c r="BG15" s="15"/>
      <c r="BH15" s="9"/>
      <c r="BI15" s="15"/>
      <c r="BJ15" s="9"/>
      <c r="BK15" s="15"/>
      <c r="BL15" s="9"/>
      <c r="BM15" s="15"/>
      <c r="BN15" s="9"/>
      <c r="BO15" s="15"/>
      <c r="BP15" s="9"/>
      <c r="BQ15" s="15"/>
      <c r="BR15" s="9"/>
      <c r="BS15" s="15"/>
      <c r="BT15" s="9"/>
      <c r="BU15" s="15"/>
      <c r="BV15" s="9"/>
      <c r="BW15" s="15"/>
      <c r="BX15" s="9"/>
      <c r="BY15" s="15"/>
      <c r="BZ15" s="9"/>
      <c r="CA15" s="15"/>
      <c r="CB15" s="9"/>
      <c r="CC15" s="15"/>
      <c r="CD15" s="9"/>
      <c r="CE15" s="15"/>
      <c r="CF15" s="9"/>
      <c r="CG15" s="15"/>
      <c r="CH15" s="9"/>
      <c r="CI15" s="15"/>
      <c r="CJ15" s="9"/>
      <c r="CK15" s="15"/>
      <c r="CL15" s="9"/>
      <c r="CM15" s="15"/>
      <c r="CN15" s="9"/>
      <c r="CO15" s="15"/>
      <c r="CP15" s="9"/>
      <c r="CQ15" s="15"/>
      <c r="CR15" s="9"/>
    </row>
    <row r="16" spans="1:96" x14ac:dyDescent="0.2">
      <c r="A16" s="41"/>
      <c r="B16" s="9"/>
      <c r="C16" s="15"/>
      <c r="D16" s="96">
        <v>1994.99</v>
      </c>
      <c r="E16" s="26" t="s">
        <v>14389</v>
      </c>
      <c r="F16" s="9"/>
      <c r="G16" s="26"/>
      <c r="H16" s="9">
        <v>2866</v>
      </c>
      <c r="I16" s="15" t="s">
        <v>14423</v>
      </c>
      <c r="J16" s="9">
        <v>4395.01</v>
      </c>
      <c r="K16" s="26" t="s">
        <v>14474</v>
      </c>
      <c r="L16" s="9">
        <v>20000</v>
      </c>
      <c r="M16" s="26" t="s">
        <v>14535</v>
      </c>
      <c r="N16" s="9">
        <v>1099.01</v>
      </c>
      <c r="O16" s="15" t="s">
        <v>14625</v>
      </c>
      <c r="P16" s="9">
        <v>809.22</v>
      </c>
      <c r="Q16" s="26" t="s">
        <v>14712</v>
      </c>
      <c r="R16" s="9">
        <v>1970</v>
      </c>
      <c r="S16" s="26" t="s">
        <v>14671</v>
      </c>
      <c r="T16" s="9"/>
      <c r="U16" s="26"/>
      <c r="V16" s="9"/>
      <c r="W16" s="26"/>
      <c r="X16" s="9">
        <v>1099.01</v>
      </c>
      <c r="Y16" s="26" t="s">
        <v>14795</v>
      </c>
      <c r="Z16" s="7">
        <v>1970</v>
      </c>
      <c r="AA16" s="26" t="s">
        <v>14857</v>
      </c>
      <c r="AB16" s="9">
        <v>140000</v>
      </c>
      <c r="AC16" s="9" t="s">
        <v>14931</v>
      </c>
      <c r="AD16" s="9">
        <v>46.4</v>
      </c>
      <c r="AE16" s="15" t="s">
        <v>14982</v>
      </c>
      <c r="AF16" s="72"/>
      <c r="AG16" s="86"/>
      <c r="AH16" s="72">
        <v>1027.71</v>
      </c>
      <c r="AI16" s="26" t="s">
        <v>15006</v>
      </c>
      <c r="AJ16" s="7">
        <v>1970</v>
      </c>
      <c r="AK16" s="26" t="s">
        <v>15071</v>
      </c>
      <c r="AL16" s="87">
        <v>928</v>
      </c>
      <c r="AM16" s="26" t="s">
        <v>15153</v>
      </c>
      <c r="AN16" s="9">
        <v>1099.01</v>
      </c>
      <c r="AO16" s="15" t="s">
        <v>15190</v>
      </c>
      <c r="AP16" s="9">
        <v>1099.01</v>
      </c>
      <c r="AQ16" s="26" t="s">
        <v>15264</v>
      </c>
      <c r="AR16" s="9">
        <v>2865.99</v>
      </c>
      <c r="AS16" s="26" t="s">
        <v>15315</v>
      </c>
      <c r="AT16" s="9">
        <v>1099.01</v>
      </c>
      <c r="AU16" s="7" t="s">
        <v>15431</v>
      </c>
      <c r="AV16" s="7">
        <v>10778.4</v>
      </c>
      <c r="AW16" s="88" t="s">
        <v>15420</v>
      </c>
      <c r="AX16" s="9">
        <v>42907.18</v>
      </c>
      <c r="AY16" s="26" t="s">
        <v>15490</v>
      </c>
      <c r="AZ16" s="9">
        <v>744.03</v>
      </c>
      <c r="BA16" s="26" t="s">
        <v>15598</v>
      </c>
      <c r="BB16" s="7"/>
      <c r="BC16" s="26"/>
      <c r="BD16" s="9"/>
      <c r="BE16" s="15"/>
      <c r="BF16" s="9"/>
      <c r="BG16" s="15"/>
      <c r="BH16" s="9"/>
      <c r="BI16" s="15"/>
      <c r="BJ16" s="75"/>
      <c r="BK16" s="75"/>
      <c r="BL16" s="9"/>
      <c r="BM16" s="15"/>
      <c r="BN16" s="9"/>
      <c r="BO16" s="15"/>
      <c r="BP16" s="9"/>
      <c r="BQ16" s="15"/>
      <c r="BR16" s="9"/>
      <c r="BS16" s="15"/>
      <c r="BT16" s="9"/>
      <c r="BU16" s="15"/>
      <c r="BV16" s="9"/>
      <c r="BW16" s="15"/>
      <c r="BX16" s="9"/>
      <c r="BY16" s="15"/>
      <c r="BZ16" s="9"/>
      <c r="CA16" s="15"/>
      <c r="CB16" s="9"/>
      <c r="CC16" s="15"/>
      <c r="CD16" s="9"/>
      <c r="CE16" s="15"/>
      <c r="CF16" s="9"/>
      <c r="CG16" s="15"/>
      <c r="CH16" s="9"/>
      <c r="CI16" s="15"/>
      <c r="CJ16" s="9"/>
      <c r="CK16" s="15"/>
      <c r="CL16" s="9"/>
      <c r="CM16" s="15"/>
      <c r="CN16" s="9"/>
      <c r="CO16" s="15"/>
      <c r="CP16" s="9"/>
      <c r="CQ16" s="15"/>
      <c r="CR16" s="9"/>
    </row>
    <row r="17" spans="1:96" x14ac:dyDescent="0.2">
      <c r="A17" s="41"/>
      <c r="B17" s="9"/>
      <c r="C17" s="15"/>
      <c r="D17" s="96">
        <v>1970</v>
      </c>
      <c r="E17" s="26" t="s">
        <v>14399</v>
      </c>
      <c r="F17" s="9"/>
      <c r="G17" s="26"/>
      <c r="H17" s="9">
        <v>1970</v>
      </c>
      <c r="I17" s="15" t="s">
        <v>14424</v>
      </c>
      <c r="J17" s="9">
        <v>1099.01</v>
      </c>
      <c r="K17" s="9" t="s">
        <v>14479</v>
      </c>
      <c r="L17" s="9">
        <v>720.96</v>
      </c>
      <c r="M17" s="26" t="s">
        <v>14536</v>
      </c>
      <c r="N17" s="9">
        <v>1099</v>
      </c>
      <c r="O17" s="15" t="s">
        <v>14627</v>
      </c>
      <c r="P17" s="9">
        <v>3168.99</v>
      </c>
      <c r="Q17" s="26" t="s">
        <v>14714</v>
      </c>
      <c r="R17" s="9">
        <v>1970</v>
      </c>
      <c r="S17" s="15" t="s">
        <v>14672</v>
      </c>
      <c r="T17" s="9">
        <v>7296.75</v>
      </c>
      <c r="U17" s="26" t="s">
        <v>14755</v>
      </c>
      <c r="V17" s="9"/>
      <c r="W17" s="26"/>
      <c r="X17" s="9">
        <v>4442.74</v>
      </c>
      <c r="Y17" s="26" t="s">
        <v>14797</v>
      </c>
      <c r="Z17" s="7">
        <v>2040</v>
      </c>
      <c r="AA17" s="26" t="s">
        <v>14861</v>
      </c>
      <c r="AB17" s="9">
        <v>175</v>
      </c>
      <c r="AC17" s="26" t="s">
        <v>14933</v>
      </c>
      <c r="AD17" s="9">
        <v>1099.01</v>
      </c>
      <c r="AE17" s="26" t="s">
        <v>14984</v>
      </c>
      <c r="AF17" s="72"/>
      <c r="AG17" s="86"/>
      <c r="AH17" s="72">
        <v>3105.98</v>
      </c>
      <c r="AI17" s="26" t="s">
        <v>15015</v>
      </c>
      <c r="AJ17" s="7"/>
      <c r="AK17" s="26"/>
      <c r="AL17" s="72">
        <v>3250</v>
      </c>
      <c r="AM17" s="15" t="s">
        <v>15154</v>
      </c>
      <c r="AN17" s="9">
        <v>1099.01</v>
      </c>
      <c r="AO17" s="15" t="s">
        <v>15191</v>
      </c>
      <c r="AP17" s="9">
        <v>475.44</v>
      </c>
      <c r="AQ17" s="26" t="s">
        <v>15265</v>
      </c>
      <c r="AR17" s="9">
        <v>3679.4</v>
      </c>
      <c r="AS17" s="26" t="s">
        <v>15316</v>
      </c>
      <c r="AT17" s="9">
        <v>3250</v>
      </c>
      <c r="AU17" s="15" t="s">
        <v>15432</v>
      </c>
      <c r="AV17" s="7">
        <v>1099</v>
      </c>
      <c r="AW17" s="88" t="s">
        <v>15421</v>
      </c>
      <c r="AX17" s="9">
        <v>79.44</v>
      </c>
      <c r="AY17" s="26" t="s">
        <v>15491</v>
      </c>
      <c r="AZ17" s="9">
        <v>1099.01</v>
      </c>
      <c r="BA17" s="26" t="s">
        <v>15576</v>
      </c>
      <c r="BB17" s="7"/>
      <c r="BC17" s="26"/>
      <c r="BD17" s="9"/>
      <c r="BE17" s="15"/>
      <c r="BF17" s="9"/>
      <c r="BG17" s="15"/>
      <c r="BH17" s="9"/>
      <c r="BI17" s="15"/>
      <c r="BJ17" s="9"/>
      <c r="BK17" s="15"/>
      <c r="BL17" s="9"/>
      <c r="BM17" s="15"/>
      <c r="BN17" s="9"/>
      <c r="BO17" s="15"/>
      <c r="BP17" s="9"/>
      <c r="BQ17" s="15"/>
      <c r="BR17" s="9"/>
      <c r="BS17" s="15"/>
      <c r="BT17" s="9"/>
      <c r="BU17" s="15"/>
      <c r="BV17" s="9"/>
      <c r="BW17" s="15"/>
      <c r="BX17" s="9"/>
      <c r="BY17" s="15"/>
      <c r="BZ17" s="9"/>
      <c r="CA17" s="15"/>
      <c r="CB17" s="9"/>
      <c r="CC17" s="15"/>
      <c r="CD17" s="9"/>
      <c r="CE17" s="15"/>
      <c r="CF17" s="9"/>
      <c r="CG17" s="15"/>
      <c r="CH17" s="9"/>
      <c r="CI17" s="15"/>
      <c r="CJ17" s="9"/>
      <c r="CK17" s="15"/>
      <c r="CL17" s="9"/>
      <c r="CM17" s="15"/>
      <c r="CN17" s="9"/>
      <c r="CO17" s="15"/>
      <c r="CP17" s="9"/>
      <c r="CQ17" s="15"/>
      <c r="CR17" s="9"/>
    </row>
    <row r="18" spans="1:96" x14ac:dyDescent="0.2">
      <c r="A18" s="41"/>
      <c r="B18" s="9"/>
      <c r="C18" s="15"/>
      <c r="D18" s="96">
        <v>1099</v>
      </c>
      <c r="E18" s="26" t="s">
        <v>14400</v>
      </c>
      <c r="F18" s="9"/>
      <c r="G18" s="26"/>
      <c r="H18" s="9"/>
      <c r="I18" s="15"/>
      <c r="J18" s="9">
        <v>1099</v>
      </c>
      <c r="K18" s="15" t="s">
        <v>14481</v>
      </c>
      <c r="L18" s="9">
        <v>36800</v>
      </c>
      <c r="M18" s="26" t="s">
        <v>14541</v>
      </c>
      <c r="N18" s="7">
        <v>1099.01</v>
      </c>
      <c r="O18" s="26" t="s">
        <v>14630</v>
      </c>
      <c r="P18" s="9">
        <v>505.23</v>
      </c>
      <c r="Q18" s="26" t="s">
        <v>14715</v>
      </c>
      <c r="R18" s="9">
        <v>1099.01</v>
      </c>
      <c r="S18" s="15" t="s">
        <v>14675</v>
      </c>
      <c r="T18" s="9">
        <v>4126.3999999999996</v>
      </c>
      <c r="U18" s="26" t="s">
        <v>14757</v>
      </c>
      <c r="V18" s="9"/>
      <c r="W18" s="26"/>
      <c r="X18" s="9">
        <v>1931.01</v>
      </c>
      <c r="Y18" s="26" t="s">
        <v>14800</v>
      </c>
      <c r="Z18" s="7"/>
      <c r="AA18" s="26"/>
      <c r="AB18" s="9">
        <v>1099</v>
      </c>
      <c r="AC18" s="26" t="s">
        <v>14934</v>
      </c>
      <c r="AD18" s="9">
        <v>1476.17</v>
      </c>
      <c r="AE18" s="26" t="s">
        <v>14986</v>
      </c>
      <c r="AF18" s="72"/>
      <c r="AG18" s="86"/>
      <c r="AH18" s="72">
        <v>100000</v>
      </c>
      <c r="AI18" s="26" t="s">
        <v>15016</v>
      </c>
      <c r="AJ18" s="9">
        <v>2000</v>
      </c>
      <c r="AK18" s="15" t="s">
        <v>15075</v>
      </c>
      <c r="AL18" s="87">
        <v>30000</v>
      </c>
      <c r="AM18" s="26" t="s">
        <v>15156</v>
      </c>
      <c r="AN18" s="9">
        <v>1513</v>
      </c>
      <c r="AO18" s="15" t="s">
        <v>15192</v>
      </c>
      <c r="AP18" s="9">
        <v>4395</v>
      </c>
      <c r="AQ18" s="26" t="s">
        <v>15266</v>
      </c>
      <c r="AR18" s="9">
        <v>1847.49</v>
      </c>
      <c r="AS18" s="26" t="s">
        <v>15317</v>
      </c>
      <c r="AT18" s="7">
        <v>802.72</v>
      </c>
      <c r="AU18" s="26" t="s">
        <v>15433</v>
      </c>
      <c r="AV18" s="9">
        <v>566.35</v>
      </c>
      <c r="AW18" s="88" t="s">
        <v>15424</v>
      </c>
      <c r="AX18" s="9">
        <v>1970</v>
      </c>
      <c r="AY18" s="26" t="s">
        <v>15492</v>
      </c>
      <c r="AZ18" s="9">
        <v>100000</v>
      </c>
      <c r="BA18" s="26" t="s">
        <v>15577</v>
      </c>
      <c r="BB18" s="7"/>
      <c r="BC18" s="26"/>
      <c r="BD18" s="9"/>
      <c r="BE18" s="15"/>
      <c r="BF18" s="9"/>
      <c r="BG18" s="15"/>
      <c r="BH18" s="9"/>
      <c r="BI18" s="15"/>
      <c r="BJ18" s="9"/>
      <c r="BK18" s="15"/>
      <c r="BL18" s="9"/>
      <c r="BM18" s="15"/>
      <c r="BN18" s="9"/>
      <c r="BO18" s="15"/>
      <c r="BP18" s="9"/>
      <c r="BQ18" s="15"/>
      <c r="BR18" s="9"/>
      <c r="BS18" s="15"/>
      <c r="BT18" s="9"/>
      <c r="BU18" s="15"/>
      <c r="BV18" s="9"/>
      <c r="BW18" s="15"/>
      <c r="BX18" s="9"/>
      <c r="BY18" s="15"/>
      <c r="BZ18" s="9"/>
      <c r="CA18" s="15"/>
      <c r="CB18" s="9"/>
      <c r="CC18" s="15"/>
      <c r="CD18" s="9"/>
      <c r="CE18" s="15"/>
      <c r="CF18" s="9"/>
      <c r="CG18" s="15"/>
      <c r="CH18" s="9"/>
      <c r="CI18" s="15"/>
      <c r="CJ18" s="9"/>
      <c r="CK18" s="15"/>
      <c r="CL18" s="9"/>
      <c r="CM18" s="15"/>
      <c r="CN18" s="9"/>
      <c r="CO18" s="15"/>
      <c r="CP18" s="9"/>
      <c r="CQ18" s="15"/>
      <c r="CR18" s="9"/>
    </row>
    <row r="19" spans="1:96" x14ac:dyDescent="0.2">
      <c r="A19" s="41"/>
      <c r="B19" s="9"/>
      <c r="C19" s="15"/>
      <c r="D19" s="96">
        <v>4784</v>
      </c>
      <c r="E19" s="26" t="s">
        <v>14401</v>
      </c>
      <c r="F19" s="9"/>
      <c r="G19" s="26"/>
      <c r="H19" s="9">
        <v>4500</v>
      </c>
      <c r="I19" s="15" t="s">
        <v>14430</v>
      </c>
      <c r="J19" s="9">
        <v>1099.01</v>
      </c>
      <c r="K19" s="15" t="s">
        <v>14483</v>
      </c>
      <c r="L19" s="9">
        <v>235000</v>
      </c>
      <c r="M19" s="15" t="s">
        <v>14543</v>
      </c>
      <c r="N19" s="7">
        <v>4330.01</v>
      </c>
      <c r="O19" s="26" t="s">
        <v>14632</v>
      </c>
      <c r="P19" s="9">
        <v>2040</v>
      </c>
      <c r="Q19" s="26" t="s">
        <v>14716</v>
      </c>
      <c r="R19" s="9">
        <v>2808.14</v>
      </c>
      <c r="S19" s="26" t="s">
        <v>14678</v>
      </c>
      <c r="T19" s="9">
        <v>120000</v>
      </c>
      <c r="U19" s="26" t="s">
        <v>14758</v>
      </c>
      <c r="V19" s="9"/>
      <c r="W19" s="26"/>
      <c r="X19" s="9">
        <v>1997.97</v>
      </c>
      <c r="Y19" s="26" t="s">
        <v>14801</v>
      </c>
      <c r="Z19" s="7">
        <v>4941.6899999999996</v>
      </c>
      <c r="AA19" s="26" t="s">
        <v>14866</v>
      </c>
      <c r="AB19" s="9">
        <v>1000</v>
      </c>
      <c r="AC19" s="26" t="s">
        <v>14937</v>
      </c>
      <c r="AD19" s="9"/>
      <c r="AE19" s="15"/>
      <c r="AF19" s="72"/>
      <c r="AG19" s="26"/>
      <c r="AH19" s="72">
        <v>4395</v>
      </c>
      <c r="AI19" s="26" t="s">
        <v>15026</v>
      </c>
      <c r="AJ19" s="9">
        <v>27000</v>
      </c>
      <c r="AK19" s="15" t="s">
        <v>15079</v>
      </c>
      <c r="AL19" s="87">
        <v>1099</v>
      </c>
      <c r="AM19" s="26" t="s">
        <v>15157</v>
      </c>
      <c r="AN19" s="9">
        <v>2666</v>
      </c>
      <c r="AO19" s="15" t="s">
        <v>15193</v>
      </c>
      <c r="AP19" s="9">
        <v>3250.01</v>
      </c>
      <c r="AQ19" s="26" t="s">
        <v>15267</v>
      </c>
      <c r="AR19" s="9"/>
      <c r="AS19" s="26"/>
      <c r="AT19" s="7">
        <v>1099.01</v>
      </c>
      <c r="AU19" s="26" t="s">
        <v>15434</v>
      </c>
      <c r="AV19" s="26"/>
      <c r="AW19" s="88"/>
      <c r="AX19" s="9">
        <v>267.5</v>
      </c>
      <c r="AY19" s="26" t="s">
        <v>15493</v>
      </c>
      <c r="AZ19" s="9">
        <v>4465</v>
      </c>
      <c r="BA19" s="26" t="s">
        <v>15578</v>
      </c>
      <c r="BB19" s="7"/>
      <c r="BC19" s="26"/>
      <c r="BD19" s="9"/>
      <c r="BE19" s="15"/>
      <c r="BF19" s="9"/>
      <c r="BG19" s="15"/>
      <c r="BH19" s="9"/>
      <c r="BI19" s="15"/>
      <c r="BJ19" s="9"/>
      <c r="BK19" s="15"/>
      <c r="BL19" s="9"/>
      <c r="BM19" s="15"/>
      <c r="BN19" s="9"/>
      <c r="BO19" s="15"/>
      <c r="BP19" s="9"/>
      <c r="BQ19" s="15"/>
      <c r="BR19" s="9"/>
      <c r="BS19" s="15"/>
      <c r="BT19" s="9"/>
      <c r="BU19" s="15"/>
      <c r="BV19" s="9"/>
      <c r="BW19" s="15"/>
      <c r="BX19" s="9"/>
      <c r="BY19" s="15"/>
      <c r="BZ19" s="9"/>
      <c r="CA19" s="15"/>
      <c r="CB19" s="9"/>
      <c r="CC19" s="15"/>
      <c r="CD19" s="9"/>
      <c r="CE19" s="15"/>
      <c r="CF19" s="9"/>
      <c r="CG19" s="15"/>
      <c r="CH19" s="9"/>
      <c r="CI19" s="15"/>
      <c r="CJ19" s="9"/>
      <c r="CK19" s="15"/>
      <c r="CL19" s="9"/>
      <c r="CM19" s="15"/>
      <c r="CN19" s="9"/>
      <c r="CO19" s="15"/>
      <c r="CP19" s="9"/>
      <c r="CQ19" s="15"/>
      <c r="CR19" s="9"/>
    </row>
    <row r="20" spans="1:96" x14ac:dyDescent="0.2">
      <c r="A20" s="41"/>
      <c r="B20" s="9"/>
      <c r="C20" s="15"/>
      <c r="D20" s="96"/>
      <c r="E20" s="26"/>
      <c r="F20" s="9"/>
      <c r="G20" s="26"/>
      <c r="H20" s="9">
        <v>440</v>
      </c>
      <c r="I20" s="15" t="s">
        <v>14434</v>
      </c>
      <c r="J20" s="9">
        <v>2202</v>
      </c>
      <c r="K20" s="15" t="s">
        <v>14484</v>
      </c>
      <c r="L20" s="9">
        <v>4395</v>
      </c>
      <c r="M20" s="26" t="s">
        <v>14548</v>
      </c>
      <c r="N20" s="7">
        <v>693.13</v>
      </c>
      <c r="O20" s="26" t="s">
        <v>14636</v>
      </c>
      <c r="P20" s="9">
        <v>1099.01</v>
      </c>
      <c r="Q20" s="26" t="s">
        <v>14720</v>
      </c>
      <c r="R20" s="9">
        <v>278.76</v>
      </c>
      <c r="S20" s="26" t="s">
        <v>14682</v>
      </c>
      <c r="T20" s="9">
        <v>968.89</v>
      </c>
      <c r="U20" s="26" t="s">
        <v>14762</v>
      </c>
      <c r="V20" s="9"/>
      <c r="W20" s="26"/>
      <c r="X20" s="9">
        <v>1099</v>
      </c>
      <c r="Y20" s="26" t="s">
        <v>14802</v>
      </c>
      <c r="Z20" s="7">
        <v>136.07</v>
      </c>
      <c r="AA20" s="26" t="s">
        <v>14871</v>
      </c>
      <c r="AB20" s="9">
        <v>250.53</v>
      </c>
      <c r="AC20" s="26" t="s">
        <v>14938</v>
      </c>
      <c r="AD20" s="9"/>
      <c r="AE20" s="26"/>
      <c r="AF20" s="72"/>
      <c r="AG20" s="86"/>
      <c r="AH20" s="72">
        <v>405.86</v>
      </c>
      <c r="AI20" s="26" t="s">
        <v>15027</v>
      </c>
      <c r="AJ20" s="7">
        <v>313.69</v>
      </c>
      <c r="AK20" s="26" t="s">
        <v>15081</v>
      </c>
      <c r="AL20" s="87">
        <v>175</v>
      </c>
      <c r="AM20" s="26" t="s">
        <v>15158</v>
      </c>
      <c r="AN20" s="9">
        <v>1795.01</v>
      </c>
      <c r="AO20" s="15" t="s">
        <v>15194</v>
      </c>
      <c r="AP20" s="9">
        <v>277.94</v>
      </c>
      <c r="AQ20" s="26" t="s">
        <v>14682</v>
      </c>
      <c r="AR20" s="9"/>
      <c r="AS20" s="15"/>
      <c r="AT20" s="72">
        <v>3218.1</v>
      </c>
      <c r="AU20" s="24" t="s">
        <v>15435</v>
      </c>
      <c r="AV20" s="6">
        <v>176.16</v>
      </c>
      <c r="AW20" s="327" t="s">
        <v>15473</v>
      </c>
      <c r="AX20" s="9">
        <v>137.25</v>
      </c>
      <c r="AY20" s="26" t="s">
        <v>15494</v>
      </c>
      <c r="AZ20" s="9">
        <v>5743.01</v>
      </c>
      <c r="BA20" s="26" t="s">
        <v>15599</v>
      </c>
      <c r="BB20" s="7"/>
      <c r="BC20" s="26"/>
      <c r="BD20" s="9"/>
      <c r="BE20" s="15"/>
      <c r="BF20" s="9"/>
      <c r="BG20" s="15"/>
      <c r="BH20" s="9"/>
      <c r="BI20" s="15"/>
      <c r="BJ20" s="9"/>
      <c r="BK20" s="15"/>
      <c r="BL20" s="9"/>
      <c r="BM20" s="15"/>
      <c r="BN20" s="9"/>
      <c r="BO20" s="15"/>
      <c r="BP20" s="9"/>
      <c r="BQ20" s="15"/>
      <c r="BR20" s="9"/>
      <c r="BS20" s="15"/>
      <c r="BT20" s="9"/>
      <c r="BU20" s="15"/>
      <c r="BV20" s="9"/>
      <c r="BW20" s="15"/>
      <c r="BX20" s="9"/>
      <c r="BY20" s="15"/>
      <c r="BZ20" s="9"/>
      <c r="CA20" s="15"/>
      <c r="CB20" s="9"/>
      <c r="CC20" s="15"/>
      <c r="CD20" s="9"/>
      <c r="CE20" s="15"/>
      <c r="CF20" s="9"/>
      <c r="CG20" s="15"/>
      <c r="CH20" s="9"/>
      <c r="CI20" s="15"/>
      <c r="CJ20" s="9"/>
      <c r="CK20" s="15"/>
      <c r="CL20" s="9"/>
      <c r="CM20" s="15"/>
      <c r="CN20" s="9"/>
      <c r="CO20" s="15"/>
      <c r="CP20" s="9"/>
      <c r="CQ20" s="15"/>
      <c r="CR20" s="9"/>
    </row>
    <row r="21" spans="1:96" x14ac:dyDescent="0.2">
      <c r="A21" s="41"/>
      <c r="B21" s="9"/>
      <c r="C21" s="15"/>
      <c r="D21" s="7"/>
      <c r="E21" s="26"/>
      <c r="F21" s="9"/>
      <c r="G21" s="26"/>
      <c r="H21" s="9">
        <v>145000</v>
      </c>
      <c r="I21" s="15" t="s">
        <v>14438</v>
      </c>
      <c r="J21" s="9">
        <v>1099.01</v>
      </c>
      <c r="K21" s="26" t="s">
        <v>14488</v>
      </c>
      <c r="L21" s="9">
        <v>2963.87</v>
      </c>
      <c r="M21" s="26" t="s">
        <v>14551</v>
      </c>
      <c r="N21" s="7"/>
      <c r="O21" s="26"/>
      <c r="P21" s="9">
        <v>2360.0100000000002</v>
      </c>
      <c r="Q21" s="26" t="s">
        <v>14724</v>
      </c>
      <c r="R21" s="9"/>
      <c r="S21" s="15"/>
      <c r="T21" s="9">
        <v>1586.98</v>
      </c>
      <c r="U21" s="26" t="s">
        <v>14765</v>
      </c>
      <c r="V21" s="9"/>
      <c r="W21" s="26"/>
      <c r="X21" s="9"/>
      <c r="Y21" s="26"/>
      <c r="Z21" s="7">
        <v>28000</v>
      </c>
      <c r="AA21" s="7" t="s">
        <v>14874</v>
      </c>
      <c r="AB21" s="9">
        <v>1099.01</v>
      </c>
      <c r="AC21" s="26" t="s">
        <v>14941</v>
      </c>
      <c r="AD21" s="9"/>
      <c r="AE21" s="26"/>
      <c r="AF21" s="72"/>
      <c r="AG21" s="86"/>
      <c r="AH21" s="72">
        <v>2490.42</v>
      </c>
      <c r="AI21" s="26" t="s">
        <v>15029</v>
      </c>
      <c r="AJ21" s="7">
        <v>165000</v>
      </c>
      <c r="AK21" s="26" t="s">
        <v>15083</v>
      </c>
      <c r="AL21" s="87">
        <v>746.94</v>
      </c>
      <c r="AM21" s="26" t="s">
        <v>15159</v>
      </c>
      <c r="AN21" s="9">
        <v>4355</v>
      </c>
      <c r="AO21" s="15" t="s">
        <v>15195</v>
      </c>
      <c r="AP21" s="9">
        <v>162000</v>
      </c>
      <c r="AQ21" s="26" t="s">
        <v>15268</v>
      </c>
      <c r="AR21" s="9"/>
      <c r="AS21" s="26"/>
      <c r="AT21" s="9">
        <v>2607</v>
      </c>
      <c r="AU21" s="15" t="s">
        <v>15436</v>
      </c>
      <c r="AV21" s="6">
        <v>654.07000000000005</v>
      </c>
      <c r="AW21" s="327" t="s">
        <v>15474</v>
      </c>
      <c r="AX21" s="9">
        <v>1099</v>
      </c>
      <c r="AY21" s="26" t="s">
        <v>15495</v>
      </c>
      <c r="AZ21" s="9">
        <v>1970</v>
      </c>
      <c r="BA21" s="26" t="s">
        <v>15579</v>
      </c>
      <c r="BB21" s="7"/>
      <c r="BC21" s="26"/>
      <c r="BD21" s="9"/>
      <c r="BE21" s="15"/>
      <c r="BF21" s="9"/>
      <c r="BG21" s="15"/>
      <c r="BH21" s="9"/>
      <c r="BI21" s="15"/>
      <c r="BJ21" s="9"/>
      <c r="BK21" s="15"/>
      <c r="BL21" s="9"/>
      <c r="BM21" s="15"/>
      <c r="BN21" s="11"/>
      <c r="BO21" s="13"/>
      <c r="BP21" s="9"/>
      <c r="BQ21" s="15"/>
      <c r="BR21" s="9"/>
      <c r="BS21" s="15"/>
      <c r="BT21" s="9"/>
      <c r="BU21" s="15"/>
      <c r="BV21" s="9"/>
      <c r="BW21" s="15"/>
      <c r="BX21" s="9"/>
      <c r="BY21" s="15"/>
      <c r="BZ21" s="9"/>
      <c r="CA21" s="15"/>
      <c r="CB21" s="9"/>
      <c r="CC21" s="15"/>
      <c r="CD21" s="9"/>
      <c r="CE21" s="15"/>
      <c r="CF21" s="9"/>
      <c r="CG21" s="15"/>
      <c r="CH21" s="9"/>
      <c r="CI21" s="15"/>
      <c r="CJ21" s="9"/>
      <c r="CK21" s="15"/>
      <c r="CL21" s="9"/>
      <c r="CM21" s="15"/>
      <c r="CN21" s="9"/>
      <c r="CO21" s="15"/>
      <c r="CP21" s="9"/>
      <c r="CQ21" s="15"/>
      <c r="CR21" s="9"/>
    </row>
    <row r="22" spans="1:96" x14ac:dyDescent="0.2">
      <c r="A22" s="41"/>
      <c r="B22" s="9"/>
      <c r="C22" s="15"/>
      <c r="D22" s="7"/>
      <c r="E22" s="26"/>
      <c r="F22" s="9"/>
      <c r="G22" s="26"/>
      <c r="H22" s="9">
        <v>524.46</v>
      </c>
      <c r="I22" s="15" t="s">
        <v>14439</v>
      </c>
      <c r="J22" s="9"/>
      <c r="K22" s="26"/>
      <c r="L22" s="9">
        <v>1970</v>
      </c>
      <c r="M22" s="26" t="s">
        <v>14552</v>
      </c>
      <c r="N22" s="7">
        <v>1000</v>
      </c>
      <c r="O22" s="26" t="s">
        <v>14684</v>
      </c>
      <c r="P22" s="9"/>
      <c r="Q22" s="15"/>
      <c r="R22" s="9"/>
      <c r="S22" s="15"/>
      <c r="T22" s="9">
        <v>1970</v>
      </c>
      <c r="U22" s="15" t="s">
        <v>14766</v>
      </c>
      <c r="V22" s="9"/>
      <c r="W22" s="26"/>
      <c r="X22" s="9">
        <v>175</v>
      </c>
      <c r="Y22" s="26" t="s">
        <v>14811</v>
      </c>
      <c r="Z22" s="7">
        <v>1091.57</v>
      </c>
      <c r="AA22" s="7" t="s">
        <v>14875</v>
      </c>
      <c r="AB22" s="9">
        <v>1970</v>
      </c>
      <c r="AC22" s="9" t="s">
        <v>14943</v>
      </c>
      <c r="AD22" s="9"/>
      <c r="AE22" s="26"/>
      <c r="AF22" s="72"/>
      <c r="AG22" s="86"/>
      <c r="AH22" s="9">
        <v>1970</v>
      </c>
      <c r="AI22" s="86" t="s">
        <v>15031</v>
      </c>
      <c r="AJ22" s="72">
        <v>1099.01</v>
      </c>
      <c r="AK22" s="24" t="s">
        <v>15087</v>
      </c>
      <c r="AL22" s="87">
        <v>561.20000000000005</v>
      </c>
      <c r="AM22" s="26" t="s">
        <v>15160</v>
      </c>
      <c r="AN22" s="9">
        <v>414.46</v>
      </c>
      <c r="AO22" s="15" t="s">
        <v>15196</v>
      </c>
      <c r="AP22" s="9">
        <v>232</v>
      </c>
      <c r="AQ22" s="15" t="s">
        <v>15272</v>
      </c>
      <c r="AR22" s="9"/>
      <c r="AS22" s="26"/>
      <c r="AT22" s="9">
        <v>2535.15</v>
      </c>
      <c r="AU22" s="15" t="s">
        <v>15437</v>
      </c>
      <c r="AV22" s="6">
        <v>5000</v>
      </c>
      <c r="AW22" s="327" t="s">
        <v>15475</v>
      </c>
      <c r="AX22" s="9">
        <v>1099.01</v>
      </c>
      <c r="AY22" s="26" t="s">
        <v>15496</v>
      </c>
      <c r="AZ22" s="9"/>
      <c r="BA22" s="26"/>
      <c r="BB22" s="7"/>
      <c r="BC22" s="26"/>
      <c r="BD22" s="9"/>
      <c r="BE22" s="15"/>
      <c r="BF22" s="9"/>
      <c r="BG22" s="15"/>
      <c r="BH22" s="9"/>
      <c r="BI22" s="15"/>
      <c r="BJ22" s="9"/>
      <c r="BK22" s="15"/>
      <c r="BL22" s="9"/>
      <c r="BM22" s="15"/>
      <c r="BN22" s="11"/>
      <c r="BO22" s="13"/>
      <c r="BP22" s="9"/>
      <c r="BQ22" s="15"/>
      <c r="BR22" s="9"/>
      <c r="BS22" s="15"/>
      <c r="BT22" s="9"/>
      <c r="BU22" s="15"/>
      <c r="BV22" s="9"/>
      <c r="BW22" s="15"/>
      <c r="BX22" s="9"/>
      <c r="BY22" s="15"/>
      <c r="BZ22" s="9"/>
      <c r="CA22" s="15"/>
      <c r="CB22" s="9"/>
      <c r="CC22" s="15"/>
      <c r="CD22" s="9"/>
      <c r="CE22" s="15"/>
      <c r="CF22" s="9"/>
      <c r="CG22" s="15"/>
      <c r="CH22" s="9"/>
      <c r="CI22" s="15"/>
      <c r="CJ22" s="9"/>
      <c r="CK22" s="15"/>
      <c r="CL22" s="9"/>
      <c r="CM22" s="15"/>
      <c r="CN22" s="9"/>
      <c r="CO22" s="15"/>
      <c r="CP22" s="9"/>
      <c r="CQ22" s="15"/>
      <c r="CR22" s="9"/>
    </row>
    <row r="23" spans="1:96" x14ac:dyDescent="0.2">
      <c r="A23" s="41"/>
      <c r="B23" s="9"/>
      <c r="C23" s="15"/>
      <c r="D23" s="7"/>
      <c r="E23" s="26"/>
      <c r="F23" s="9"/>
      <c r="G23" s="26"/>
      <c r="H23" s="9">
        <v>1994.99</v>
      </c>
      <c r="I23" s="15" t="s">
        <v>14442</v>
      </c>
      <c r="J23" s="9">
        <v>8982.36</v>
      </c>
      <c r="K23" s="15" t="s">
        <v>14513</v>
      </c>
      <c r="L23" s="9">
        <v>3250</v>
      </c>
      <c r="M23" s="15" t="s">
        <v>14553</v>
      </c>
      <c r="N23" s="9">
        <v>829.42</v>
      </c>
      <c r="O23" s="15" t="s">
        <v>14685</v>
      </c>
      <c r="P23" s="9"/>
      <c r="Q23" s="15"/>
      <c r="R23" s="9"/>
      <c r="S23" s="15"/>
      <c r="T23" s="9">
        <v>3250.01</v>
      </c>
      <c r="U23" s="15" t="s">
        <v>14767</v>
      </c>
      <c r="V23" s="9"/>
      <c r="W23" s="15"/>
      <c r="X23" s="9">
        <v>175</v>
      </c>
      <c r="Y23" s="15" t="s">
        <v>14812</v>
      </c>
      <c r="Z23" s="9">
        <v>3169</v>
      </c>
      <c r="AA23" s="9" t="s">
        <v>14876</v>
      </c>
      <c r="AB23" s="9">
        <v>4145.99</v>
      </c>
      <c r="AC23" s="26" t="s">
        <v>14945</v>
      </c>
      <c r="AD23" s="9"/>
      <c r="AE23" s="15"/>
      <c r="AF23" s="72"/>
      <c r="AG23" s="86"/>
      <c r="AH23" s="72">
        <v>1970</v>
      </c>
      <c r="AI23" s="26" t="s">
        <v>15033</v>
      </c>
      <c r="AJ23" s="7">
        <v>1099.01</v>
      </c>
      <c r="AK23" s="26" t="s">
        <v>15092</v>
      </c>
      <c r="AL23" s="87">
        <v>175</v>
      </c>
      <c r="AM23" s="26" t="s">
        <v>15161</v>
      </c>
      <c r="AN23" s="9">
        <v>80000</v>
      </c>
      <c r="AO23" s="15" t="s">
        <v>15197</v>
      </c>
      <c r="AP23" s="9">
        <v>1099</v>
      </c>
      <c r="AQ23" s="26" t="s">
        <v>15269</v>
      </c>
      <c r="AR23" s="9"/>
      <c r="AS23" s="26"/>
      <c r="AT23" s="9">
        <v>5054.3599999999997</v>
      </c>
      <c r="AU23" s="26" t="s">
        <v>15438</v>
      </c>
      <c r="AV23" s="7">
        <v>1099</v>
      </c>
      <c r="AW23" s="88" t="s">
        <v>15476</v>
      </c>
      <c r="AX23" s="9"/>
      <c r="AY23" s="15"/>
      <c r="AZ23" s="9">
        <v>1970</v>
      </c>
      <c r="BA23" s="15" t="s">
        <v>15580</v>
      </c>
      <c r="BB23" s="7"/>
      <c r="BC23" s="26"/>
      <c r="BD23" s="9"/>
      <c r="BE23" s="15"/>
      <c r="BF23" s="9"/>
      <c r="BG23" s="15"/>
      <c r="BH23" s="9"/>
      <c r="BI23" s="15"/>
      <c r="BJ23" s="9"/>
      <c r="BK23" s="15"/>
      <c r="BL23" s="9"/>
      <c r="BM23" s="15"/>
      <c r="BN23" s="9"/>
      <c r="BO23" s="15"/>
      <c r="BP23" s="9"/>
      <c r="BQ23" s="15"/>
      <c r="BR23" s="9"/>
      <c r="BS23" s="15"/>
      <c r="BT23" s="9"/>
      <c r="BU23" s="15"/>
      <c r="BV23" s="9"/>
      <c r="BW23" s="15"/>
      <c r="BX23" s="9"/>
      <c r="BY23" s="15"/>
      <c r="BZ23" s="9"/>
      <c r="CA23" s="15"/>
      <c r="CB23" s="9"/>
      <c r="CC23" s="15"/>
      <c r="CD23" s="9"/>
      <c r="CE23" s="15"/>
      <c r="CF23" s="9"/>
      <c r="CG23" s="15"/>
      <c r="CH23" s="9"/>
      <c r="CI23" s="15"/>
      <c r="CJ23" s="9"/>
      <c r="CK23" s="15"/>
      <c r="CL23" s="9"/>
      <c r="CM23" s="15"/>
      <c r="CN23" s="9"/>
      <c r="CO23" s="15"/>
      <c r="CP23" s="9"/>
      <c r="CQ23" s="15"/>
      <c r="CR23" s="9"/>
    </row>
    <row r="24" spans="1:96" x14ac:dyDescent="0.2">
      <c r="A24" s="41"/>
      <c r="B24" s="9"/>
      <c r="C24" s="15"/>
      <c r="D24" s="7"/>
      <c r="E24" s="26"/>
      <c r="F24" s="9"/>
      <c r="G24" s="26"/>
      <c r="H24" s="9">
        <v>1099</v>
      </c>
      <c r="I24" s="15" t="s">
        <v>14447</v>
      </c>
      <c r="J24" s="9">
        <v>3579.39</v>
      </c>
      <c r="K24" s="15" t="s">
        <v>14517</v>
      </c>
      <c r="L24" s="9">
        <v>1100</v>
      </c>
      <c r="M24" s="15" t="s">
        <v>14555</v>
      </c>
      <c r="N24" s="9">
        <v>1216.4100000000001</v>
      </c>
      <c r="O24" s="15" t="s">
        <v>14693</v>
      </c>
      <c r="P24" s="9"/>
      <c r="Q24" s="15"/>
      <c r="R24" s="9"/>
      <c r="S24" s="15"/>
      <c r="T24" s="9">
        <v>3250</v>
      </c>
      <c r="U24" s="15" t="s">
        <v>14768</v>
      </c>
      <c r="V24" s="9"/>
      <c r="W24" s="15"/>
      <c r="X24" s="9">
        <v>5000</v>
      </c>
      <c r="Y24" s="15" t="s">
        <v>14814</v>
      </c>
      <c r="Z24" s="9">
        <v>1099.01</v>
      </c>
      <c r="AA24" s="15" t="s">
        <v>14877</v>
      </c>
      <c r="AB24" s="9">
        <v>504.99</v>
      </c>
      <c r="AC24" s="15" t="s">
        <v>14946</v>
      </c>
      <c r="AD24" s="9"/>
      <c r="AE24" s="15"/>
      <c r="AF24" s="72"/>
      <c r="AG24" s="86"/>
      <c r="AH24" s="9">
        <v>696</v>
      </c>
      <c r="AI24" s="15" t="s">
        <v>15034</v>
      </c>
      <c r="AJ24" s="7">
        <v>3250.01</v>
      </c>
      <c r="AK24" s="26" t="s">
        <v>15096</v>
      </c>
      <c r="AL24" s="87">
        <v>4000</v>
      </c>
      <c r="AM24" s="26" t="s">
        <v>15162</v>
      </c>
      <c r="AN24" s="9"/>
      <c r="AO24" s="15"/>
      <c r="AP24" s="9">
        <v>3459</v>
      </c>
      <c r="AQ24" s="26" t="s">
        <v>15270</v>
      </c>
      <c r="AR24" s="9"/>
      <c r="AS24" s="26"/>
      <c r="AT24" s="9">
        <v>25000</v>
      </c>
      <c r="AU24" s="26" t="s">
        <v>15439</v>
      </c>
      <c r="AV24" s="7">
        <v>1970</v>
      </c>
      <c r="AW24" s="88" t="s">
        <v>15477</v>
      </c>
      <c r="AX24" s="72">
        <v>5800</v>
      </c>
      <c r="AY24" s="15" t="s">
        <v>15539</v>
      </c>
      <c r="AZ24" s="9">
        <v>1099</v>
      </c>
      <c r="BA24" s="15" t="s">
        <v>15581</v>
      </c>
      <c r="BB24" s="7"/>
      <c r="BC24" s="26"/>
      <c r="BD24" s="9"/>
      <c r="BE24" s="15"/>
      <c r="BF24" s="9"/>
      <c r="BG24" s="15"/>
      <c r="BH24" s="9"/>
      <c r="BI24" s="15"/>
      <c r="BJ24" s="9"/>
      <c r="BK24" s="15"/>
      <c r="BL24" s="9"/>
      <c r="BM24" s="15"/>
      <c r="BN24" s="9"/>
      <c r="BO24" s="15"/>
      <c r="BP24" s="9"/>
      <c r="BQ24" s="15"/>
      <c r="BR24" s="9"/>
      <c r="BS24" s="15"/>
      <c r="BT24" s="9"/>
      <c r="BU24" s="15"/>
      <c r="BV24" s="9"/>
      <c r="BW24" s="15"/>
      <c r="BX24" s="9"/>
      <c r="BY24" s="15"/>
      <c r="BZ24" s="9"/>
      <c r="CA24" s="15"/>
      <c r="CB24" s="9"/>
      <c r="CC24" s="15"/>
      <c r="CD24" s="9"/>
      <c r="CE24" s="15"/>
      <c r="CF24" s="9"/>
      <c r="CG24" s="15"/>
      <c r="CH24" s="9"/>
      <c r="CI24" s="15"/>
      <c r="CJ24" s="9"/>
      <c r="CK24" s="15"/>
      <c r="CL24" s="9"/>
      <c r="CM24" s="15"/>
      <c r="CN24" s="9"/>
      <c r="CO24" s="15"/>
      <c r="CP24" s="9"/>
      <c r="CQ24" s="15"/>
      <c r="CR24" s="9"/>
    </row>
    <row r="25" spans="1:96" x14ac:dyDescent="0.2">
      <c r="A25" s="41"/>
      <c r="B25" s="9"/>
      <c r="C25" s="15"/>
      <c r="D25" s="7"/>
      <c r="E25" s="26"/>
      <c r="F25" s="9"/>
      <c r="G25" s="26"/>
      <c r="H25" s="9">
        <v>3250.01</v>
      </c>
      <c r="I25" s="9" t="s">
        <v>14448</v>
      </c>
      <c r="J25" s="9">
        <v>183751.84</v>
      </c>
      <c r="K25" s="15" t="s">
        <v>14518</v>
      </c>
      <c r="L25" s="9">
        <v>1169</v>
      </c>
      <c r="M25" s="15" t="s">
        <v>14556</v>
      </c>
      <c r="N25" s="9">
        <v>1312.99</v>
      </c>
      <c r="O25" s="15" t="s">
        <v>14694</v>
      </c>
      <c r="P25" s="9"/>
      <c r="Q25" s="15"/>
      <c r="R25" s="9"/>
      <c r="S25" s="15"/>
      <c r="T25" s="72">
        <v>3459.02</v>
      </c>
      <c r="U25" s="24" t="s">
        <v>14769</v>
      </c>
      <c r="V25" s="9"/>
      <c r="W25" s="15"/>
      <c r="X25" s="9">
        <v>165000</v>
      </c>
      <c r="Y25" s="15" t="s">
        <v>14816</v>
      </c>
      <c r="Z25" s="9">
        <v>1099.01</v>
      </c>
      <c r="AA25" s="15" t="s">
        <v>14878</v>
      </c>
      <c r="AB25" s="9">
        <v>3250</v>
      </c>
      <c r="AC25" s="15" t="s">
        <v>14947</v>
      </c>
      <c r="AD25" s="9"/>
      <c r="AE25" s="15"/>
      <c r="AF25" s="72"/>
      <c r="AG25" s="86"/>
      <c r="AH25" s="9">
        <v>1099</v>
      </c>
      <c r="AI25" s="26" t="s">
        <v>15040</v>
      </c>
      <c r="AJ25" s="7">
        <v>1099</v>
      </c>
      <c r="AK25" s="26" t="s">
        <v>15098</v>
      </c>
      <c r="AL25" s="87">
        <v>10563.01</v>
      </c>
      <c r="AM25" s="26" t="s">
        <v>15163</v>
      </c>
      <c r="AN25" s="9">
        <v>1970</v>
      </c>
      <c r="AO25" s="15" t="s">
        <v>15247</v>
      </c>
      <c r="AP25" s="9">
        <v>1594.43</v>
      </c>
      <c r="AQ25" s="26" t="s">
        <v>15271</v>
      </c>
      <c r="AR25" s="9"/>
      <c r="AS25" s="15"/>
      <c r="AT25" s="9">
        <v>20000</v>
      </c>
      <c r="AU25" s="26" t="s">
        <v>15440</v>
      </c>
      <c r="AV25" s="7">
        <v>522.38</v>
      </c>
      <c r="AW25" s="88" t="s">
        <v>15478</v>
      </c>
      <c r="AX25" s="9">
        <v>2000</v>
      </c>
      <c r="AY25" s="15" t="s">
        <v>15540</v>
      </c>
      <c r="AZ25" s="9">
        <v>735.96</v>
      </c>
      <c r="BA25" s="15" t="s">
        <v>15582</v>
      </c>
      <c r="BB25" s="72"/>
      <c r="BC25" s="15"/>
      <c r="BD25" s="9"/>
      <c r="BE25" s="15"/>
      <c r="BF25" s="9"/>
      <c r="BG25" s="15"/>
      <c r="BH25" s="9"/>
      <c r="BI25" s="15"/>
      <c r="BJ25" s="72"/>
      <c r="BK25" s="24"/>
      <c r="BL25" s="9"/>
      <c r="BM25" s="15"/>
      <c r="BN25" s="9"/>
      <c r="BO25" s="15"/>
      <c r="BP25" s="9"/>
      <c r="BQ25" s="15"/>
      <c r="BR25" s="9"/>
      <c r="BS25" s="15"/>
      <c r="BT25" s="9"/>
      <c r="BU25" s="15"/>
      <c r="BV25" s="9"/>
      <c r="BW25" s="15"/>
      <c r="BX25" s="9"/>
      <c r="BY25" s="15"/>
      <c r="BZ25" s="9"/>
      <c r="CA25" s="15"/>
      <c r="CB25" s="9"/>
      <c r="CC25" s="15"/>
      <c r="CD25" s="9"/>
      <c r="CE25" s="15"/>
      <c r="CF25" s="9"/>
      <c r="CG25" s="15"/>
      <c r="CH25" s="9"/>
      <c r="CI25" s="15"/>
      <c r="CJ25" s="9"/>
      <c r="CK25" s="15"/>
      <c r="CL25" s="9"/>
      <c r="CM25" s="15"/>
      <c r="CN25" s="9"/>
      <c r="CO25" s="15"/>
      <c r="CP25" s="9"/>
      <c r="CQ25" s="15"/>
      <c r="CR25" s="9"/>
    </row>
    <row r="26" spans="1:96" x14ac:dyDescent="0.2">
      <c r="A26" s="41"/>
      <c r="B26" s="9"/>
      <c r="C26" s="15"/>
      <c r="D26" s="7"/>
      <c r="E26" s="26"/>
      <c r="F26" s="7"/>
      <c r="G26" s="26"/>
      <c r="H26" s="9">
        <v>706.16</v>
      </c>
      <c r="I26" s="15" t="s">
        <v>14451</v>
      </c>
      <c r="J26" s="9">
        <v>229.73</v>
      </c>
      <c r="K26" s="15" t="s">
        <v>14519</v>
      </c>
      <c r="L26" s="9">
        <v>1099</v>
      </c>
      <c r="M26" s="15" t="s">
        <v>14559</v>
      </c>
      <c r="N26" s="7">
        <v>24747.119999999999</v>
      </c>
      <c r="O26" s="26" t="s">
        <v>14699</v>
      </c>
      <c r="P26" s="7"/>
      <c r="Q26" s="26"/>
      <c r="R26" s="7"/>
      <c r="S26" s="26"/>
      <c r="T26" s="9">
        <v>1052.8399999999999</v>
      </c>
      <c r="U26" s="26" t="s">
        <v>14771</v>
      </c>
      <c r="V26" s="9"/>
      <c r="W26" s="15"/>
      <c r="X26" s="9">
        <v>4029.48</v>
      </c>
      <c r="Y26" s="15" t="s">
        <v>14817</v>
      </c>
      <c r="Z26" s="9">
        <v>4395</v>
      </c>
      <c r="AA26" s="15" t="s">
        <v>14882</v>
      </c>
      <c r="AB26" s="9"/>
      <c r="AC26" s="15"/>
      <c r="AD26" s="9"/>
      <c r="AE26" s="15"/>
      <c r="AF26" s="298"/>
      <c r="AG26" s="86"/>
      <c r="AH26" s="87">
        <v>3933.27</v>
      </c>
      <c r="AI26" s="26" t="s">
        <v>15041</v>
      </c>
      <c r="AJ26" s="7">
        <v>1995</v>
      </c>
      <c r="AK26" s="26" t="s">
        <v>15105</v>
      </c>
      <c r="AL26" s="87">
        <v>1233.82</v>
      </c>
      <c r="AM26" s="26" t="s">
        <v>15164</v>
      </c>
      <c r="AN26" s="9">
        <v>543.78</v>
      </c>
      <c r="AO26" s="15" t="s">
        <v>15248</v>
      </c>
      <c r="AP26" s="9">
        <v>99</v>
      </c>
      <c r="AQ26" s="26" t="s">
        <v>15273</v>
      </c>
      <c r="AR26" s="9"/>
      <c r="AS26" s="15"/>
      <c r="AT26" s="9"/>
      <c r="AU26" s="26"/>
      <c r="AV26" s="7"/>
      <c r="AW26" s="88"/>
      <c r="AX26" s="7">
        <v>528.67999999999995</v>
      </c>
      <c r="AY26" s="26" t="s">
        <v>15541</v>
      </c>
      <c r="AZ26" s="6">
        <v>464.35</v>
      </c>
      <c r="BA26" s="26" t="s">
        <v>15583</v>
      </c>
      <c r="BB26" s="9"/>
      <c r="BC26" s="15"/>
      <c r="BD26" s="9"/>
      <c r="BE26" s="15"/>
      <c r="BF26" s="9"/>
      <c r="BG26" s="15"/>
      <c r="BH26" s="72"/>
      <c r="BI26" s="24"/>
      <c r="BJ26" s="9"/>
      <c r="BK26" s="15"/>
      <c r="BL26" s="9"/>
      <c r="BM26" s="15"/>
      <c r="BN26" s="9"/>
      <c r="BO26" s="15"/>
      <c r="BP26" s="9"/>
      <c r="BQ26" s="15"/>
      <c r="BR26" s="9"/>
      <c r="BS26" s="15"/>
      <c r="BT26" s="9"/>
      <c r="BU26" s="15"/>
      <c r="BV26" s="9"/>
      <c r="BW26" s="15"/>
      <c r="BX26" s="9"/>
      <c r="BY26" s="15"/>
      <c r="BZ26" s="9"/>
      <c r="CA26" s="15"/>
      <c r="CB26" s="9"/>
      <c r="CC26" s="15"/>
      <c r="CD26" s="9"/>
      <c r="CE26" s="15"/>
      <c r="CF26" s="9"/>
      <c r="CG26" s="15"/>
      <c r="CH26" s="9"/>
      <c r="CI26" s="15"/>
      <c r="CJ26" s="9"/>
      <c r="CK26" s="15"/>
      <c r="CL26" s="9"/>
      <c r="CM26" s="15"/>
      <c r="CN26" s="9"/>
      <c r="CO26" s="15"/>
      <c r="CP26" s="9"/>
      <c r="CQ26" s="15"/>
      <c r="CR26" s="9"/>
    </row>
    <row r="27" spans="1:96" x14ac:dyDescent="0.2">
      <c r="A27" s="41"/>
      <c r="B27" s="9"/>
      <c r="C27" s="15"/>
      <c r="D27" s="7"/>
      <c r="E27" s="15"/>
      <c r="F27" s="7"/>
      <c r="G27" s="26"/>
      <c r="H27" s="9"/>
      <c r="I27" s="15"/>
      <c r="J27" s="9">
        <v>320.57</v>
      </c>
      <c r="K27" s="9" t="s">
        <v>14520</v>
      </c>
      <c r="L27" s="7">
        <v>1919.41</v>
      </c>
      <c r="M27" s="26" t="s">
        <v>14560</v>
      </c>
      <c r="N27" s="7">
        <v>4395.01</v>
      </c>
      <c r="O27" s="26" t="s">
        <v>14701</v>
      </c>
      <c r="P27" s="7"/>
      <c r="Q27" s="26"/>
      <c r="R27" s="7"/>
      <c r="S27" s="26"/>
      <c r="T27" s="9"/>
      <c r="U27" s="26"/>
      <c r="V27" s="7"/>
      <c r="W27" s="26"/>
      <c r="X27" s="7">
        <v>175</v>
      </c>
      <c r="Y27" s="26" t="s">
        <v>14818</v>
      </c>
      <c r="Z27" s="7">
        <v>1970</v>
      </c>
      <c r="AA27" s="26" t="s">
        <v>14883</v>
      </c>
      <c r="AB27" s="9"/>
      <c r="AC27" s="26"/>
      <c r="AD27" s="9"/>
      <c r="AE27" s="26"/>
      <c r="AF27" s="72"/>
      <c r="AG27" s="86"/>
      <c r="AH27" s="87">
        <v>1099</v>
      </c>
      <c r="AI27" s="26" t="s">
        <v>14978</v>
      </c>
      <c r="AJ27" s="7">
        <v>3250</v>
      </c>
      <c r="AK27" s="26" t="s">
        <v>15106</v>
      </c>
      <c r="AL27" s="72">
        <v>1970</v>
      </c>
      <c r="AM27" s="15" t="s">
        <v>15165</v>
      </c>
      <c r="AN27" s="9">
        <v>1000</v>
      </c>
      <c r="AO27" s="15" t="s">
        <v>15249</v>
      </c>
      <c r="AP27" s="9"/>
      <c r="AQ27" s="26"/>
      <c r="AR27" s="9"/>
      <c r="AS27" s="26"/>
      <c r="AT27" s="7"/>
      <c r="AU27" s="26"/>
      <c r="AV27" s="7"/>
      <c r="AW27" s="88"/>
      <c r="AX27" s="7">
        <v>2666</v>
      </c>
      <c r="AY27" s="26" t="s">
        <v>15542</v>
      </c>
      <c r="AZ27" s="9">
        <v>150</v>
      </c>
      <c r="BA27" s="15" t="s">
        <v>15584</v>
      </c>
      <c r="BB27" s="7"/>
      <c r="BC27" s="26"/>
      <c r="BD27" s="9"/>
      <c r="BE27" s="15"/>
      <c r="BF27" s="9"/>
      <c r="BG27" s="15"/>
      <c r="BH27" s="9"/>
      <c r="BI27" s="15"/>
      <c r="BJ27" s="9"/>
      <c r="BK27" s="15"/>
      <c r="BL27" s="9"/>
      <c r="BM27" s="15"/>
      <c r="BN27" s="9"/>
      <c r="BO27" s="15"/>
      <c r="BP27" s="9"/>
      <c r="BQ27" s="15"/>
      <c r="BR27" s="9"/>
      <c r="BS27" s="15"/>
      <c r="BT27" s="9"/>
      <c r="BU27" s="15"/>
      <c r="BV27" s="9"/>
      <c r="BW27" s="15"/>
      <c r="BX27" s="9"/>
      <c r="BY27" s="15"/>
      <c r="BZ27" s="9"/>
      <c r="CA27" s="15"/>
      <c r="CB27" s="9"/>
      <c r="CC27" s="15"/>
      <c r="CD27" s="9"/>
      <c r="CE27" s="15"/>
      <c r="CF27" s="9"/>
      <c r="CG27" s="15"/>
      <c r="CH27" s="9"/>
      <c r="CI27" s="15"/>
      <c r="CJ27" s="9"/>
      <c r="CK27" s="15"/>
      <c r="CL27" s="9"/>
      <c r="CM27" s="15"/>
      <c r="CN27" s="9"/>
      <c r="CO27" s="15"/>
      <c r="CP27" s="9"/>
      <c r="CQ27" s="15"/>
      <c r="CR27" s="9"/>
    </row>
    <row r="28" spans="1:96" x14ac:dyDescent="0.2">
      <c r="A28" s="41"/>
      <c r="B28" s="9"/>
      <c r="C28" s="15"/>
      <c r="D28" s="7"/>
      <c r="E28" s="26"/>
      <c r="F28" s="14"/>
      <c r="G28" s="13"/>
      <c r="H28" s="9"/>
      <c r="I28" s="15"/>
      <c r="J28" s="9">
        <v>175</v>
      </c>
      <c r="K28" s="9" t="s">
        <v>14521</v>
      </c>
      <c r="L28" s="7">
        <v>1970</v>
      </c>
      <c r="M28" s="26" t="s">
        <v>8375</v>
      </c>
      <c r="N28" s="7">
        <v>3169</v>
      </c>
      <c r="O28" s="26" t="s">
        <v>14703</v>
      </c>
      <c r="P28" s="7"/>
      <c r="Q28" s="26"/>
      <c r="R28" s="7"/>
      <c r="S28" s="26"/>
      <c r="T28" s="9"/>
      <c r="U28" s="15"/>
      <c r="V28" s="7"/>
      <c r="W28" s="26"/>
      <c r="X28" s="7">
        <v>3250</v>
      </c>
      <c r="Y28" s="26" t="s">
        <v>14821</v>
      </c>
      <c r="Z28" s="7">
        <v>1099</v>
      </c>
      <c r="AA28" s="26" t="s">
        <v>14885</v>
      </c>
      <c r="AB28" s="9"/>
      <c r="AC28" s="26"/>
      <c r="AD28" s="9"/>
      <c r="AE28" s="26"/>
      <c r="AF28" s="9"/>
      <c r="AG28" s="15"/>
      <c r="AH28" s="87">
        <v>1099</v>
      </c>
      <c r="AI28" s="26" t="s">
        <v>15042</v>
      </c>
      <c r="AJ28" s="7">
        <v>1970</v>
      </c>
      <c r="AK28" s="26" t="s">
        <v>15109</v>
      </c>
      <c r="AL28" s="87"/>
      <c r="AM28" s="15"/>
      <c r="AN28" s="9">
        <v>1185.01</v>
      </c>
      <c r="AO28" s="15" t="s">
        <v>15250</v>
      </c>
      <c r="AP28" s="9">
        <v>5500</v>
      </c>
      <c r="AQ28" s="26" t="s">
        <v>15426</v>
      </c>
      <c r="AR28" s="7"/>
      <c r="AS28" s="26"/>
      <c r="AT28" s="7"/>
      <c r="AU28" s="26"/>
      <c r="AV28" s="7"/>
      <c r="AW28" s="88"/>
      <c r="AX28" s="9">
        <v>1099</v>
      </c>
      <c r="AY28" s="15" t="s">
        <v>15543</v>
      </c>
      <c r="AZ28" s="9">
        <v>107900</v>
      </c>
      <c r="BA28" s="15" t="s">
        <v>15585</v>
      </c>
      <c r="BB28" s="9"/>
      <c r="BC28" s="15"/>
      <c r="BD28" s="9"/>
      <c r="BE28" s="15"/>
      <c r="BF28" s="9"/>
      <c r="BG28" s="15"/>
      <c r="BH28" s="9"/>
      <c r="BI28" s="15"/>
      <c r="BJ28" s="9"/>
      <c r="BK28" s="15"/>
      <c r="BL28" s="9"/>
      <c r="BM28" s="15"/>
      <c r="BN28" s="9"/>
      <c r="BO28" s="15"/>
      <c r="BP28" s="9"/>
      <c r="BQ28" s="15"/>
      <c r="BR28" s="9"/>
      <c r="BS28" s="15"/>
      <c r="BT28" s="9"/>
      <c r="BU28" s="15"/>
      <c r="BV28" s="9"/>
      <c r="BW28" s="15"/>
      <c r="BX28" s="9"/>
      <c r="BY28" s="15"/>
      <c r="BZ28" s="9"/>
      <c r="CA28" s="15"/>
      <c r="CB28" s="9"/>
      <c r="CC28" s="15"/>
      <c r="CD28" s="9"/>
      <c r="CE28" s="15"/>
      <c r="CF28" s="9"/>
      <c r="CG28" s="15"/>
      <c r="CH28" s="9"/>
      <c r="CI28" s="15"/>
      <c r="CJ28" s="9"/>
      <c r="CK28" s="15"/>
      <c r="CL28" s="9"/>
      <c r="CM28" s="15"/>
      <c r="CN28" s="9"/>
      <c r="CO28" s="15"/>
      <c r="CP28" s="9"/>
      <c r="CQ28" s="15"/>
      <c r="CR28" s="9"/>
    </row>
    <row r="29" spans="1:96" x14ac:dyDescent="0.2">
      <c r="A29" s="41"/>
      <c r="B29" s="7"/>
      <c r="C29" s="26"/>
      <c r="D29" s="7"/>
      <c r="E29" s="26"/>
      <c r="F29" s="7"/>
      <c r="G29" s="26"/>
      <c r="H29" s="9"/>
      <c r="I29" s="15"/>
      <c r="J29" s="9">
        <v>1513.07</v>
      </c>
      <c r="K29" s="26" t="s">
        <v>14525</v>
      </c>
      <c r="L29" s="7">
        <v>1099.01</v>
      </c>
      <c r="M29" s="26" t="s">
        <v>14564</v>
      </c>
      <c r="N29" s="7"/>
      <c r="O29" s="26"/>
      <c r="P29" s="7"/>
      <c r="Q29" s="26"/>
      <c r="R29" s="9"/>
      <c r="S29" s="15"/>
      <c r="T29" s="9"/>
      <c r="U29" s="15"/>
      <c r="V29" s="7"/>
      <c r="W29" s="26"/>
      <c r="X29" s="7">
        <v>79.44</v>
      </c>
      <c r="Y29" s="26" t="s">
        <v>14827</v>
      </c>
      <c r="Z29" s="7">
        <v>1233.82</v>
      </c>
      <c r="AA29" s="26" t="s">
        <v>14884</v>
      </c>
      <c r="AB29" s="9"/>
      <c r="AC29" s="26"/>
      <c r="AD29" s="9"/>
      <c r="AE29" s="26"/>
      <c r="AF29" s="7"/>
      <c r="AG29" s="26"/>
      <c r="AH29" s="7">
        <v>636.65</v>
      </c>
      <c r="AI29" s="26" t="s">
        <v>15043</v>
      </c>
      <c r="AJ29" s="7">
        <v>1970</v>
      </c>
      <c r="AK29" s="26" t="s">
        <v>15110</v>
      </c>
      <c r="AL29" s="87"/>
      <c r="AM29" s="26"/>
      <c r="AN29" s="9">
        <v>1995</v>
      </c>
      <c r="AO29" s="15" t="s">
        <v>15251</v>
      </c>
      <c r="AP29" s="9">
        <v>464</v>
      </c>
      <c r="AQ29" s="15" t="s">
        <v>15427</v>
      </c>
      <c r="AR29" s="7"/>
      <c r="AS29" s="26"/>
      <c r="AT29" s="7"/>
      <c r="AU29" s="26"/>
      <c r="AV29" s="7"/>
      <c r="AW29" s="88"/>
      <c r="AX29" s="9">
        <v>1000</v>
      </c>
      <c r="AY29" s="15" t="s">
        <v>15544</v>
      </c>
      <c r="AZ29" s="9">
        <v>99000</v>
      </c>
      <c r="BA29" s="15" t="s">
        <v>15586</v>
      </c>
      <c r="BB29" s="7"/>
      <c r="BC29" s="26"/>
      <c r="BD29" s="9"/>
      <c r="BE29" s="15"/>
      <c r="BF29" s="9"/>
      <c r="BG29" s="15"/>
      <c r="BH29" s="9"/>
      <c r="BI29" s="15"/>
      <c r="BJ29" s="9"/>
      <c r="BK29" s="15"/>
      <c r="BL29" s="9"/>
      <c r="BM29" s="15"/>
      <c r="BN29" s="9"/>
      <c r="BO29" s="15"/>
      <c r="BP29" s="9"/>
      <c r="BQ29" s="15"/>
      <c r="BR29" s="9"/>
      <c r="BS29" s="15"/>
      <c r="BT29" s="9"/>
      <c r="BU29" s="15"/>
      <c r="BV29" s="9"/>
      <c r="BW29" s="15"/>
      <c r="BX29" s="9"/>
      <c r="BY29" s="15"/>
      <c r="BZ29" s="9"/>
      <c r="CA29" s="15"/>
      <c r="CB29" s="9"/>
      <c r="CC29" s="15"/>
      <c r="CD29" s="9"/>
      <c r="CE29" s="15"/>
      <c r="CF29" s="9"/>
      <c r="CG29" s="15"/>
      <c r="CH29" s="9"/>
      <c r="CI29" s="15"/>
      <c r="CJ29" s="9"/>
      <c r="CK29" s="15"/>
      <c r="CL29" s="9"/>
      <c r="CM29" s="15"/>
      <c r="CN29" s="9"/>
      <c r="CO29" s="15"/>
      <c r="CP29" s="9"/>
      <c r="CQ29" s="15"/>
      <c r="CR29" s="9"/>
    </row>
    <row r="30" spans="1:96" x14ac:dyDescent="0.2">
      <c r="A30" s="41"/>
      <c r="B30" s="9"/>
      <c r="C30" s="15"/>
      <c r="D30" s="9"/>
      <c r="E30" s="15"/>
      <c r="F30" s="9"/>
      <c r="G30" s="15"/>
      <c r="H30" s="9"/>
      <c r="I30" s="15"/>
      <c r="J30" s="9">
        <v>1970</v>
      </c>
      <c r="K30" s="15" t="s">
        <v>14528</v>
      </c>
      <c r="L30" s="9">
        <v>4395.01</v>
      </c>
      <c r="M30" s="15" t="s">
        <v>14565</v>
      </c>
      <c r="N30" s="9"/>
      <c r="O30" s="15"/>
      <c r="P30" s="7"/>
      <c r="Q30" s="26"/>
      <c r="R30" s="10"/>
      <c r="S30" s="12"/>
      <c r="T30" s="9"/>
      <c r="U30" s="15"/>
      <c r="V30" s="9"/>
      <c r="W30" s="15"/>
      <c r="X30" s="9">
        <v>1500.95</v>
      </c>
      <c r="Y30" s="15" t="s">
        <v>14828</v>
      </c>
      <c r="Z30" s="9">
        <v>474.73</v>
      </c>
      <c r="AA30" s="15" t="s">
        <v>14886</v>
      </c>
      <c r="AB30" s="9"/>
      <c r="AC30" s="15"/>
      <c r="AD30" s="11"/>
      <c r="AE30" s="13"/>
      <c r="AF30" s="9"/>
      <c r="AG30" s="15"/>
      <c r="AH30" s="9">
        <v>464.35</v>
      </c>
      <c r="AI30" s="15" t="s">
        <v>15045</v>
      </c>
      <c r="AJ30" s="9">
        <v>1970</v>
      </c>
      <c r="AK30" s="15" t="s">
        <v>15112</v>
      </c>
      <c r="AL30" s="72"/>
      <c r="AM30" s="15"/>
      <c r="AN30" s="9">
        <v>1132.72</v>
      </c>
      <c r="AO30" s="15" t="s">
        <v>15252</v>
      </c>
      <c r="AP30" s="10">
        <v>2318.92</v>
      </c>
      <c r="AQ30" s="12" t="s">
        <v>15348</v>
      </c>
      <c r="AR30" s="9"/>
      <c r="AS30" s="15"/>
      <c r="AT30" s="9"/>
      <c r="AU30" s="15"/>
      <c r="AV30" s="9"/>
      <c r="AW30" s="86"/>
      <c r="AX30" s="9">
        <v>1970</v>
      </c>
      <c r="AY30" s="15" t="s">
        <v>15545</v>
      </c>
      <c r="AZ30" s="9">
        <v>2334.69</v>
      </c>
      <c r="BA30" s="12" t="s">
        <v>15587</v>
      </c>
      <c r="BB30" s="9"/>
      <c r="BC30" s="15"/>
      <c r="BD30" s="11"/>
      <c r="BE30" s="13"/>
      <c r="BF30" s="9"/>
      <c r="BG30" s="15"/>
      <c r="BH30" s="9"/>
      <c r="BI30" s="15"/>
      <c r="BJ30" s="9"/>
      <c r="BK30" s="15"/>
      <c r="BL30" s="9"/>
      <c r="BM30" s="15"/>
      <c r="BN30" s="9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  <c r="CO30" s="15"/>
      <c r="CP30" s="9"/>
      <c r="CQ30" s="15"/>
      <c r="CR30" s="9"/>
    </row>
    <row r="31" spans="1:96" x14ac:dyDescent="0.2">
      <c r="A31" s="43"/>
      <c r="B31" s="10"/>
      <c r="C31" s="12"/>
      <c r="D31" s="10"/>
      <c r="E31" s="12"/>
      <c r="F31" s="10"/>
      <c r="G31" s="12"/>
      <c r="H31" s="9"/>
      <c r="I31" s="15"/>
      <c r="J31" s="11">
        <v>1995</v>
      </c>
      <c r="K31" s="12" t="s">
        <v>14529</v>
      </c>
      <c r="L31" s="10">
        <v>5080.92</v>
      </c>
      <c r="M31" s="12" t="s">
        <v>14566</v>
      </c>
      <c r="N31" s="10"/>
      <c r="O31" s="12"/>
      <c r="P31" s="9"/>
      <c r="Q31" s="15"/>
      <c r="R31" s="7"/>
      <c r="S31" s="26"/>
      <c r="T31" s="11"/>
      <c r="U31" s="12"/>
      <c r="V31" s="10"/>
      <c r="W31" s="12"/>
      <c r="X31" s="10">
        <v>1676.55</v>
      </c>
      <c r="Y31" s="12" t="s">
        <v>14831</v>
      </c>
      <c r="Z31" s="12"/>
      <c r="AA31" s="12"/>
      <c r="AB31" s="11"/>
      <c r="AC31" s="12"/>
      <c r="AD31" s="10"/>
      <c r="AE31" s="12"/>
      <c r="AF31" s="10"/>
      <c r="AG31" s="12"/>
      <c r="AH31" s="10">
        <v>528.87</v>
      </c>
      <c r="AI31" s="12" t="s">
        <v>15047</v>
      </c>
      <c r="AJ31" s="10">
        <v>1970</v>
      </c>
      <c r="AK31" s="12" t="s">
        <v>15114</v>
      </c>
      <c r="AL31" s="87"/>
      <c r="AM31" s="12"/>
      <c r="AN31" s="10">
        <v>86.23</v>
      </c>
      <c r="AO31" s="12" t="s">
        <v>15253</v>
      </c>
      <c r="AP31" s="10">
        <v>846.14</v>
      </c>
      <c r="AQ31" s="12" t="s">
        <v>15349</v>
      </c>
      <c r="AR31" s="10"/>
      <c r="AS31" s="12"/>
      <c r="AT31" s="10"/>
      <c r="AU31" s="12"/>
      <c r="AV31" s="10"/>
      <c r="AW31" s="321"/>
      <c r="AX31" s="10">
        <v>1994.99</v>
      </c>
      <c r="AY31" s="12" t="s">
        <v>15546</v>
      </c>
      <c r="AZ31" s="11">
        <v>1994.99</v>
      </c>
      <c r="BA31" s="26" t="s">
        <v>15588</v>
      </c>
      <c r="BB31" s="10"/>
      <c r="BC31" s="12"/>
      <c r="BD31" s="9"/>
      <c r="BE31" s="15"/>
      <c r="BF31" s="11"/>
      <c r="BG31" s="13"/>
      <c r="BH31" s="11"/>
      <c r="BI31" s="13"/>
      <c r="BJ31" s="11"/>
      <c r="BK31" s="13"/>
      <c r="BL31" s="11"/>
      <c r="BM31" s="13"/>
      <c r="BN31" s="11"/>
      <c r="BO31" s="13"/>
      <c r="BP31" s="11"/>
      <c r="BQ31" s="13"/>
      <c r="BR31" s="11"/>
      <c r="BS31" s="13"/>
      <c r="BT31" s="11"/>
      <c r="BU31" s="13"/>
      <c r="BV31" s="11"/>
      <c r="BW31" s="13"/>
      <c r="BX31" s="11"/>
      <c r="BY31" s="13"/>
      <c r="BZ31" s="11"/>
      <c r="CA31" s="13"/>
      <c r="CB31" s="11"/>
      <c r="CC31" s="13"/>
      <c r="CD31" s="11"/>
      <c r="CE31" s="13"/>
      <c r="CF31" s="11"/>
      <c r="CG31" s="13"/>
      <c r="CH31" s="11"/>
      <c r="CI31" s="13"/>
      <c r="CJ31" s="11"/>
      <c r="CK31" s="13"/>
      <c r="CL31" s="11"/>
      <c r="CM31" s="13"/>
      <c r="CN31" s="11"/>
      <c r="CO31" s="13"/>
      <c r="CP31" s="11"/>
      <c r="CQ31" s="13"/>
      <c r="CR31" s="11"/>
    </row>
    <row r="32" spans="1:96" x14ac:dyDescent="0.2">
      <c r="A32" s="41"/>
      <c r="B32" s="7"/>
      <c r="C32" s="26"/>
      <c r="D32" s="7"/>
      <c r="E32" s="26"/>
      <c r="F32" s="7"/>
      <c r="G32" s="26"/>
      <c r="H32" s="9"/>
      <c r="I32" s="15"/>
      <c r="J32" s="9">
        <v>4954.26</v>
      </c>
      <c r="K32" s="26" t="s">
        <v>14530</v>
      </c>
      <c r="L32" s="7">
        <v>224.11</v>
      </c>
      <c r="M32" s="26" t="s">
        <v>14568</v>
      </c>
      <c r="N32" s="7"/>
      <c r="O32" s="26"/>
      <c r="P32" s="7"/>
      <c r="Q32" s="26"/>
      <c r="R32" s="7"/>
      <c r="S32" s="26"/>
      <c r="T32" s="9"/>
      <c r="U32" s="26"/>
      <c r="V32" s="7"/>
      <c r="W32" s="26"/>
      <c r="X32" s="7"/>
      <c r="Y32" s="26"/>
      <c r="Z32" s="26"/>
      <c r="AA32" s="26"/>
      <c r="AB32" s="9"/>
      <c r="AC32" s="26"/>
      <c r="AD32" s="7"/>
      <c r="AE32" s="26"/>
      <c r="AF32" s="7"/>
      <c r="AG32" s="26"/>
      <c r="AH32" s="7"/>
      <c r="AI32" s="26"/>
      <c r="AJ32" s="7">
        <v>284.94</v>
      </c>
      <c r="AK32" s="26" t="s">
        <v>15115</v>
      </c>
      <c r="AL32" s="7"/>
      <c r="AM32" s="26"/>
      <c r="AN32" s="9"/>
      <c r="AO32" s="15"/>
      <c r="AP32" s="7">
        <v>100</v>
      </c>
      <c r="AQ32" s="26" t="s">
        <v>15350</v>
      </c>
      <c r="AR32" s="7"/>
      <c r="AS32" s="26"/>
      <c r="AT32" s="7"/>
      <c r="AU32" s="26"/>
      <c r="AV32" s="7"/>
      <c r="AW32" s="88"/>
      <c r="AX32" s="7"/>
      <c r="AY32" s="26"/>
      <c r="AZ32" s="9">
        <v>1995</v>
      </c>
      <c r="BA32" s="26" t="s">
        <v>15589</v>
      </c>
      <c r="BB32" s="7"/>
      <c r="BC32" s="26"/>
      <c r="BD32" s="9"/>
      <c r="BE32" s="15"/>
      <c r="BF32" s="9"/>
      <c r="BG32" s="15"/>
      <c r="BH32" s="9"/>
      <c r="BI32" s="15"/>
      <c r="BJ32" s="9"/>
      <c r="BK32" s="15"/>
      <c r="BL32" s="9"/>
      <c r="BM32" s="15"/>
      <c r="BN32" s="9"/>
      <c r="BO32" s="15"/>
      <c r="BP32" s="9"/>
      <c r="BQ32" s="15"/>
      <c r="BR32" s="9"/>
      <c r="BS32" s="15"/>
      <c r="BT32" s="9"/>
      <c r="BU32" s="15"/>
      <c r="BV32" s="9"/>
      <c r="BW32" s="15"/>
      <c r="BX32" s="9"/>
      <c r="BY32" s="15"/>
      <c r="BZ32" s="9"/>
      <c r="CA32" s="15"/>
      <c r="CB32" s="9"/>
      <c r="CC32" s="15"/>
      <c r="CD32" s="9"/>
      <c r="CE32" s="15"/>
      <c r="CF32" s="9"/>
      <c r="CG32" s="15"/>
      <c r="CH32" s="9"/>
      <c r="CI32" s="15"/>
      <c r="CJ32" s="9"/>
      <c r="CK32" s="15"/>
      <c r="CL32" s="9"/>
      <c r="CM32" s="15"/>
      <c r="CN32" s="9"/>
      <c r="CO32" s="15"/>
      <c r="CP32" s="9"/>
      <c r="CQ32" s="15"/>
      <c r="CR32" s="9"/>
    </row>
    <row r="33" spans="1:96" x14ac:dyDescent="0.2">
      <c r="A33" s="41"/>
      <c r="B33" s="7"/>
      <c r="C33" s="26"/>
      <c r="D33" s="7"/>
      <c r="E33" s="26"/>
      <c r="F33" s="7"/>
      <c r="G33" s="26"/>
      <c r="H33" s="9"/>
      <c r="I33" s="15"/>
      <c r="J33" s="9"/>
      <c r="K33" s="26"/>
      <c r="L33" s="7">
        <v>185.74</v>
      </c>
      <c r="M33" s="26" t="s">
        <v>14570</v>
      </c>
      <c r="N33" s="7"/>
      <c r="O33" s="26"/>
      <c r="P33" s="7"/>
      <c r="Q33" s="26"/>
      <c r="R33" s="7"/>
      <c r="S33" s="26"/>
      <c r="T33" s="9"/>
      <c r="U33" s="26"/>
      <c r="V33" s="7"/>
      <c r="W33" s="26"/>
      <c r="X33" s="7"/>
      <c r="Y33" s="26"/>
      <c r="Z33" s="26"/>
      <c r="AA33" s="26"/>
      <c r="AB33" s="9"/>
      <c r="AC33" s="26"/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>
        <v>468.33</v>
      </c>
      <c r="AQ33" s="26" t="s">
        <v>15351</v>
      </c>
      <c r="AR33" s="7"/>
      <c r="AS33" s="26"/>
      <c r="AT33" s="7"/>
      <c r="AU33" s="26"/>
      <c r="AV33" s="7"/>
      <c r="AW33" s="88"/>
      <c r="AX33" s="7"/>
      <c r="AY33" s="26"/>
      <c r="AZ33" s="7"/>
      <c r="BA33" s="26"/>
      <c r="BB33" s="7"/>
      <c r="BC33" s="26"/>
      <c r="BD33" s="9"/>
      <c r="BE33" s="15"/>
      <c r="BF33" s="9"/>
      <c r="BG33" s="15"/>
      <c r="BH33" s="9"/>
      <c r="BI33" s="15"/>
      <c r="BJ33" s="9"/>
      <c r="BK33" s="15"/>
      <c r="BL33" s="9"/>
      <c r="BM33" s="15"/>
      <c r="BN33" s="9"/>
      <c r="BO33" s="15"/>
      <c r="BP33" s="9"/>
      <c r="BQ33" s="15"/>
      <c r="BR33" s="9"/>
      <c r="BS33" s="15"/>
      <c r="BT33" s="9"/>
      <c r="BU33" s="15"/>
      <c r="BV33" s="9"/>
      <c r="BW33" s="15"/>
      <c r="BX33" s="9"/>
      <c r="BY33" s="15"/>
      <c r="BZ33" s="9"/>
      <c r="CA33" s="15"/>
      <c r="CB33" s="9"/>
      <c r="CC33" s="15"/>
      <c r="CD33" s="9"/>
      <c r="CE33" s="15"/>
      <c r="CF33" s="9"/>
      <c r="CG33" s="15"/>
      <c r="CH33" s="9"/>
      <c r="CI33" s="15"/>
      <c r="CJ33" s="9"/>
      <c r="CK33" s="15"/>
      <c r="CL33" s="9"/>
      <c r="CM33" s="15"/>
      <c r="CN33" s="9"/>
      <c r="CO33" s="15"/>
      <c r="CP33" s="9"/>
      <c r="CQ33" s="15"/>
      <c r="CR33" s="9"/>
    </row>
    <row r="34" spans="1:96" x14ac:dyDescent="0.2">
      <c r="A34" s="41"/>
      <c r="B34" s="7"/>
      <c r="C34" s="26"/>
      <c r="D34" s="7"/>
      <c r="E34" s="26"/>
      <c r="F34" s="7"/>
      <c r="G34" s="26"/>
      <c r="H34" s="9"/>
      <c r="I34" s="15"/>
      <c r="J34" s="9"/>
      <c r="K34" s="26"/>
      <c r="L34" s="7"/>
      <c r="M34" s="26"/>
      <c r="N34" s="7"/>
      <c r="O34" s="26"/>
      <c r="P34" s="7"/>
      <c r="Q34" s="26"/>
      <c r="R34" s="7"/>
      <c r="S34" s="26"/>
      <c r="T34" s="9"/>
      <c r="U34" s="26"/>
      <c r="V34" s="7"/>
      <c r="W34" s="26"/>
      <c r="X34" s="7"/>
      <c r="Y34" s="26"/>
      <c r="Z34" s="26"/>
      <c r="AA34" s="26"/>
      <c r="AB34" s="9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>
        <v>85.84</v>
      </c>
      <c r="AQ34" s="26" t="s">
        <v>15352</v>
      </c>
      <c r="AR34" s="7"/>
      <c r="AS34" s="26"/>
      <c r="AT34" s="7"/>
      <c r="AU34" s="26"/>
      <c r="AV34" s="7"/>
      <c r="AW34" s="88"/>
      <c r="AX34" s="7"/>
      <c r="AY34" s="26"/>
      <c r="AZ34" s="7"/>
      <c r="BA34" s="26"/>
      <c r="BB34" s="7"/>
      <c r="BC34" s="26"/>
      <c r="BD34" s="9"/>
      <c r="BE34" s="15"/>
      <c r="BF34" s="9"/>
      <c r="BG34" s="15"/>
      <c r="BH34" s="9"/>
      <c r="BI34" s="15"/>
      <c r="BJ34" s="9"/>
      <c r="BK34" s="15"/>
      <c r="BL34" s="9"/>
      <c r="BM34" s="15"/>
      <c r="BN34" s="9"/>
      <c r="BO34" s="15"/>
      <c r="BP34" s="9"/>
      <c r="BQ34" s="15"/>
      <c r="BR34" s="9"/>
      <c r="BS34" s="15"/>
      <c r="BT34" s="9"/>
      <c r="BU34" s="15"/>
      <c r="BV34" s="9"/>
      <c r="BW34" s="15"/>
      <c r="BX34" s="9"/>
      <c r="BY34" s="15"/>
      <c r="BZ34" s="9"/>
      <c r="CA34" s="15"/>
      <c r="CB34" s="9"/>
      <c r="CC34" s="15"/>
      <c r="CD34" s="9"/>
      <c r="CE34" s="15"/>
      <c r="CF34" s="9"/>
      <c r="CG34" s="15"/>
      <c r="CH34" s="9"/>
      <c r="CI34" s="15"/>
      <c r="CJ34" s="9"/>
      <c r="CK34" s="15"/>
      <c r="CL34" s="9"/>
      <c r="CM34" s="15"/>
      <c r="CN34" s="9"/>
      <c r="CO34" s="15"/>
      <c r="CP34" s="9"/>
      <c r="CQ34" s="15"/>
      <c r="CR34" s="9"/>
    </row>
    <row r="35" spans="1:96" x14ac:dyDescent="0.2">
      <c r="A35" s="41"/>
      <c r="B35" s="7"/>
      <c r="C35" s="26"/>
      <c r="D35" s="7"/>
      <c r="E35" s="26"/>
      <c r="F35" s="7"/>
      <c r="G35" s="26"/>
      <c r="H35" s="9"/>
      <c r="I35" s="15"/>
      <c r="J35" s="9"/>
      <c r="K35" s="26"/>
      <c r="L35" s="7"/>
      <c r="M35" s="26"/>
      <c r="N35" s="7"/>
      <c r="O35" s="26"/>
      <c r="P35" s="7"/>
      <c r="Q35" s="26"/>
      <c r="R35" s="7"/>
      <c r="S35" s="26"/>
      <c r="T35" s="9"/>
      <c r="U35" s="26"/>
      <c r="V35" s="7"/>
      <c r="W35" s="26"/>
      <c r="X35" s="7"/>
      <c r="Y35" s="26"/>
      <c r="Z35" s="26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>
        <v>1000</v>
      </c>
      <c r="AQ35" s="26" t="s">
        <v>15353</v>
      </c>
      <c r="AR35" s="7"/>
      <c r="AS35" s="26"/>
      <c r="AT35" s="7"/>
      <c r="AU35" s="26"/>
      <c r="AV35" s="7"/>
      <c r="AW35" s="88"/>
      <c r="AX35" s="7"/>
      <c r="AY35" s="26"/>
      <c r="AZ35" s="7"/>
      <c r="BA35" s="26"/>
      <c r="BB35" s="7"/>
      <c r="BC35" s="26"/>
      <c r="BD35" s="9"/>
      <c r="BE35" s="15"/>
      <c r="BF35" s="9"/>
      <c r="BG35" s="15"/>
      <c r="BH35" s="9"/>
      <c r="BI35" s="15"/>
      <c r="BJ35" s="9"/>
      <c r="BK35" s="15"/>
      <c r="BL35" s="9"/>
      <c r="BM35" s="15"/>
      <c r="BN35" s="9"/>
      <c r="BO35" s="15"/>
      <c r="BP35" s="9"/>
      <c r="BQ35" s="15"/>
      <c r="BR35" s="9"/>
      <c r="BS35" s="15"/>
      <c r="BT35" s="9"/>
      <c r="BU35" s="15"/>
      <c r="BV35" s="9"/>
      <c r="BW35" s="15"/>
      <c r="BX35" s="9"/>
      <c r="BY35" s="15"/>
      <c r="BZ35" s="9"/>
      <c r="CA35" s="15"/>
      <c r="CB35" s="9"/>
      <c r="CC35" s="15"/>
      <c r="CD35" s="9"/>
      <c r="CE35" s="15"/>
      <c r="CF35" s="9"/>
      <c r="CG35" s="15"/>
      <c r="CH35" s="9"/>
      <c r="CI35" s="15"/>
      <c r="CJ35" s="9"/>
      <c r="CK35" s="15"/>
      <c r="CL35" s="9"/>
      <c r="CM35" s="15"/>
      <c r="CN35" s="9"/>
      <c r="CO35" s="15"/>
      <c r="CP35" s="9"/>
      <c r="CQ35" s="15"/>
      <c r="CR35" s="9"/>
    </row>
    <row r="36" spans="1:96" x14ac:dyDescent="0.2">
      <c r="A36" s="41"/>
      <c r="B36" s="7"/>
      <c r="C36" s="26"/>
      <c r="D36" s="7"/>
      <c r="E36" s="26"/>
      <c r="F36" s="7"/>
      <c r="G36" s="26"/>
      <c r="H36" s="9"/>
      <c r="I36" s="15"/>
      <c r="J36" s="9"/>
      <c r="K36" s="26"/>
      <c r="L36" s="7"/>
      <c r="M36" s="26"/>
      <c r="N36" s="7"/>
      <c r="O36" s="26"/>
      <c r="P36" s="7"/>
      <c r="Q36" s="26"/>
      <c r="R36" s="7"/>
      <c r="S36" s="26"/>
      <c r="T36" s="9"/>
      <c r="U36" s="26"/>
      <c r="V36" s="7"/>
      <c r="W36" s="26"/>
      <c r="X36" s="7"/>
      <c r="Y36" s="26"/>
      <c r="Z36" s="26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>
        <v>782.97</v>
      </c>
      <c r="AQ36" s="26" t="s">
        <v>15354</v>
      </c>
      <c r="AR36" s="7"/>
      <c r="AS36" s="26"/>
      <c r="AT36" s="7"/>
      <c r="AU36" s="26"/>
      <c r="AV36" s="7"/>
      <c r="AW36" s="88"/>
      <c r="AX36" s="7"/>
      <c r="AY36" s="26"/>
      <c r="AZ36" s="7"/>
      <c r="BA36" s="26"/>
      <c r="BB36" s="7"/>
      <c r="BC36" s="26"/>
      <c r="BD36" s="9"/>
      <c r="BE36" s="15"/>
      <c r="BF36" s="9"/>
      <c r="BG36" s="15"/>
      <c r="BH36" s="9"/>
      <c r="BI36" s="15"/>
      <c r="BJ36" s="9"/>
      <c r="BK36" s="15"/>
      <c r="BL36" s="9"/>
      <c r="BM36" s="15"/>
      <c r="BN36" s="9"/>
      <c r="BO36" s="15"/>
      <c r="BP36" s="9"/>
      <c r="BQ36" s="15"/>
      <c r="BR36" s="9"/>
      <c r="BS36" s="15"/>
      <c r="BT36" s="9"/>
      <c r="BU36" s="15"/>
      <c r="BV36" s="9"/>
      <c r="BW36" s="15"/>
      <c r="BX36" s="9"/>
      <c r="BY36" s="15"/>
      <c r="BZ36" s="9"/>
      <c r="CA36" s="15"/>
      <c r="CB36" s="9"/>
      <c r="CC36" s="15"/>
      <c r="CD36" s="9"/>
      <c r="CE36" s="15"/>
      <c r="CF36" s="9"/>
      <c r="CG36" s="15"/>
      <c r="CH36" s="9"/>
      <c r="CI36" s="15"/>
      <c r="CJ36" s="9"/>
      <c r="CK36" s="15"/>
      <c r="CL36" s="9"/>
      <c r="CM36" s="15"/>
      <c r="CN36" s="9"/>
      <c r="CO36" s="15"/>
      <c r="CP36" s="9"/>
      <c r="CQ36" s="15"/>
      <c r="CR36" s="9"/>
    </row>
    <row r="37" spans="1:96" x14ac:dyDescent="0.2">
      <c r="A37" s="41"/>
      <c r="B37" s="7"/>
      <c r="C37" s="26"/>
      <c r="D37" s="7"/>
      <c r="E37" s="26"/>
      <c r="F37" s="7"/>
      <c r="G37" s="26"/>
      <c r="H37" s="72"/>
      <c r="I37" s="24"/>
      <c r="J37" s="9"/>
      <c r="K37" s="26"/>
      <c r="L37" s="7"/>
      <c r="M37" s="26"/>
      <c r="N37" s="7"/>
      <c r="O37" s="26"/>
      <c r="P37" s="7"/>
      <c r="Q37" s="26"/>
      <c r="R37" s="7"/>
      <c r="S37" s="26"/>
      <c r="T37" s="9"/>
      <c r="U37" s="26"/>
      <c r="V37" s="7"/>
      <c r="W37" s="26"/>
      <c r="X37" s="7"/>
      <c r="Y37" s="26"/>
      <c r="Z37" s="26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>
        <v>3250</v>
      </c>
      <c r="AQ37" s="15" t="s">
        <v>15356</v>
      </c>
      <c r="AR37" s="7"/>
      <c r="AS37" s="26"/>
      <c r="AT37" s="7"/>
      <c r="AU37" s="26"/>
      <c r="AV37" s="7"/>
      <c r="AW37" s="88"/>
      <c r="AX37" s="7"/>
      <c r="AY37" s="26"/>
      <c r="AZ37" s="7"/>
      <c r="BA37" s="26"/>
      <c r="BB37" s="7"/>
      <c r="BC37" s="26"/>
      <c r="BD37" s="9"/>
      <c r="BE37" s="15"/>
      <c r="BF37" s="9"/>
      <c r="BG37" s="15"/>
      <c r="BH37" s="9"/>
      <c r="BI37" s="15"/>
      <c r="BJ37" s="9"/>
      <c r="BK37" s="15"/>
      <c r="BL37" s="9"/>
      <c r="BM37" s="15"/>
      <c r="BN37" s="9"/>
      <c r="BO37" s="15"/>
      <c r="BP37" s="9"/>
      <c r="BQ37" s="15"/>
      <c r="BR37" s="9"/>
      <c r="BS37" s="15"/>
      <c r="BT37" s="9"/>
      <c r="BU37" s="15"/>
      <c r="BV37" s="9"/>
      <c r="BW37" s="15"/>
      <c r="BX37" s="9"/>
      <c r="BY37" s="15"/>
      <c r="BZ37" s="9"/>
      <c r="CA37" s="15"/>
      <c r="CB37" s="9"/>
      <c r="CC37" s="15"/>
      <c r="CD37" s="9"/>
      <c r="CE37" s="15"/>
      <c r="CF37" s="9"/>
      <c r="CG37" s="15"/>
      <c r="CH37" s="9"/>
      <c r="CI37" s="15"/>
      <c r="CJ37" s="9"/>
      <c r="CK37" s="15"/>
      <c r="CL37" s="9"/>
      <c r="CM37" s="15"/>
      <c r="CN37" s="9"/>
      <c r="CO37" s="15"/>
      <c r="CP37" s="9"/>
      <c r="CQ37" s="15"/>
      <c r="CR37" s="9"/>
    </row>
    <row r="38" spans="1:96" x14ac:dyDescent="0.2">
      <c r="A38" s="41"/>
      <c r="B38" s="7"/>
      <c r="C38" s="26"/>
      <c r="D38" s="7"/>
      <c r="E38" s="26"/>
      <c r="F38" s="7"/>
      <c r="G38" s="26"/>
      <c r="H38" s="9"/>
      <c r="I38" s="15"/>
      <c r="J38" s="9"/>
      <c r="K38" s="26"/>
      <c r="L38" s="7"/>
      <c r="M38" s="26"/>
      <c r="N38" s="7"/>
      <c r="O38" s="26"/>
      <c r="P38" s="7"/>
      <c r="Q38" s="26"/>
      <c r="R38" s="7"/>
      <c r="S38" s="26"/>
      <c r="T38" s="9"/>
      <c r="U38" s="26"/>
      <c r="V38" s="7"/>
      <c r="W38" s="26"/>
      <c r="X38" s="7"/>
      <c r="Y38" s="26"/>
      <c r="Z38" s="26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>
        <v>200</v>
      </c>
      <c r="AQ38" s="26" t="s">
        <v>15355</v>
      </c>
      <c r="AR38" s="7"/>
      <c r="AS38" s="26"/>
      <c r="AT38" s="7"/>
      <c r="AU38" s="26"/>
      <c r="AV38" s="7"/>
      <c r="AW38" s="88"/>
      <c r="AX38" s="7"/>
      <c r="AY38" s="26"/>
      <c r="AZ38" s="7"/>
      <c r="BA38" s="26"/>
      <c r="BB38" s="7"/>
      <c r="BC38" s="26"/>
      <c r="BD38" s="9"/>
      <c r="BE38" s="15"/>
      <c r="BF38" s="9"/>
      <c r="BG38" s="15"/>
      <c r="BH38" s="9"/>
      <c r="BI38" s="15"/>
      <c r="BJ38" s="9"/>
      <c r="BK38" s="15"/>
      <c r="BL38" s="9"/>
      <c r="BM38" s="15"/>
      <c r="BN38" s="9"/>
      <c r="BO38" s="15"/>
      <c r="BP38" s="9"/>
      <c r="BQ38" s="15"/>
      <c r="BR38" s="9"/>
      <c r="BS38" s="15"/>
      <c r="BT38" s="9"/>
      <c r="BU38" s="15"/>
      <c r="BV38" s="9"/>
      <c r="BW38" s="15"/>
      <c r="BX38" s="9"/>
      <c r="BY38" s="15"/>
      <c r="BZ38" s="9"/>
      <c r="CA38" s="15"/>
      <c r="CB38" s="9"/>
      <c r="CC38" s="15"/>
      <c r="CD38" s="9"/>
      <c r="CE38" s="15"/>
      <c r="CF38" s="9"/>
      <c r="CG38" s="15"/>
      <c r="CH38" s="9"/>
      <c r="CI38" s="15"/>
      <c r="CJ38" s="9"/>
      <c r="CK38" s="15"/>
      <c r="CL38" s="9"/>
      <c r="CM38" s="15"/>
      <c r="CN38" s="9"/>
      <c r="CO38" s="15"/>
      <c r="CP38" s="9"/>
      <c r="CQ38" s="15"/>
      <c r="CR38" s="9"/>
    </row>
    <row r="39" spans="1:96" x14ac:dyDescent="0.2">
      <c r="A39" s="41"/>
      <c r="B39" s="7"/>
      <c r="C39" s="26"/>
      <c r="D39" s="7"/>
      <c r="E39" s="26"/>
      <c r="F39" s="7"/>
      <c r="G39" s="26"/>
      <c r="H39" s="9"/>
      <c r="I39" s="15"/>
      <c r="J39" s="9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26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>
        <v>1995</v>
      </c>
      <c r="AQ39" s="26" t="s">
        <v>15357</v>
      </c>
      <c r="AR39" s="7"/>
      <c r="AS39" s="26"/>
      <c r="AT39" s="7"/>
      <c r="AU39" s="26"/>
      <c r="AV39" s="7"/>
      <c r="AW39" s="88"/>
      <c r="AX39" s="7"/>
      <c r="AY39" s="26"/>
      <c r="AZ39" s="7"/>
      <c r="BA39" s="26"/>
      <c r="BB39" s="7"/>
      <c r="BC39" s="26"/>
      <c r="BD39" s="9"/>
      <c r="BE39" s="15"/>
      <c r="BF39" s="9"/>
      <c r="BG39" s="15"/>
      <c r="BH39" s="9"/>
      <c r="BI39" s="15"/>
      <c r="BJ39" s="9"/>
      <c r="BK39" s="15"/>
      <c r="BL39" s="9"/>
      <c r="BM39" s="15"/>
      <c r="BN39" s="9"/>
      <c r="BO39" s="15"/>
      <c r="BP39" s="9"/>
      <c r="BQ39" s="15"/>
      <c r="BR39" s="9"/>
      <c r="BS39" s="15"/>
      <c r="BT39" s="9"/>
      <c r="BU39" s="15"/>
      <c r="BV39" s="9"/>
      <c r="BW39" s="15"/>
      <c r="BX39" s="9"/>
      <c r="BY39" s="15"/>
      <c r="BZ39" s="9"/>
      <c r="CA39" s="15"/>
      <c r="CB39" s="9"/>
      <c r="CC39" s="15"/>
      <c r="CD39" s="9"/>
      <c r="CE39" s="15"/>
      <c r="CF39" s="9"/>
      <c r="CG39" s="15"/>
      <c r="CH39" s="9"/>
      <c r="CI39" s="15"/>
      <c r="CJ39" s="9"/>
      <c r="CK39" s="15"/>
      <c r="CL39" s="9"/>
      <c r="CM39" s="15"/>
      <c r="CN39" s="9"/>
      <c r="CO39" s="15"/>
      <c r="CP39" s="9"/>
      <c r="CQ39" s="15"/>
      <c r="CR39" s="9"/>
    </row>
    <row r="40" spans="1:96" x14ac:dyDescent="0.2">
      <c r="A40" s="41"/>
      <c r="B40" s="7"/>
      <c r="C40" s="26"/>
      <c r="D40" s="7"/>
      <c r="E40" s="26"/>
      <c r="F40" s="7"/>
      <c r="G40" s="26"/>
      <c r="H40" s="9"/>
      <c r="I40" s="15"/>
      <c r="J40" s="9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26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26"/>
      <c r="AQ40" s="26"/>
      <c r="AR40" s="7"/>
      <c r="AS40" s="26"/>
      <c r="AT40" s="7"/>
      <c r="AU40" s="26"/>
      <c r="AV40" s="7"/>
      <c r="AW40" s="88"/>
      <c r="AX40" s="7"/>
      <c r="AY40" s="26"/>
      <c r="AZ40" s="7"/>
      <c r="BA40" s="26"/>
      <c r="BB40" s="7"/>
      <c r="BC40" s="26"/>
      <c r="BD40" s="9"/>
      <c r="BE40" s="15"/>
      <c r="BF40" s="9"/>
      <c r="BG40" s="15"/>
      <c r="BH40" s="9"/>
      <c r="BI40" s="15"/>
      <c r="BJ40" s="9"/>
      <c r="BK40" s="15"/>
      <c r="BL40" s="9"/>
      <c r="BM40" s="15"/>
      <c r="BN40" s="9"/>
      <c r="BO40" s="15"/>
      <c r="BP40" s="9"/>
      <c r="BQ40" s="15"/>
      <c r="BR40" s="9"/>
      <c r="BS40" s="15"/>
      <c r="BT40" s="9"/>
      <c r="BU40" s="15"/>
      <c r="BV40" s="9"/>
      <c r="BW40" s="15"/>
      <c r="BX40" s="9"/>
      <c r="BY40" s="15"/>
      <c r="BZ40" s="9"/>
      <c r="CA40" s="15"/>
      <c r="CB40" s="9"/>
      <c r="CC40" s="15"/>
      <c r="CD40" s="9"/>
      <c r="CE40" s="15"/>
      <c r="CF40" s="9"/>
      <c r="CG40" s="15"/>
      <c r="CH40" s="9"/>
      <c r="CI40" s="15"/>
      <c r="CJ40" s="9"/>
      <c r="CK40" s="15"/>
      <c r="CL40" s="9"/>
      <c r="CM40" s="15"/>
      <c r="CN40" s="9"/>
      <c r="CO40" s="15"/>
      <c r="CP40" s="9"/>
      <c r="CQ40" s="15"/>
      <c r="CR40" s="9"/>
    </row>
    <row r="41" spans="1:96" x14ac:dyDescent="0.2">
      <c r="A41" s="41"/>
      <c r="B41" s="7"/>
      <c r="C41" s="26"/>
      <c r="D41" s="7"/>
      <c r="E41" s="26"/>
      <c r="F41" s="7"/>
      <c r="G41" s="26"/>
      <c r="H41" s="9"/>
      <c r="I41" s="15"/>
      <c r="J41" s="9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26"/>
      <c r="AA41" s="26"/>
      <c r="AB41" s="7"/>
      <c r="AC41" s="26"/>
      <c r="AD41" s="7"/>
      <c r="AE41" s="26"/>
      <c r="AF41" s="7"/>
      <c r="AG41" s="26"/>
      <c r="AH41" s="19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88"/>
      <c r="AX41" s="7"/>
      <c r="AY41" s="26"/>
      <c r="AZ41" s="7"/>
      <c r="BA41" s="26"/>
      <c r="BB41" s="7"/>
      <c r="BC41" s="26"/>
      <c r="BD41" s="9"/>
      <c r="BE41" s="15"/>
      <c r="BF41" s="9"/>
      <c r="BG41" s="15"/>
      <c r="BH41" s="9"/>
      <c r="BI41" s="15"/>
      <c r="BJ41" s="9"/>
      <c r="BK41" s="15"/>
      <c r="BL41" s="9"/>
      <c r="BM41" s="15"/>
      <c r="BN41" s="9"/>
      <c r="BO41" s="15"/>
      <c r="BP41" s="9"/>
      <c r="BQ41" s="15"/>
      <c r="BR41" s="9"/>
      <c r="BS41" s="15"/>
      <c r="BT41" s="9"/>
      <c r="BU41" s="15"/>
      <c r="BV41" s="9"/>
      <c r="BW41" s="15"/>
      <c r="BX41" s="9"/>
      <c r="BY41" s="15"/>
      <c r="BZ41" s="9"/>
      <c r="CA41" s="15"/>
      <c r="CB41" s="9"/>
      <c r="CC41" s="15"/>
      <c r="CD41" s="9"/>
      <c r="CE41" s="15"/>
      <c r="CF41" s="9"/>
      <c r="CG41" s="15"/>
      <c r="CH41" s="9"/>
      <c r="CI41" s="15"/>
      <c r="CJ41" s="9"/>
      <c r="CK41" s="15"/>
      <c r="CL41" s="9"/>
      <c r="CM41" s="15"/>
      <c r="CN41" s="9"/>
      <c r="CO41" s="15"/>
      <c r="CP41" s="9"/>
      <c r="CQ41" s="15"/>
      <c r="CR41" s="9"/>
    </row>
    <row r="42" spans="1:96" x14ac:dyDescent="0.2">
      <c r="A42" s="41"/>
      <c r="B42" s="7"/>
      <c r="C42" s="26"/>
      <c r="D42" s="7"/>
      <c r="E42" s="26"/>
      <c r="F42" s="7"/>
      <c r="G42" s="26"/>
      <c r="H42" s="9"/>
      <c r="I42" s="15"/>
      <c r="J42" s="9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26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88"/>
      <c r="AX42" s="7"/>
      <c r="AY42" s="26"/>
      <c r="AZ42" s="7"/>
      <c r="BA42" s="26"/>
      <c r="BB42" s="7"/>
      <c r="BC42" s="26"/>
      <c r="BD42" s="9"/>
      <c r="BE42" s="15"/>
      <c r="BF42" s="9"/>
      <c r="BG42" s="15"/>
      <c r="BH42" s="9"/>
      <c r="BI42" s="15"/>
      <c r="BJ42" s="9"/>
      <c r="BK42" s="15"/>
      <c r="BL42" s="9"/>
      <c r="BM42" s="15"/>
      <c r="BN42" s="9"/>
      <c r="BO42" s="15"/>
      <c r="BP42" s="9"/>
      <c r="BQ42" s="15"/>
      <c r="BR42" s="9"/>
      <c r="BS42" s="15"/>
      <c r="BT42" s="9"/>
      <c r="BU42" s="15"/>
      <c r="BV42" s="9"/>
      <c r="BW42" s="15"/>
      <c r="BX42" s="9"/>
      <c r="BY42" s="15"/>
      <c r="BZ42" s="9"/>
      <c r="CA42" s="15"/>
      <c r="CB42" s="9"/>
      <c r="CC42" s="15"/>
      <c r="CD42" s="9"/>
      <c r="CE42" s="15"/>
      <c r="CF42" s="9"/>
      <c r="CG42" s="15"/>
      <c r="CH42" s="9"/>
      <c r="CI42" s="15"/>
      <c r="CJ42" s="9"/>
      <c r="CK42" s="15"/>
      <c r="CL42" s="9"/>
      <c r="CM42" s="15"/>
      <c r="CN42" s="9"/>
      <c r="CO42" s="15"/>
      <c r="CP42" s="9"/>
      <c r="CQ42" s="15"/>
      <c r="CR42" s="9"/>
    </row>
    <row r="43" spans="1:96" x14ac:dyDescent="0.2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26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88"/>
      <c r="AX43" s="7"/>
      <c r="AY43" s="26"/>
      <c r="AZ43" s="7"/>
      <c r="BA43" s="26"/>
      <c r="BB43" s="7"/>
      <c r="BC43" s="26"/>
      <c r="BD43" s="9"/>
      <c r="BE43" s="15"/>
      <c r="BF43" s="9"/>
      <c r="BG43" s="15"/>
      <c r="BH43" s="9"/>
      <c r="BI43" s="15"/>
      <c r="BJ43" s="9"/>
      <c r="BK43" s="15"/>
      <c r="BL43" s="9"/>
      <c r="BM43" s="15"/>
      <c r="BN43" s="9"/>
      <c r="BO43" s="15"/>
      <c r="BP43" s="9"/>
      <c r="BQ43" s="15"/>
      <c r="BR43" s="9"/>
      <c r="BS43" s="15"/>
      <c r="BT43" s="9"/>
      <c r="BU43" s="15"/>
      <c r="BV43" s="9"/>
      <c r="BW43" s="15"/>
      <c r="BX43" s="9"/>
      <c r="BY43" s="15"/>
      <c r="BZ43" s="9"/>
      <c r="CA43" s="15"/>
      <c r="CB43" s="9"/>
      <c r="CC43" s="15"/>
      <c r="CD43" s="9"/>
      <c r="CE43" s="15"/>
      <c r="CF43" s="9"/>
      <c r="CG43" s="15"/>
      <c r="CH43" s="9"/>
      <c r="CI43" s="15"/>
      <c r="CJ43" s="9"/>
      <c r="CK43" s="15"/>
      <c r="CL43" s="9"/>
      <c r="CM43" s="15"/>
      <c r="CN43" s="9"/>
      <c r="CO43" s="15"/>
      <c r="CP43" s="9"/>
      <c r="CQ43" s="15"/>
      <c r="CR43" s="9"/>
    </row>
    <row r="44" spans="1:96" x14ac:dyDescent="0.2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26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88"/>
      <c r="AX44" s="7"/>
      <c r="AY44" s="26"/>
      <c r="AZ44" s="7"/>
      <c r="BA44" s="26"/>
      <c r="BB44" s="7"/>
      <c r="BC44" s="26"/>
      <c r="BD44" s="9"/>
      <c r="BE44" s="15"/>
      <c r="BF44" s="9"/>
      <c r="BG44" s="15"/>
      <c r="BH44" s="9"/>
      <c r="BI44" s="15"/>
      <c r="BJ44" s="9"/>
      <c r="BK44" s="15"/>
      <c r="BL44" s="9"/>
      <c r="BM44" s="15"/>
      <c r="BN44" s="9"/>
      <c r="BO44" s="15"/>
      <c r="BP44" s="9"/>
      <c r="BQ44" s="15"/>
      <c r="BR44" s="9"/>
      <c r="BS44" s="15"/>
      <c r="BT44" s="9"/>
      <c r="BU44" s="15"/>
      <c r="BV44" s="9"/>
      <c r="BW44" s="15"/>
      <c r="BX44" s="9"/>
      <c r="BY44" s="15"/>
      <c r="BZ44" s="9"/>
      <c r="CA44" s="15"/>
      <c r="CB44" s="9"/>
      <c r="CC44" s="15"/>
      <c r="CD44" s="9"/>
      <c r="CE44" s="15"/>
      <c r="CF44" s="9"/>
      <c r="CG44" s="15"/>
      <c r="CH44" s="9"/>
      <c r="CI44" s="15"/>
      <c r="CJ44" s="9"/>
      <c r="CK44" s="15"/>
      <c r="CL44" s="9"/>
      <c r="CM44" s="15"/>
      <c r="CN44" s="9"/>
      <c r="CO44" s="15"/>
      <c r="CP44" s="9"/>
      <c r="CQ44" s="15"/>
      <c r="CR44" s="9"/>
    </row>
    <row r="45" spans="1:96" x14ac:dyDescent="0.2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26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88"/>
      <c r="AX45" s="7"/>
      <c r="AY45" s="26"/>
      <c r="AZ45" s="7"/>
      <c r="BA45" s="26"/>
      <c r="BB45" s="7"/>
      <c r="BC45" s="26"/>
      <c r="BD45" s="9"/>
      <c r="BE45" s="15"/>
      <c r="BF45" s="9"/>
      <c r="BG45" s="15"/>
      <c r="BH45" s="9"/>
      <c r="BI45" s="15"/>
      <c r="BJ45" s="9"/>
      <c r="BK45" s="15"/>
      <c r="BL45" s="9"/>
      <c r="BM45" s="15"/>
      <c r="BN45" s="9"/>
      <c r="BO45" s="15"/>
      <c r="BP45" s="9"/>
      <c r="BQ45" s="15"/>
      <c r="BR45" s="9"/>
      <c r="BS45" s="15"/>
      <c r="BT45" s="9"/>
      <c r="BU45" s="15"/>
      <c r="BV45" s="9"/>
      <c r="BW45" s="15"/>
      <c r="BX45" s="9"/>
      <c r="BY45" s="15"/>
      <c r="BZ45" s="9"/>
      <c r="CA45" s="15"/>
      <c r="CB45" s="9"/>
      <c r="CC45" s="15"/>
      <c r="CD45" s="9"/>
      <c r="CE45" s="15"/>
      <c r="CF45" s="9"/>
      <c r="CG45" s="15"/>
      <c r="CH45" s="9"/>
      <c r="CI45" s="15"/>
      <c r="CJ45" s="9"/>
      <c r="CK45" s="15"/>
      <c r="CL45" s="9"/>
      <c r="CM45" s="15"/>
      <c r="CN45" s="9"/>
      <c r="CO45" s="15"/>
      <c r="CP45" s="9"/>
      <c r="CQ45" s="15"/>
      <c r="CR45" s="9"/>
    </row>
    <row r="46" spans="1:96" x14ac:dyDescent="0.2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26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88"/>
      <c r="AX46" s="7"/>
      <c r="AY46" s="26"/>
      <c r="AZ46" s="7"/>
      <c r="BA46" s="26"/>
      <c r="BB46" s="7"/>
      <c r="BC46" s="26"/>
      <c r="BD46" s="9"/>
      <c r="BE46" s="15"/>
      <c r="BF46" s="9"/>
      <c r="BG46" s="15"/>
      <c r="BH46" s="9"/>
      <c r="BI46" s="15"/>
      <c r="BJ46" s="9"/>
      <c r="BK46" s="15"/>
      <c r="BL46" s="9"/>
      <c r="BM46" s="15"/>
      <c r="BN46" s="9"/>
      <c r="BO46" s="15"/>
      <c r="BP46" s="9"/>
      <c r="BQ46" s="15"/>
      <c r="BR46" s="9"/>
      <c r="BS46" s="15"/>
      <c r="BT46" s="9"/>
      <c r="BU46" s="15"/>
      <c r="BV46" s="9"/>
      <c r="BW46" s="15"/>
      <c r="BX46" s="9"/>
      <c r="BY46" s="15"/>
      <c r="BZ46" s="9"/>
      <c r="CA46" s="15"/>
      <c r="CB46" s="9"/>
      <c r="CC46" s="15"/>
      <c r="CD46" s="9"/>
      <c r="CE46" s="15"/>
      <c r="CF46" s="9"/>
      <c r="CG46" s="15"/>
      <c r="CH46" s="9"/>
      <c r="CI46" s="15"/>
      <c r="CJ46" s="9"/>
      <c r="CK46" s="15"/>
      <c r="CL46" s="9"/>
      <c r="CM46" s="15"/>
      <c r="CN46" s="9"/>
      <c r="CO46" s="15"/>
      <c r="CP46" s="9"/>
      <c r="CQ46" s="15"/>
      <c r="CR46" s="9"/>
    </row>
    <row r="47" spans="1:96" x14ac:dyDescent="0.2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26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88"/>
      <c r="AX47" s="7"/>
      <c r="AY47" s="26"/>
      <c r="AZ47" s="7"/>
      <c r="BA47" s="26"/>
      <c r="BB47" s="7"/>
      <c r="BC47" s="26"/>
      <c r="BD47" s="9"/>
      <c r="BE47" s="15"/>
      <c r="BF47" s="9"/>
      <c r="BG47" s="15"/>
      <c r="BH47" s="9"/>
      <c r="BI47" s="15"/>
      <c r="BJ47" s="9"/>
      <c r="BK47" s="15"/>
      <c r="BL47" s="9"/>
      <c r="BM47" s="15"/>
      <c r="BN47" s="9"/>
      <c r="BO47" s="15"/>
      <c r="BP47" s="9"/>
      <c r="BQ47" s="15"/>
      <c r="BR47" s="9"/>
      <c r="BS47" s="15"/>
      <c r="BT47" s="9"/>
      <c r="BU47" s="15"/>
      <c r="BV47" s="9"/>
      <c r="BW47" s="15"/>
      <c r="BX47" s="9"/>
      <c r="BY47" s="15"/>
      <c r="BZ47" s="9"/>
      <c r="CA47" s="15"/>
      <c r="CB47" s="9"/>
      <c r="CC47" s="15"/>
      <c r="CD47" s="9"/>
      <c r="CE47" s="15"/>
      <c r="CF47" s="9"/>
      <c r="CG47" s="15"/>
      <c r="CH47" s="9"/>
      <c r="CI47" s="15"/>
      <c r="CJ47" s="9"/>
      <c r="CK47" s="15"/>
      <c r="CL47" s="9"/>
      <c r="CM47" s="15"/>
      <c r="CN47" s="9"/>
      <c r="CO47" s="15"/>
      <c r="CP47" s="9"/>
      <c r="CQ47" s="15"/>
      <c r="CR47" s="9"/>
    </row>
    <row r="48" spans="1:96" x14ac:dyDescent="0.2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26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88"/>
      <c r="AX48" s="7"/>
      <c r="AY48" s="26"/>
      <c r="AZ48" s="7"/>
      <c r="BA48" s="26"/>
      <c r="BB48" s="7"/>
      <c r="BC48" s="26"/>
      <c r="BD48" s="9"/>
      <c r="BE48" s="15"/>
      <c r="BF48" s="9"/>
      <c r="BG48" s="15"/>
      <c r="BH48" s="9"/>
      <c r="BI48" s="15"/>
      <c r="BJ48" s="9"/>
      <c r="BK48" s="15"/>
      <c r="BL48" s="9"/>
      <c r="BM48" s="15"/>
      <c r="BN48" s="9"/>
      <c r="BO48" s="15"/>
      <c r="BP48" s="9"/>
      <c r="BQ48" s="15"/>
      <c r="BR48" s="9"/>
      <c r="BS48" s="15"/>
      <c r="BT48" s="9"/>
      <c r="BU48" s="15"/>
      <c r="BV48" s="9"/>
      <c r="BW48" s="15"/>
      <c r="BX48" s="9"/>
      <c r="BY48" s="15"/>
      <c r="BZ48" s="9"/>
      <c r="CA48" s="15"/>
      <c r="CB48" s="9"/>
      <c r="CC48" s="15"/>
      <c r="CD48" s="9"/>
      <c r="CE48" s="15"/>
      <c r="CF48" s="9"/>
      <c r="CG48" s="15"/>
      <c r="CH48" s="9"/>
      <c r="CI48" s="15"/>
      <c r="CJ48" s="9"/>
      <c r="CK48" s="15"/>
      <c r="CL48" s="9"/>
      <c r="CM48" s="15"/>
      <c r="CN48" s="9"/>
      <c r="CO48" s="15"/>
      <c r="CP48" s="9"/>
      <c r="CQ48" s="15"/>
      <c r="CR48" s="9"/>
    </row>
    <row r="49" spans="1:99" x14ac:dyDescent="0.2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26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88"/>
      <c r="AX49" s="7"/>
      <c r="AY49" s="26"/>
      <c r="AZ49" s="7"/>
      <c r="BA49" s="26"/>
      <c r="BB49" s="7"/>
      <c r="BC49" s="26"/>
      <c r="BD49" s="9"/>
      <c r="BE49" s="15"/>
      <c r="BF49" s="9"/>
      <c r="BG49" s="15"/>
      <c r="BH49" s="9"/>
      <c r="BI49" s="15"/>
      <c r="BJ49" s="9"/>
      <c r="BK49" s="15"/>
      <c r="BL49" s="9"/>
      <c r="BM49" s="15"/>
      <c r="BN49" s="9"/>
      <c r="BO49" s="15"/>
      <c r="BP49" s="9"/>
      <c r="BQ49" s="15"/>
      <c r="BR49" s="9"/>
      <c r="BS49" s="15"/>
      <c r="BT49" s="9"/>
      <c r="BU49" s="15"/>
      <c r="BV49" s="9"/>
      <c r="BW49" s="15"/>
      <c r="BX49" s="9"/>
      <c r="BY49" s="15"/>
      <c r="BZ49" s="9"/>
      <c r="CA49" s="15"/>
      <c r="CB49" s="9"/>
      <c r="CC49" s="15"/>
      <c r="CD49" s="9"/>
      <c r="CE49" s="15"/>
      <c r="CF49" s="9"/>
      <c r="CG49" s="15"/>
      <c r="CH49" s="9"/>
      <c r="CI49" s="15"/>
      <c r="CJ49" s="9"/>
      <c r="CK49" s="15"/>
      <c r="CL49" s="9"/>
      <c r="CM49" s="15"/>
      <c r="CN49" s="9"/>
      <c r="CO49" s="15"/>
      <c r="CP49" s="9"/>
      <c r="CQ49" s="15"/>
      <c r="CR49" s="9"/>
    </row>
    <row r="50" spans="1:99" x14ac:dyDescent="0.2">
      <c r="A50" s="41"/>
      <c r="B50" s="7"/>
      <c r="C50" s="26"/>
      <c r="D50" s="7"/>
      <c r="E50" s="26"/>
      <c r="F50" s="7"/>
      <c r="G50" s="26"/>
      <c r="H50" s="7"/>
      <c r="I50" s="26"/>
      <c r="J50" s="9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26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88"/>
      <c r="AX50" s="7"/>
      <c r="AY50" s="26"/>
      <c r="AZ50" s="7"/>
      <c r="BA50" s="26"/>
      <c r="BB50" s="7"/>
      <c r="BC50" s="26"/>
      <c r="BD50" s="9"/>
      <c r="BE50" s="15"/>
      <c r="BF50" s="9"/>
      <c r="BG50" s="15"/>
      <c r="BH50" s="9"/>
      <c r="BI50" s="15"/>
      <c r="BJ50" s="9"/>
      <c r="BK50" s="15"/>
      <c r="BL50" s="9"/>
      <c r="BM50" s="15"/>
      <c r="BN50" s="9"/>
      <c r="BO50" s="15"/>
      <c r="BP50" s="9"/>
      <c r="BQ50" s="15"/>
      <c r="BR50" s="9"/>
      <c r="BS50" s="15"/>
      <c r="BT50" s="9"/>
      <c r="BU50" s="15"/>
      <c r="BV50" s="9"/>
      <c r="BW50" s="15"/>
      <c r="BX50" s="9"/>
      <c r="BY50" s="15"/>
      <c r="BZ50" s="9"/>
      <c r="CA50" s="15"/>
      <c r="CB50" s="9"/>
      <c r="CC50" s="15"/>
      <c r="CD50" s="9"/>
      <c r="CE50" s="15"/>
      <c r="CF50" s="9"/>
      <c r="CG50" s="15"/>
      <c r="CH50" s="9"/>
      <c r="CI50" s="15"/>
      <c r="CJ50" s="9"/>
      <c r="CK50" s="15"/>
      <c r="CL50" s="9"/>
      <c r="CM50" s="15"/>
      <c r="CN50" s="9"/>
      <c r="CO50" s="15"/>
      <c r="CP50" s="9"/>
      <c r="CQ50" s="15"/>
      <c r="CR50" s="9"/>
    </row>
    <row r="51" spans="1:99" x14ac:dyDescent="0.2">
      <c r="A51" s="39" t="s">
        <v>1</v>
      </c>
      <c r="B51" s="7">
        <f>+B3+B4</f>
        <v>89207.67</v>
      </c>
      <c r="C51" s="26"/>
      <c r="D51" s="7">
        <f>+D3+D4</f>
        <v>276719.55</v>
      </c>
      <c r="E51" s="26"/>
      <c r="F51" s="7">
        <f>+F3+F4</f>
        <v>1000</v>
      </c>
      <c r="G51" s="26"/>
      <c r="H51" s="7">
        <f>+H3+H4</f>
        <v>175883.33</v>
      </c>
      <c r="I51" s="26"/>
      <c r="J51" s="7">
        <f>+J3+J4</f>
        <v>318931.77</v>
      </c>
      <c r="K51" s="26"/>
      <c r="L51" s="7">
        <f>+L3+L4</f>
        <v>332914.65000000002</v>
      </c>
      <c r="M51" s="26"/>
      <c r="N51" s="7">
        <f>+N3+N4</f>
        <v>149950.19</v>
      </c>
      <c r="O51" s="26"/>
      <c r="P51" s="7">
        <f>+P3+P4</f>
        <v>369060.79000000004</v>
      </c>
      <c r="Q51" s="26"/>
      <c r="R51" s="7">
        <f>+R3+R4</f>
        <v>90149.119999999995</v>
      </c>
      <c r="S51" s="26"/>
      <c r="T51" s="7">
        <f>+T3+T4</f>
        <v>179278.75</v>
      </c>
      <c r="U51" s="26"/>
      <c r="V51" s="7">
        <f>+V3+V4</f>
        <v>154099.01</v>
      </c>
      <c r="W51" s="26"/>
      <c r="X51" s="7">
        <f>+X3+X4</f>
        <v>202842.39</v>
      </c>
      <c r="Y51" s="26"/>
      <c r="Z51" s="7">
        <f>+Z3+Z4</f>
        <v>183430.03</v>
      </c>
      <c r="AA51" s="26"/>
      <c r="AB51" s="7">
        <f>+AB3+AB4</f>
        <v>291903.37</v>
      </c>
      <c r="AC51" s="7"/>
      <c r="AD51" s="7">
        <f t="shared" ref="AD51" si="0">+AD3+AD4</f>
        <v>47209.89</v>
      </c>
      <c r="AE51" s="7"/>
      <c r="AF51" s="7">
        <f t="shared" ref="AF51:AH51" si="1">+AF3+AF4</f>
        <v>121500</v>
      </c>
      <c r="AG51" s="7"/>
      <c r="AH51" s="7">
        <f t="shared" si="1"/>
        <v>304403.57999999996</v>
      </c>
      <c r="AI51" s="7"/>
      <c r="AJ51" s="7">
        <f t="shared" ref="AJ51:AL51" si="2">+AJ3+AJ4</f>
        <v>251226.90000000002</v>
      </c>
      <c r="AK51" s="7"/>
      <c r="AL51" s="7">
        <f t="shared" si="2"/>
        <v>106748.08</v>
      </c>
      <c r="AM51" s="7"/>
      <c r="AN51" s="7">
        <f t="shared" ref="AN51:BB51" si="3">+AN3+AN4</f>
        <v>129723.44</v>
      </c>
      <c r="AO51" s="7"/>
      <c r="AP51" s="7">
        <f t="shared" si="3"/>
        <v>224061.49000000002</v>
      </c>
      <c r="AQ51" s="7"/>
      <c r="AR51" s="7">
        <f t="shared" si="3"/>
        <v>215112.76</v>
      </c>
      <c r="AS51" s="7"/>
      <c r="AT51" s="7">
        <f t="shared" si="3"/>
        <v>91728.2</v>
      </c>
      <c r="AU51" s="7"/>
      <c r="AV51" s="7">
        <f t="shared" si="3"/>
        <v>37991.520000000004</v>
      </c>
      <c r="AW51" s="322"/>
      <c r="AX51" s="7">
        <f t="shared" si="3"/>
        <v>367227.04</v>
      </c>
      <c r="AY51" s="7"/>
      <c r="AZ51" s="7">
        <f t="shared" si="3"/>
        <v>371660.31</v>
      </c>
      <c r="BA51" s="7"/>
      <c r="BB51" s="7">
        <f t="shared" si="3"/>
        <v>17695.86</v>
      </c>
      <c r="BC51" s="7"/>
      <c r="BD51" s="9"/>
      <c r="BE51" s="9"/>
      <c r="BF51" s="9"/>
      <c r="BG51" s="9"/>
      <c r="BH51" s="15"/>
      <c r="BI51" s="9"/>
      <c r="BJ51" s="15"/>
      <c r="BK51" s="9"/>
      <c r="BL51" s="15"/>
      <c r="BM51" s="9"/>
      <c r="BN51" s="15"/>
      <c r="BO51" s="9"/>
      <c r="BP51" s="15"/>
      <c r="BQ51" s="9"/>
      <c r="BR51" s="15"/>
      <c r="BS51" s="9"/>
      <c r="BT51" s="15"/>
      <c r="BU51" s="9"/>
      <c r="BV51" s="15"/>
      <c r="BW51" s="9"/>
      <c r="BX51" s="15"/>
      <c r="BY51" s="9"/>
      <c r="BZ51" s="15"/>
      <c r="CA51" s="9"/>
      <c r="CB51" s="15"/>
      <c r="CC51" s="9"/>
      <c r="CD51" s="15"/>
      <c r="CE51" s="9"/>
      <c r="CF51" s="15"/>
      <c r="CG51" s="9"/>
      <c r="CH51" s="15"/>
      <c r="CI51" s="9"/>
      <c r="CJ51" s="15"/>
      <c r="CK51" s="66"/>
      <c r="CL51" s="60"/>
      <c r="CM51" s="66"/>
      <c r="CN51" s="60"/>
      <c r="CO51" s="66"/>
      <c r="CP51" s="60"/>
      <c r="CQ51" s="66"/>
      <c r="CR51" s="60"/>
      <c r="CS51" s="66"/>
      <c r="CT51" s="60"/>
      <c r="CU51" s="66"/>
    </row>
    <row r="52" spans="1:99" x14ac:dyDescent="0.2">
      <c r="A52" s="39" t="s">
        <v>2</v>
      </c>
      <c r="B52" s="26">
        <f>+SUM(B6:B49)</f>
        <v>89207.669999999984</v>
      </c>
      <c r="C52" s="26"/>
      <c r="D52" s="26">
        <f>+SUM(D6:D49)</f>
        <v>276720.34999999998</v>
      </c>
      <c r="E52" s="26"/>
      <c r="F52" s="26">
        <f>+SUM(F6:F49)</f>
        <v>1000</v>
      </c>
      <c r="G52" s="26"/>
      <c r="H52" s="26">
        <f>+SUM(H6:H49)</f>
        <v>175883.348</v>
      </c>
      <c r="I52" s="26"/>
      <c r="J52" s="26">
        <f>+SUM(J6:J49)</f>
        <v>318931.63999999996</v>
      </c>
      <c r="K52" s="26"/>
      <c r="L52" s="26">
        <f>+SUM(L6:L49)</f>
        <v>332914.66999999993</v>
      </c>
      <c r="M52" s="26"/>
      <c r="N52" s="26">
        <f>+SUM(N6:N49)</f>
        <v>149950.19999999998</v>
      </c>
      <c r="O52" s="26"/>
      <c r="P52" s="26">
        <f>+SUM(P6:P49)</f>
        <v>369060.79</v>
      </c>
      <c r="Q52" s="26"/>
      <c r="R52" s="26">
        <f>+SUM(R6:R49)</f>
        <v>90149.119999999981</v>
      </c>
      <c r="S52" s="26"/>
      <c r="T52" s="26">
        <f>+SUM(T6:T49)</f>
        <v>179278.56000000003</v>
      </c>
      <c r="U52" s="26"/>
      <c r="V52" s="26">
        <f>+SUM(V6:V49)</f>
        <v>154099.01</v>
      </c>
      <c r="W52" s="26"/>
      <c r="X52" s="26">
        <f>+SUM(X6:X49)</f>
        <v>202842.39</v>
      </c>
      <c r="Y52" s="26"/>
      <c r="Z52" s="26">
        <f>+SUM(Z6:Z49)</f>
        <v>183430.03000000006</v>
      </c>
      <c r="AA52" s="26"/>
      <c r="AB52" s="26">
        <f>+SUM(AB6:AB49)</f>
        <v>291903.37</v>
      </c>
      <c r="AC52" s="26"/>
      <c r="AD52" s="26">
        <f t="shared" ref="AD52" si="4">+SUM(AD6:AD49)</f>
        <v>47209.890000000007</v>
      </c>
      <c r="AE52" s="26"/>
      <c r="AF52" s="26">
        <f t="shared" ref="AF52:AH52" si="5">+SUM(AF6:AF49)</f>
        <v>121500</v>
      </c>
      <c r="AG52" s="26"/>
      <c r="AH52" s="26">
        <f t="shared" si="5"/>
        <v>304403.58</v>
      </c>
      <c r="AI52" s="26"/>
      <c r="AJ52" s="26">
        <f t="shared" ref="AJ52:AL52" si="6">+SUM(AJ6:AJ49)</f>
        <v>251226.90000000002</v>
      </c>
      <c r="AK52" s="26"/>
      <c r="AL52" s="26">
        <f t="shared" si="6"/>
        <v>106748.08</v>
      </c>
      <c r="AM52" s="26"/>
      <c r="AN52" s="26">
        <f t="shared" ref="AN52:BB52" si="7">+SUM(AN6:AN49)</f>
        <v>129723.43999999997</v>
      </c>
      <c r="AO52" s="26"/>
      <c r="AP52" s="26">
        <f t="shared" si="7"/>
        <v>224061.49</v>
      </c>
      <c r="AQ52" s="26"/>
      <c r="AR52" s="26">
        <f t="shared" si="7"/>
        <v>215112.75999999998</v>
      </c>
      <c r="AS52" s="26"/>
      <c r="AT52" s="26">
        <f t="shared" si="7"/>
        <v>91728.200000000012</v>
      </c>
      <c r="AU52" s="26"/>
      <c r="AV52" s="26">
        <f t="shared" si="7"/>
        <v>37991.519999999997</v>
      </c>
      <c r="AW52" s="88"/>
      <c r="AX52" s="26">
        <f t="shared" si="7"/>
        <v>367227.04</v>
      </c>
      <c r="AY52" s="26"/>
      <c r="AZ52" s="26">
        <f t="shared" si="7"/>
        <v>371660.31</v>
      </c>
      <c r="BA52" s="26"/>
      <c r="BB52" s="26">
        <f t="shared" si="7"/>
        <v>17695.86</v>
      </c>
      <c r="BC52" s="26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</row>
    <row r="53" spans="1:99" x14ac:dyDescent="0.2">
      <c r="A53" s="39" t="s">
        <v>3</v>
      </c>
      <c r="B53" s="117">
        <f>+B51-B52</f>
        <v>0</v>
      </c>
      <c r="C53" s="117"/>
      <c r="D53" s="117">
        <f>+D51-D52</f>
        <v>-0.79999999998835847</v>
      </c>
      <c r="E53" s="117"/>
      <c r="F53" s="117">
        <f>+F51-F52</f>
        <v>0</v>
      </c>
      <c r="G53" s="117"/>
      <c r="H53" s="117">
        <f>+H51-H52</f>
        <v>-1.800000001094304E-2</v>
      </c>
      <c r="I53" s="117"/>
      <c r="J53" s="117">
        <f>+J51-J52</f>
        <v>0.13000000006286427</v>
      </c>
      <c r="K53" s="117"/>
      <c r="L53" s="117">
        <f>+L51-L52</f>
        <v>-1.999999990221113E-2</v>
      </c>
      <c r="M53" s="117"/>
      <c r="N53" s="117">
        <f>+N51-N52</f>
        <v>-9.9999999802093953E-3</v>
      </c>
      <c r="O53" s="117"/>
      <c r="P53" s="117">
        <f>+P51-P52</f>
        <v>0</v>
      </c>
      <c r="Q53" s="117"/>
      <c r="R53" s="117">
        <f>+R51-R52</f>
        <v>0</v>
      </c>
      <c r="S53" s="117"/>
      <c r="T53" s="117">
        <f>+T51-T52</f>
        <v>0.18999999997322448</v>
      </c>
      <c r="U53" s="117"/>
      <c r="V53" s="117">
        <f>+V51-V52</f>
        <v>0</v>
      </c>
      <c r="W53" s="117"/>
      <c r="X53" s="117">
        <f>+X51-X52</f>
        <v>0</v>
      </c>
      <c r="Y53" s="117"/>
      <c r="Z53" s="117">
        <f>+Z51-Z52</f>
        <v>0</v>
      </c>
      <c r="AA53" s="117"/>
      <c r="AB53" s="117">
        <f>+AB51-AB52</f>
        <v>0</v>
      </c>
      <c r="AC53" s="117"/>
      <c r="AD53" s="117">
        <f t="shared" ref="AD53" si="8">+AD51-AD52</f>
        <v>0</v>
      </c>
      <c r="AE53" s="117"/>
      <c r="AF53" s="117">
        <f t="shared" ref="AF53:AH53" si="9">+AF51-AF52</f>
        <v>0</v>
      </c>
      <c r="AG53" s="117"/>
      <c r="AH53" s="117">
        <f t="shared" si="9"/>
        <v>0</v>
      </c>
      <c r="AI53" s="117"/>
      <c r="AJ53" s="117">
        <f t="shared" ref="AJ53:AL53" si="10">+AJ51-AJ52</f>
        <v>0</v>
      </c>
      <c r="AK53" s="117"/>
      <c r="AL53" s="117">
        <f t="shared" si="10"/>
        <v>0</v>
      </c>
      <c r="AM53" s="117"/>
      <c r="AN53" s="117">
        <f t="shared" ref="AN53:BB53" si="11">+AN51-AN52</f>
        <v>0</v>
      </c>
      <c r="AO53" s="117"/>
      <c r="AP53" s="117">
        <f t="shared" si="11"/>
        <v>0</v>
      </c>
      <c r="AQ53" s="117"/>
      <c r="AR53" s="117">
        <f t="shared" si="11"/>
        <v>0</v>
      </c>
      <c r="AS53" s="117"/>
      <c r="AT53" s="117">
        <f t="shared" si="11"/>
        <v>0</v>
      </c>
      <c r="AU53" s="117"/>
      <c r="AV53" s="117">
        <f t="shared" si="11"/>
        <v>0</v>
      </c>
      <c r="AW53" s="323"/>
      <c r="AX53" s="117">
        <f t="shared" si="11"/>
        <v>0</v>
      </c>
      <c r="AY53" s="117"/>
      <c r="AZ53" s="117">
        <f t="shared" si="11"/>
        <v>0</v>
      </c>
      <c r="BA53" s="117"/>
      <c r="BB53" s="117">
        <f t="shared" si="11"/>
        <v>0</v>
      </c>
      <c r="BC53" s="117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</row>
    <row r="54" spans="1:99" x14ac:dyDescent="0.2">
      <c r="A54" s="48"/>
      <c r="B54" s="18"/>
      <c r="C54" s="59"/>
      <c r="D54" s="18"/>
      <c r="E54" s="59"/>
      <c r="F54" s="18"/>
      <c r="G54" s="59"/>
      <c r="H54" s="18"/>
      <c r="I54" s="59"/>
      <c r="J54" s="75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59"/>
      <c r="AA54" s="59"/>
      <c r="AB54" s="18"/>
      <c r="AC54" s="59"/>
      <c r="AD54" s="18"/>
      <c r="AE54" s="59"/>
      <c r="AF54" s="18"/>
      <c r="AG54" s="59"/>
      <c r="AH54" s="18"/>
      <c r="AI54" s="59"/>
      <c r="AJ54" s="18"/>
      <c r="AK54" s="59"/>
      <c r="AL54" s="117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319"/>
      <c r="AX54" s="18"/>
      <c r="AY54" s="59"/>
      <c r="AZ54" s="18"/>
      <c r="BA54" s="59"/>
      <c r="BB54" s="18"/>
      <c r="BC54" s="59"/>
      <c r="BD54" s="75"/>
      <c r="BE54" s="25"/>
      <c r="BF54" s="75"/>
      <c r="BG54" s="25"/>
      <c r="BH54" s="75"/>
      <c r="BI54" s="25"/>
      <c r="BJ54" s="75"/>
      <c r="BK54" s="25"/>
      <c r="BL54" s="75"/>
      <c r="BM54" s="25"/>
      <c r="BN54" s="75"/>
      <c r="BO54" s="25"/>
      <c r="BP54" s="75"/>
      <c r="BQ54" s="25"/>
      <c r="BR54" s="75"/>
      <c r="BS54" s="25"/>
      <c r="BT54" s="75"/>
      <c r="BU54" s="25"/>
      <c r="BV54" s="75"/>
      <c r="BW54" s="25"/>
      <c r="BX54" s="75"/>
      <c r="BY54" s="25"/>
      <c r="BZ54" s="75"/>
      <c r="CA54" s="25"/>
      <c r="CB54" s="75"/>
      <c r="CC54" s="25"/>
      <c r="CD54" s="75"/>
      <c r="CE54" s="25"/>
      <c r="CF54" s="75"/>
      <c r="CG54" s="25"/>
      <c r="CI54" s="234"/>
      <c r="CK54" s="234"/>
      <c r="CM54" s="234"/>
      <c r="CO54" s="234"/>
      <c r="CQ54" s="234"/>
    </row>
    <row r="55" spans="1:99" x14ac:dyDescent="0.2">
      <c r="A55" s="48"/>
      <c r="B55" s="163"/>
      <c r="C55" s="59"/>
      <c r="D55" s="163"/>
      <c r="E55" s="59"/>
      <c r="F55" s="163"/>
      <c r="G55" s="59"/>
      <c r="H55" s="163"/>
      <c r="I55" s="59"/>
      <c r="J55" s="235"/>
      <c r="K55" s="59"/>
      <c r="L55" s="163"/>
      <c r="M55" s="59"/>
      <c r="N55" s="163"/>
      <c r="O55" s="59"/>
      <c r="P55" s="163"/>
      <c r="Q55" s="59"/>
      <c r="R55" s="18"/>
      <c r="S55" s="59"/>
      <c r="T55" s="141"/>
      <c r="U55" s="59"/>
      <c r="V55" s="141"/>
      <c r="W55" s="59"/>
      <c r="X55" s="141"/>
      <c r="Y55" s="59"/>
      <c r="Z55" s="59"/>
      <c r="AA55" s="59"/>
      <c r="AB55" s="163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319"/>
      <c r="AX55" s="18"/>
      <c r="AY55" s="59"/>
      <c r="AZ55" s="18"/>
      <c r="BA55" s="59"/>
      <c r="BB55" s="18"/>
      <c r="BC55" s="59"/>
      <c r="BD55" s="75"/>
      <c r="BE55" s="25"/>
      <c r="BF55" s="75"/>
      <c r="BG55" s="25"/>
      <c r="BH55" s="75"/>
      <c r="BI55" s="25"/>
      <c r="BJ55" s="75"/>
      <c r="BK55" s="25"/>
      <c r="BL55" s="75"/>
      <c r="BM55" s="25"/>
      <c r="BN55" s="75"/>
      <c r="BO55" s="25"/>
      <c r="BP55" s="75"/>
      <c r="BQ55" s="25"/>
      <c r="BR55" s="75"/>
      <c r="BS55" s="25"/>
      <c r="BT55" s="75"/>
      <c r="BU55" s="25"/>
      <c r="BV55" s="75"/>
      <c r="BW55" s="25"/>
      <c r="BX55" s="75"/>
      <c r="BY55" s="25"/>
      <c r="BZ55" s="75"/>
      <c r="CA55" s="25"/>
      <c r="CB55" s="75"/>
      <c r="CC55" s="25"/>
      <c r="CD55" s="75"/>
      <c r="CE55" s="25"/>
      <c r="CF55" s="75"/>
      <c r="CG55" s="25"/>
      <c r="CI55" s="234"/>
      <c r="CK55" s="234"/>
      <c r="CM55" s="234"/>
      <c r="CO55" s="234"/>
      <c r="CQ55" s="234"/>
    </row>
    <row r="56" spans="1:99" x14ac:dyDescent="0.2">
      <c r="A56" s="43"/>
      <c r="B56" s="278"/>
      <c r="C56" s="12"/>
      <c r="D56" s="278"/>
      <c r="E56" s="12"/>
      <c r="F56" s="278"/>
      <c r="G56" s="12"/>
      <c r="H56" s="278"/>
      <c r="I56" s="12"/>
      <c r="J56" s="286"/>
      <c r="K56" s="12"/>
      <c r="L56" s="278"/>
      <c r="M56" s="12"/>
      <c r="N56" s="278"/>
      <c r="O56" s="12"/>
      <c r="P56" s="278"/>
      <c r="Q56" s="12"/>
      <c r="R56" s="278"/>
      <c r="S56" s="12"/>
      <c r="T56" s="278"/>
      <c r="U56" s="12"/>
      <c r="V56" s="278"/>
      <c r="W56" s="12"/>
      <c r="X56" s="278"/>
      <c r="Y56" s="12"/>
      <c r="Z56" s="282"/>
      <c r="AA56" s="12"/>
      <c r="AB56" s="278"/>
      <c r="AC56" s="12"/>
      <c r="AD56" s="278"/>
      <c r="AE56" s="12"/>
      <c r="AF56" s="278"/>
      <c r="AG56" s="12"/>
      <c r="AH56" s="278"/>
      <c r="AI56" s="12"/>
      <c r="AJ56" s="278"/>
      <c r="AK56" s="12"/>
      <c r="AL56" s="278"/>
      <c r="AM56" s="12"/>
      <c r="AN56" s="278"/>
      <c r="AO56" s="12"/>
      <c r="AP56" s="278"/>
      <c r="AQ56" s="12"/>
      <c r="AR56" s="278"/>
      <c r="AS56" s="12"/>
      <c r="AT56" s="278"/>
      <c r="AU56" s="12"/>
      <c r="AV56" s="278"/>
      <c r="AW56" s="321"/>
      <c r="AX56" s="278"/>
      <c r="AY56" s="12"/>
      <c r="AZ56" s="278"/>
      <c r="BA56" s="12"/>
      <c r="BB56" s="278"/>
      <c r="BC56" s="12"/>
      <c r="BD56" s="286"/>
      <c r="BE56" s="13"/>
      <c r="BF56" s="286"/>
      <c r="BG56" s="13"/>
      <c r="BH56" s="11"/>
      <c r="BI56" s="13"/>
      <c r="BJ56" s="11"/>
      <c r="BK56" s="13"/>
      <c r="BL56" s="11"/>
      <c r="BM56" s="13"/>
      <c r="BN56" s="11"/>
      <c r="BO56" s="13"/>
      <c r="BP56" s="11"/>
      <c r="BQ56" s="13"/>
      <c r="BR56" s="11"/>
      <c r="BS56" s="13"/>
      <c r="BT56" s="11"/>
      <c r="BU56" s="13"/>
      <c r="BV56" s="11"/>
      <c r="BW56" s="13"/>
      <c r="BX56" s="11"/>
      <c r="BY56" s="13"/>
      <c r="BZ56" s="11"/>
      <c r="CA56" s="13"/>
      <c r="CB56" s="11"/>
      <c r="CC56" s="13"/>
      <c r="CD56" s="11"/>
      <c r="CE56" s="13"/>
      <c r="CF56" s="11"/>
      <c r="CG56" s="13"/>
      <c r="CH56" s="11"/>
      <c r="CI56" s="13"/>
      <c r="CJ56" s="11"/>
      <c r="CK56" s="13"/>
      <c r="CL56" s="11"/>
      <c r="CM56" s="13"/>
      <c r="CN56" s="11"/>
      <c r="CO56" s="13"/>
      <c r="CP56" s="11"/>
      <c r="CQ56" s="13"/>
      <c r="CR56" s="11"/>
    </row>
    <row r="57" spans="1:99" s="76" customFormat="1" x14ac:dyDescent="0.2">
      <c r="A57" s="40" t="s">
        <v>4</v>
      </c>
      <c r="B57" s="20">
        <v>43070</v>
      </c>
      <c r="C57" s="20"/>
      <c r="D57" s="20">
        <v>43071</v>
      </c>
      <c r="E57" s="20"/>
      <c r="F57" s="20">
        <v>43072</v>
      </c>
      <c r="G57" s="20"/>
      <c r="H57" s="20">
        <v>43073</v>
      </c>
      <c r="I57" s="20"/>
      <c r="J57" s="20">
        <v>43074</v>
      </c>
      <c r="K57" s="20"/>
      <c r="L57" s="20">
        <v>43075</v>
      </c>
      <c r="M57" s="20"/>
      <c r="N57" s="20">
        <v>43076</v>
      </c>
      <c r="O57" s="20"/>
      <c r="P57" s="20">
        <v>43077</v>
      </c>
      <c r="Q57" s="20"/>
      <c r="R57" s="20">
        <v>43078</v>
      </c>
      <c r="S57" s="20"/>
      <c r="T57" s="20">
        <v>43080</v>
      </c>
      <c r="U57" s="20"/>
      <c r="V57" s="20">
        <v>43081</v>
      </c>
      <c r="W57" s="20"/>
      <c r="X57" s="20">
        <v>43082</v>
      </c>
      <c r="Y57" s="20"/>
      <c r="Z57" s="20">
        <v>43083</v>
      </c>
      <c r="AA57" s="20"/>
      <c r="AB57" s="20">
        <v>43084</v>
      </c>
      <c r="AC57" s="20"/>
      <c r="AD57" s="20">
        <v>43085</v>
      </c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86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</row>
    <row r="58" spans="1:99" s="330" customFormat="1" x14ac:dyDescent="0.2">
      <c r="A58" s="337"/>
      <c r="B58" s="338"/>
      <c r="C58" s="339"/>
      <c r="D58" s="338"/>
      <c r="E58" s="339"/>
      <c r="F58" s="338"/>
      <c r="G58" s="339"/>
      <c r="H58" s="338"/>
      <c r="I58" s="339"/>
      <c r="J58" s="338"/>
      <c r="K58" s="339"/>
      <c r="L58" s="338"/>
      <c r="M58" s="339"/>
      <c r="N58" s="338"/>
      <c r="O58" s="339"/>
      <c r="P58" s="338"/>
      <c r="Q58" s="339"/>
      <c r="R58" s="340"/>
      <c r="S58" s="341"/>
      <c r="T58" s="340"/>
      <c r="U58" s="341"/>
      <c r="V58" s="340"/>
      <c r="W58" s="341"/>
      <c r="X58" s="338"/>
      <c r="Y58" s="341"/>
      <c r="Z58" s="341"/>
      <c r="AA58" s="341"/>
      <c r="AB58" s="338"/>
      <c r="AC58" s="341"/>
      <c r="AD58" s="340"/>
      <c r="AE58" s="341"/>
      <c r="AF58" s="340"/>
      <c r="AG58" s="341"/>
      <c r="AH58" s="338"/>
      <c r="AI58" s="339"/>
      <c r="AJ58" s="338"/>
      <c r="AK58" s="339"/>
      <c r="AL58" s="338"/>
      <c r="AM58" s="339"/>
      <c r="AN58" s="338"/>
      <c r="AO58" s="341"/>
      <c r="AP58" s="340"/>
      <c r="AQ58" s="341"/>
      <c r="AR58" s="340"/>
      <c r="AS58" s="341"/>
      <c r="AT58" s="340"/>
      <c r="AU58" s="341"/>
      <c r="AV58" s="340"/>
      <c r="AW58" s="342"/>
      <c r="AX58" s="340"/>
      <c r="AY58" s="341"/>
      <c r="AZ58" s="340"/>
      <c r="BA58" s="341"/>
      <c r="BB58" s="340"/>
      <c r="BC58" s="341"/>
      <c r="BD58" s="338"/>
      <c r="BE58" s="339"/>
      <c r="BF58" s="338"/>
      <c r="BG58" s="339"/>
      <c r="BH58" s="338"/>
      <c r="BI58" s="339"/>
      <c r="BJ58" s="338"/>
      <c r="BK58" s="339"/>
      <c r="BL58" s="338"/>
      <c r="BM58" s="339"/>
      <c r="BN58" s="338"/>
      <c r="BO58" s="339"/>
      <c r="BP58" s="338"/>
      <c r="BQ58" s="339"/>
      <c r="BR58" s="338"/>
      <c r="BS58" s="339"/>
      <c r="BT58" s="338"/>
      <c r="BU58" s="339"/>
      <c r="BV58" s="338"/>
      <c r="BW58" s="339"/>
      <c r="BX58" s="338"/>
      <c r="BY58" s="339"/>
      <c r="BZ58" s="338"/>
      <c r="CA58" s="339"/>
      <c r="CB58" s="338"/>
      <c r="CC58" s="339"/>
      <c r="CD58" s="338"/>
      <c r="CE58" s="339"/>
      <c r="CF58" s="338"/>
      <c r="CG58" s="339"/>
      <c r="CH58" s="338"/>
      <c r="CI58" s="339"/>
      <c r="CJ58" s="338"/>
      <c r="CK58" s="339"/>
      <c r="CL58" s="338"/>
      <c r="CM58" s="339"/>
      <c r="CN58" s="338"/>
      <c r="CO58" s="339"/>
      <c r="CP58" s="338"/>
      <c r="CQ58" s="339"/>
      <c r="CR58" s="338"/>
      <c r="CS58" s="345"/>
      <c r="CT58" s="345"/>
      <c r="CU58" s="345"/>
    </row>
    <row r="59" spans="1:99" x14ac:dyDescent="0.2">
      <c r="A59" s="334" t="s">
        <v>5</v>
      </c>
      <c r="B59" s="9">
        <v>1330.51</v>
      </c>
      <c r="C59" s="15" t="s">
        <v>14215</v>
      </c>
      <c r="D59" s="9">
        <v>200</v>
      </c>
      <c r="E59" s="15" t="s">
        <v>14378</v>
      </c>
      <c r="F59" s="9"/>
      <c r="G59" s="15"/>
      <c r="H59" s="9"/>
      <c r="I59" s="15"/>
      <c r="J59" s="9"/>
      <c r="K59" s="15"/>
      <c r="L59" s="9"/>
      <c r="M59" s="15"/>
      <c r="N59" s="9"/>
      <c r="O59" s="15"/>
      <c r="P59" s="9"/>
      <c r="Q59" s="15"/>
      <c r="R59" s="9"/>
      <c r="S59" s="15"/>
      <c r="T59" s="9"/>
      <c r="U59" s="15"/>
      <c r="V59" s="9"/>
      <c r="W59" s="15"/>
      <c r="X59" s="9"/>
      <c r="Y59" s="15"/>
      <c r="Z59" s="9"/>
      <c r="AA59" s="15"/>
      <c r="AB59" s="9"/>
      <c r="AC59" s="15"/>
      <c r="AD59" s="9"/>
      <c r="AE59" s="15"/>
      <c r="AF59" s="9"/>
      <c r="AG59" s="15"/>
      <c r="AH59" s="72"/>
      <c r="AI59" s="15"/>
      <c r="AJ59" s="9"/>
      <c r="AK59" s="15"/>
      <c r="AL59" s="9"/>
      <c r="AM59" s="15"/>
      <c r="AN59" s="9"/>
      <c r="AO59" s="15"/>
      <c r="AP59" s="9"/>
      <c r="AQ59" s="15"/>
      <c r="AR59" s="9"/>
      <c r="AS59" s="9"/>
      <c r="AT59" s="9"/>
      <c r="AU59" s="15"/>
      <c r="AV59" s="9"/>
      <c r="AW59" s="86"/>
      <c r="AX59" s="9"/>
      <c r="AY59" s="15"/>
      <c r="AZ59" s="9"/>
      <c r="BA59" s="15"/>
      <c r="BB59" s="9"/>
      <c r="BC59" s="15"/>
      <c r="BD59" s="11"/>
      <c r="BE59" s="13"/>
      <c r="BF59" s="9"/>
      <c r="BG59" s="15"/>
      <c r="BH59" s="9"/>
      <c r="BI59" s="15"/>
      <c r="BJ59" s="75"/>
      <c r="BK59" s="75"/>
      <c r="BL59" s="9"/>
      <c r="BM59" s="9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  <c r="CO59" s="15"/>
      <c r="CP59" s="9"/>
      <c r="CQ59" s="15"/>
      <c r="CR59" s="9"/>
    </row>
    <row r="60" spans="1:99" x14ac:dyDescent="0.2">
      <c r="A60" s="41"/>
      <c r="B60" s="9">
        <v>304.92</v>
      </c>
      <c r="C60" s="15" t="s">
        <v>14216</v>
      </c>
      <c r="D60" s="9">
        <v>1995</v>
      </c>
      <c r="E60" s="15" t="s">
        <v>14383</v>
      </c>
      <c r="F60" s="9"/>
      <c r="G60" s="15"/>
      <c r="H60" s="9">
        <v>13530</v>
      </c>
      <c r="I60" s="13" t="s">
        <v>14406</v>
      </c>
      <c r="J60" s="72">
        <v>1594.2</v>
      </c>
      <c r="K60" s="24" t="s">
        <v>14461</v>
      </c>
      <c r="L60" s="9">
        <v>277.94</v>
      </c>
      <c r="M60" s="15" t="s">
        <v>14499</v>
      </c>
      <c r="N60" s="9">
        <v>776.78</v>
      </c>
      <c r="O60" s="15" t="s">
        <v>14599</v>
      </c>
      <c r="P60" s="9">
        <v>1000</v>
      </c>
      <c r="Q60" s="26" t="s">
        <v>14571</v>
      </c>
      <c r="R60" s="9">
        <v>2000</v>
      </c>
      <c r="S60" s="15" t="s">
        <v>14638</v>
      </c>
      <c r="T60" s="9">
        <v>10527.21</v>
      </c>
      <c r="U60" s="15" t="s">
        <v>14731</v>
      </c>
      <c r="V60" s="9"/>
      <c r="W60" s="15"/>
      <c r="X60" s="11">
        <v>9761</v>
      </c>
      <c r="Y60" s="12" t="s">
        <v>14785</v>
      </c>
      <c r="Z60" s="9">
        <v>3000</v>
      </c>
      <c r="AA60" s="15" t="s">
        <v>14839</v>
      </c>
      <c r="AB60" s="9">
        <v>15653.08</v>
      </c>
      <c r="AC60" s="15" t="s">
        <v>14894</v>
      </c>
      <c r="AD60" s="9">
        <v>8960</v>
      </c>
      <c r="AE60" s="15" t="s">
        <v>14949</v>
      </c>
      <c r="AF60" s="72"/>
      <c r="AG60" s="15"/>
      <c r="AH60" s="72">
        <v>4395.01</v>
      </c>
      <c r="AI60" s="15" t="s">
        <v>15000</v>
      </c>
      <c r="AJ60" s="272">
        <v>2500</v>
      </c>
      <c r="AK60" s="108" t="s">
        <v>15050</v>
      </c>
      <c r="AL60" s="72">
        <v>1970</v>
      </c>
      <c r="AM60" s="15" t="s">
        <v>15125</v>
      </c>
      <c r="AN60" s="9">
        <v>1994.99</v>
      </c>
      <c r="AO60" s="15" t="s">
        <v>15198</v>
      </c>
      <c r="AP60" s="9">
        <v>4146</v>
      </c>
      <c r="AQ60" s="15" t="s">
        <v>15274</v>
      </c>
      <c r="AR60" s="9">
        <v>2331.9899999999998</v>
      </c>
      <c r="AS60" s="15" t="s">
        <v>15318</v>
      </c>
      <c r="AT60" s="9">
        <v>2382.9499999999998</v>
      </c>
      <c r="AU60" s="15" t="s">
        <v>15376</v>
      </c>
      <c r="AV60" s="9">
        <v>20000</v>
      </c>
      <c r="AW60" s="86" t="s">
        <v>15402</v>
      </c>
      <c r="AX60" s="9">
        <v>1099</v>
      </c>
      <c r="AY60" s="15" t="s">
        <v>15497</v>
      </c>
      <c r="AZ60" s="9">
        <v>419.36</v>
      </c>
      <c r="BA60" s="15" t="s">
        <v>15557</v>
      </c>
      <c r="BB60" s="11">
        <v>232</v>
      </c>
      <c r="BC60" s="12"/>
      <c r="BD60" s="9"/>
      <c r="BE60" s="15"/>
      <c r="BF60" s="72"/>
      <c r="BG60" s="24"/>
      <c r="BH60" s="72"/>
      <c r="BI60" s="24"/>
      <c r="BJ60" s="75"/>
      <c r="BK60" s="75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  <c r="CO60" s="15"/>
      <c r="CP60" s="9"/>
      <c r="CQ60" s="15"/>
      <c r="CR60" s="9"/>
    </row>
    <row r="61" spans="1:99" x14ac:dyDescent="0.2">
      <c r="A61" s="43"/>
      <c r="B61" s="9">
        <v>2359</v>
      </c>
      <c r="C61" s="15" t="s">
        <v>14221</v>
      </c>
      <c r="D61" s="9">
        <v>4168.99</v>
      </c>
      <c r="E61" s="15" t="s">
        <v>14384</v>
      </c>
      <c r="F61" s="9"/>
      <c r="G61" s="15"/>
      <c r="H61" s="9"/>
      <c r="I61" s="15"/>
      <c r="J61" s="72">
        <v>1916</v>
      </c>
      <c r="K61" s="24" t="s">
        <v>14463</v>
      </c>
      <c r="L61" s="11">
        <v>4145.99</v>
      </c>
      <c r="M61" s="13" t="s">
        <v>14503</v>
      </c>
      <c r="N61" s="9">
        <v>2789</v>
      </c>
      <c r="O61" s="15" t="s">
        <v>14600</v>
      </c>
      <c r="P61" s="11">
        <v>7710.1</v>
      </c>
      <c r="Q61" s="13" t="s">
        <v>14573</v>
      </c>
      <c r="R61" s="14">
        <v>2013.86</v>
      </c>
      <c r="S61" s="12" t="s">
        <v>14640</v>
      </c>
      <c r="T61" s="9">
        <v>1437.3</v>
      </c>
      <c r="U61" s="15" t="s">
        <v>14733</v>
      </c>
      <c r="V61" s="10"/>
      <c r="W61" s="12"/>
      <c r="X61" s="9">
        <v>2743.09</v>
      </c>
      <c r="Y61" s="15" t="s">
        <v>14796</v>
      </c>
      <c r="Z61" s="9">
        <v>100000</v>
      </c>
      <c r="AA61" s="15" t="s">
        <v>14840</v>
      </c>
      <c r="AB61" s="9">
        <v>448.22</v>
      </c>
      <c r="AC61" s="15" t="s">
        <v>14901</v>
      </c>
      <c r="AD61" s="11">
        <v>20000</v>
      </c>
      <c r="AE61" s="12" t="s">
        <v>14950</v>
      </c>
      <c r="AF61" s="75"/>
      <c r="AG61" s="18"/>
      <c r="AH61" s="89">
        <v>3250</v>
      </c>
      <c r="AI61" s="15" t="s">
        <v>15001</v>
      </c>
      <c r="AJ61" s="9">
        <v>835.81</v>
      </c>
      <c r="AK61" s="15" t="s">
        <v>15060</v>
      </c>
      <c r="AL61" s="72">
        <v>1099</v>
      </c>
      <c r="AM61" s="13" t="s">
        <v>15126</v>
      </c>
      <c r="AN61" s="9">
        <v>1099.01</v>
      </c>
      <c r="AO61" s="15" t="s">
        <v>15199</v>
      </c>
      <c r="AP61" s="9">
        <v>1301.45</v>
      </c>
      <c r="AQ61" s="15" t="s">
        <v>15275</v>
      </c>
      <c r="AR61" s="9">
        <v>2161.3200000000002</v>
      </c>
      <c r="AS61" s="15" t="s">
        <v>15319</v>
      </c>
      <c r="AT61" s="10">
        <v>2500</v>
      </c>
      <c r="AU61" s="12" t="s">
        <v>15377</v>
      </c>
      <c r="AV61" s="7">
        <v>2487.88</v>
      </c>
      <c r="AW61" s="88" t="s">
        <v>15403</v>
      </c>
      <c r="AX61" s="14">
        <v>1249.27</v>
      </c>
      <c r="AY61" s="12" t="s">
        <v>15498</v>
      </c>
      <c r="AZ61" s="9">
        <v>6065</v>
      </c>
      <c r="BA61" s="15" t="s">
        <v>15558</v>
      </c>
      <c r="BB61" s="9">
        <v>3168.99</v>
      </c>
      <c r="BC61" s="26"/>
      <c r="BD61" s="9"/>
      <c r="BE61" s="11"/>
      <c r="BF61" s="11"/>
      <c r="BG61" s="13"/>
      <c r="BH61" s="11"/>
      <c r="BI61" s="13"/>
      <c r="BJ61" s="15"/>
      <c r="BK61" s="15"/>
      <c r="BL61" s="11"/>
      <c r="BM61" s="13"/>
      <c r="BN61" s="23"/>
      <c r="BO61" s="13"/>
      <c r="BP61" s="11"/>
      <c r="BQ61" s="13"/>
      <c r="BR61" s="11"/>
      <c r="BS61" s="13"/>
      <c r="BT61" s="11"/>
      <c r="BU61" s="13"/>
      <c r="BV61" s="11"/>
      <c r="BW61" s="13"/>
      <c r="BX61" s="11"/>
      <c r="BY61" s="13"/>
      <c r="BZ61" s="11"/>
      <c r="CA61" s="13"/>
      <c r="CB61" s="11"/>
      <c r="CC61" s="13"/>
      <c r="CD61" s="11"/>
      <c r="CE61" s="13"/>
      <c r="CF61" s="11"/>
      <c r="CG61" s="13"/>
      <c r="CH61" s="11"/>
      <c r="CI61" s="13"/>
      <c r="CJ61" s="11"/>
      <c r="CK61" s="13"/>
      <c r="CL61" s="11"/>
      <c r="CM61" s="13"/>
      <c r="CN61" s="11"/>
      <c r="CO61" s="13"/>
      <c r="CP61" s="11"/>
      <c r="CQ61" s="13"/>
      <c r="CR61" s="11"/>
    </row>
    <row r="62" spans="1:99" x14ac:dyDescent="0.2">
      <c r="A62" s="41"/>
      <c r="B62" s="298">
        <v>1099</v>
      </c>
      <c r="C62" s="15" t="s">
        <v>14222</v>
      </c>
      <c r="D62" s="11">
        <v>1099</v>
      </c>
      <c r="E62" s="13" t="s">
        <v>14386</v>
      </c>
      <c r="F62" s="9"/>
      <c r="G62" s="15"/>
      <c r="H62" s="9">
        <v>20000</v>
      </c>
      <c r="I62" s="15" t="s">
        <v>14429</v>
      </c>
      <c r="J62" s="72">
        <v>200.9</v>
      </c>
      <c r="K62" s="24" t="s">
        <v>14465</v>
      </c>
      <c r="L62" s="9">
        <v>3250</v>
      </c>
      <c r="M62" s="15" t="s">
        <v>14504</v>
      </c>
      <c r="N62" s="9">
        <v>2000</v>
      </c>
      <c r="O62" s="15" t="s">
        <v>14607</v>
      </c>
      <c r="P62" s="9">
        <v>635.12</v>
      </c>
      <c r="Q62" s="15" t="s">
        <v>14581</v>
      </c>
      <c r="R62" s="15">
        <v>3109.75</v>
      </c>
      <c r="S62" s="26" t="s">
        <v>14641</v>
      </c>
      <c r="T62" s="9">
        <v>3250.01</v>
      </c>
      <c r="U62" s="26" t="s">
        <v>14739</v>
      </c>
      <c r="V62" s="9"/>
      <c r="W62" s="15"/>
      <c r="X62" s="9">
        <v>1099.01</v>
      </c>
      <c r="Y62" s="15" t="s">
        <v>14799</v>
      </c>
      <c r="Z62" s="9">
        <v>3250</v>
      </c>
      <c r="AA62" s="15" t="s">
        <v>14846</v>
      </c>
      <c r="AB62" s="6">
        <v>3413.78</v>
      </c>
      <c r="AC62" s="6" t="s">
        <v>14905</v>
      </c>
      <c r="AD62" s="9">
        <v>15000</v>
      </c>
      <c r="AE62" s="26" t="s">
        <v>14955</v>
      </c>
      <c r="AF62" s="72"/>
      <c r="AG62" s="26"/>
      <c r="AH62" s="24">
        <f>SUM(AH60:AH61)</f>
        <v>7645.01</v>
      </c>
      <c r="AI62" s="13"/>
      <c r="AJ62" s="9">
        <v>3250.01</v>
      </c>
      <c r="AK62" s="15" t="s">
        <v>15064</v>
      </c>
      <c r="AL62" s="72">
        <v>1099.01</v>
      </c>
      <c r="AM62" s="15" t="s">
        <v>15127</v>
      </c>
      <c r="AN62" s="9">
        <v>1099.01</v>
      </c>
      <c r="AO62" s="15" t="s">
        <v>15200</v>
      </c>
      <c r="AP62" s="11">
        <v>9433.4</v>
      </c>
      <c r="AQ62" s="13" t="s">
        <v>15276</v>
      </c>
      <c r="AR62" s="9">
        <v>1090.55</v>
      </c>
      <c r="AS62" s="15" t="s">
        <v>15320</v>
      </c>
      <c r="AT62" s="9">
        <v>1099</v>
      </c>
      <c r="AU62" s="15" t="s">
        <v>15378</v>
      </c>
      <c r="AV62" s="9">
        <v>4395.01</v>
      </c>
      <c r="AW62" s="86" t="s">
        <v>15404</v>
      </c>
      <c r="AX62" s="9">
        <v>253.33</v>
      </c>
      <c r="AY62" s="15" t="s">
        <v>15499</v>
      </c>
      <c r="AZ62" s="14">
        <v>13325.72</v>
      </c>
      <c r="BA62" s="13" t="s">
        <v>15559</v>
      </c>
      <c r="BB62" s="9">
        <v>1970</v>
      </c>
      <c r="BC62" s="15"/>
      <c r="BD62" s="9"/>
      <c r="BE62" s="15"/>
      <c r="BF62" s="9"/>
      <c r="BG62" s="15"/>
      <c r="BH62" s="9"/>
      <c r="BI62" s="15"/>
      <c r="BJ62" s="9"/>
      <c r="BK62" s="15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  <c r="CO62" s="15"/>
      <c r="CP62" s="9"/>
      <c r="CQ62" s="15"/>
      <c r="CR62" s="9"/>
    </row>
    <row r="63" spans="1:99" x14ac:dyDescent="0.2">
      <c r="A63" s="41"/>
      <c r="B63" s="9">
        <v>464</v>
      </c>
      <c r="C63" s="15" t="s">
        <v>14223</v>
      </c>
      <c r="D63" s="121">
        <v>1700.99</v>
      </c>
      <c r="E63" s="15" t="s">
        <v>14388</v>
      </c>
      <c r="F63" s="9"/>
      <c r="G63" s="15"/>
      <c r="H63" s="9">
        <v>20000</v>
      </c>
      <c r="I63" s="15" t="s">
        <v>14431</v>
      </c>
      <c r="J63" s="9">
        <v>3000</v>
      </c>
      <c r="K63" s="15" t="s">
        <v>14466</v>
      </c>
      <c r="L63" s="9">
        <v>635</v>
      </c>
      <c r="M63" s="15" t="s">
        <v>14509</v>
      </c>
      <c r="N63" s="9">
        <v>1970</v>
      </c>
      <c r="O63" s="15" t="s">
        <v>14611</v>
      </c>
      <c r="P63" s="9">
        <v>3000</v>
      </c>
      <c r="Q63" s="15" t="s">
        <v>14583</v>
      </c>
      <c r="R63" s="9">
        <f>12578.28-5400</f>
        <v>7178.2800000000007</v>
      </c>
      <c r="S63" s="26" t="s">
        <v>14642</v>
      </c>
      <c r="T63" s="9">
        <v>1995</v>
      </c>
      <c r="U63" s="15" t="s">
        <v>14740</v>
      </c>
      <c r="V63" s="9"/>
      <c r="W63" s="15"/>
      <c r="X63" s="9">
        <v>1099.01</v>
      </c>
      <c r="Y63" s="15" t="s">
        <v>14805</v>
      </c>
      <c r="Z63" s="9">
        <v>2866</v>
      </c>
      <c r="AA63" s="15" t="s">
        <v>14850</v>
      </c>
      <c r="AB63" s="9">
        <v>1099</v>
      </c>
      <c r="AC63" s="15" t="s">
        <v>14906</v>
      </c>
      <c r="AD63" s="9">
        <v>5000</v>
      </c>
      <c r="AE63" s="26" t="s">
        <v>14960</v>
      </c>
      <c r="AF63" s="72"/>
      <c r="AG63" s="15"/>
      <c r="AH63" s="72"/>
      <c r="AI63" s="26"/>
      <c r="AJ63" s="9">
        <v>1476.17</v>
      </c>
      <c r="AK63" s="15" t="s">
        <v>15072</v>
      </c>
      <c r="AL63" s="72">
        <v>1160.73</v>
      </c>
      <c r="AM63" s="15" t="s">
        <v>15134</v>
      </c>
      <c r="AN63" s="9">
        <v>1969.99</v>
      </c>
      <c r="AO63" s="26" t="s">
        <v>15201</v>
      </c>
      <c r="AP63" s="9">
        <v>972.53</v>
      </c>
      <c r="AQ63" s="26" t="s">
        <v>15277</v>
      </c>
      <c r="AR63" s="9">
        <v>3250</v>
      </c>
      <c r="AS63" s="15" t="s">
        <v>15321</v>
      </c>
      <c r="AT63" s="7">
        <v>187.7</v>
      </c>
      <c r="AU63" s="26" t="s">
        <v>15379</v>
      </c>
      <c r="AV63" s="9">
        <v>1994.99</v>
      </c>
      <c r="AW63" s="86" t="s">
        <v>15405</v>
      </c>
      <c r="AX63" s="11">
        <v>987.11</v>
      </c>
      <c r="AY63" s="13" t="s">
        <v>15500</v>
      </c>
      <c r="AZ63" s="9">
        <v>371.48</v>
      </c>
      <c r="BA63" s="26" t="s">
        <v>15560</v>
      </c>
      <c r="BB63" s="9">
        <v>1970</v>
      </c>
      <c r="BC63" s="15"/>
      <c r="BD63" s="15"/>
      <c r="BE63" s="15"/>
      <c r="BF63" s="9"/>
      <c r="BG63" s="15"/>
      <c r="BH63" s="9"/>
      <c r="BI63" s="15"/>
      <c r="BJ63" s="9"/>
      <c r="BK63" s="15"/>
      <c r="BL63" s="15"/>
      <c r="BM63" s="15"/>
      <c r="BN63" s="9"/>
      <c r="BO63" s="15"/>
      <c r="BP63" s="9"/>
      <c r="BQ63" s="15"/>
      <c r="BR63" s="9"/>
      <c r="BS63" s="15"/>
      <c r="BT63" s="9"/>
      <c r="BU63" s="15"/>
      <c r="BV63" s="9"/>
      <c r="BW63" s="15"/>
      <c r="BX63" s="9"/>
      <c r="BY63" s="15"/>
      <c r="BZ63" s="9"/>
      <c r="CA63" s="15"/>
      <c r="CB63" s="9"/>
      <c r="CC63" s="15"/>
      <c r="CD63" s="9"/>
      <c r="CE63" s="15"/>
      <c r="CF63" s="9"/>
      <c r="CG63" s="15"/>
      <c r="CH63" s="9"/>
      <c r="CI63" s="15"/>
      <c r="CJ63" s="9"/>
      <c r="CK63" s="15"/>
      <c r="CL63" s="9"/>
      <c r="CM63" s="15"/>
      <c r="CN63" s="9"/>
      <c r="CO63" s="15"/>
      <c r="CP63" s="9"/>
      <c r="CQ63" s="15"/>
      <c r="CR63" s="9"/>
    </row>
    <row r="64" spans="1:99" x14ac:dyDescent="0.2">
      <c r="A64" s="41"/>
      <c r="B64" s="95">
        <f>+SUM(B59:B63)</f>
        <v>5557.43</v>
      </c>
      <c r="C64" s="15"/>
      <c r="D64" s="9">
        <v>2866</v>
      </c>
      <c r="E64" s="15" t="s">
        <v>14390</v>
      </c>
      <c r="F64" s="9"/>
      <c r="G64" s="15"/>
      <c r="H64" s="9">
        <v>1000</v>
      </c>
      <c r="I64" s="15" t="s">
        <v>14441</v>
      </c>
      <c r="J64" s="9">
        <v>80.239999999999995</v>
      </c>
      <c r="K64" s="15" t="s">
        <v>14467</v>
      </c>
      <c r="L64" s="95">
        <f>+SUM(L60:L63)</f>
        <v>8308.93</v>
      </c>
      <c r="M64" s="15"/>
      <c r="N64" s="9">
        <v>1099.01</v>
      </c>
      <c r="O64" s="15" t="s">
        <v>14622</v>
      </c>
      <c r="P64" s="14">
        <v>523.39</v>
      </c>
      <c r="Q64" s="13" t="s">
        <v>14584</v>
      </c>
      <c r="R64" s="9">
        <v>1994.99</v>
      </c>
      <c r="S64" s="15" t="s">
        <v>14650</v>
      </c>
      <c r="T64" s="9">
        <v>1099.01</v>
      </c>
      <c r="U64" s="15" t="s">
        <v>14741</v>
      </c>
      <c r="V64" s="9"/>
      <c r="W64" s="15"/>
      <c r="X64" s="9">
        <v>3330</v>
      </c>
      <c r="Y64" s="26" t="s">
        <v>14806</v>
      </c>
      <c r="Z64" s="7">
        <v>1970</v>
      </c>
      <c r="AA64" s="26" t="s">
        <v>14852</v>
      </c>
      <c r="AB64" s="9">
        <v>3250</v>
      </c>
      <c r="AC64" s="15" t="s">
        <v>14907</v>
      </c>
      <c r="AD64" s="9">
        <v>284.94</v>
      </c>
      <c r="AE64" s="26" t="s">
        <v>14962</v>
      </c>
      <c r="AF64" s="72"/>
      <c r="AG64" s="15"/>
      <c r="AH64" s="72">
        <v>3899</v>
      </c>
      <c r="AI64" s="15" t="s">
        <v>15007</v>
      </c>
      <c r="AJ64" s="90">
        <v>4395</v>
      </c>
      <c r="AK64" s="15" t="s">
        <v>15073</v>
      </c>
      <c r="AL64" s="72">
        <v>729.81</v>
      </c>
      <c r="AM64" s="15" t="s">
        <v>15128</v>
      </c>
      <c r="AN64" s="9">
        <v>900</v>
      </c>
      <c r="AO64" s="15" t="s">
        <v>15181</v>
      </c>
      <c r="AP64" s="9">
        <v>3400</v>
      </c>
      <c r="AQ64" s="15" t="s">
        <v>15278</v>
      </c>
      <c r="AR64" s="9">
        <v>2866</v>
      </c>
      <c r="AS64" s="15" t="s">
        <v>15322</v>
      </c>
      <c r="AT64" s="9">
        <v>1970</v>
      </c>
      <c r="AU64" s="15" t="s">
        <v>15380</v>
      </c>
      <c r="AV64" s="298">
        <v>4395</v>
      </c>
      <c r="AW64" s="86" t="s">
        <v>15406</v>
      </c>
      <c r="AX64" s="9">
        <v>1099.01</v>
      </c>
      <c r="AY64" s="26" t="s">
        <v>15501</v>
      </c>
      <c r="AZ64" s="9">
        <v>3250</v>
      </c>
      <c r="BA64" s="26" t="s">
        <v>15561</v>
      </c>
      <c r="BB64" s="9">
        <v>1353.86</v>
      </c>
      <c r="BC64" s="15"/>
      <c r="BD64" s="11"/>
      <c r="BE64" s="13"/>
      <c r="BF64" s="9"/>
      <c r="BG64" s="15"/>
      <c r="BH64" s="15"/>
      <c r="BI64" s="15"/>
      <c r="BJ64" s="15"/>
      <c r="BK64" s="15"/>
      <c r="BL64" s="9"/>
      <c r="BM64" s="15"/>
      <c r="BN64" s="9"/>
      <c r="BO64" s="15"/>
      <c r="BP64" s="15"/>
      <c r="BQ64" s="15"/>
      <c r="BR64" s="9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2">
      <c r="A65" s="41"/>
      <c r="B65" s="9"/>
      <c r="C65" s="15"/>
      <c r="D65" s="9">
        <v>1291</v>
      </c>
      <c r="E65" s="15" t="s">
        <v>14392</v>
      </c>
      <c r="F65" s="9"/>
      <c r="G65" s="15"/>
      <c r="H65" s="11">
        <v>1970</v>
      </c>
      <c r="I65" s="13" t="s">
        <v>14444</v>
      </c>
      <c r="J65" s="9">
        <v>2500</v>
      </c>
      <c r="K65" s="15" t="s">
        <v>14477</v>
      </c>
      <c r="L65" s="14"/>
      <c r="M65" s="13"/>
      <c r="N65" s="9">
        <v>18659.32</v>
      </c>
      <c r="O65" s="15" t="s">
        <v>14624</v>
      </c>
      <c r="P65" s="9">
        <v>1970</v>
      </c>
      <c r="Q65" s="15" t="s">
        <v>14585</v>
      </c>
      <c r="R65" s="9">
        <v>2439.9699999999998</v>
      </c>
      <c r="S65" s="15" t="s">
        <v>14653</v>
      </c>
      <c r="T65" s="9">
        <v>2322.1</v>
      </c>
      <c r="U65" s="15" t="s">
        <v>9845</v>
      </c>
      <c r="V65" s="7"/>
      <c r="W65" s="26"/>
      <c r="X65" s="9">
        <v>3345</v>
      </c>
      <c r="Y65" s="26" t="s">
        <v>14808</v>
      </c>
      <c r="Z65" s="7">
        <v>2097.81</v>
      </c>
      <c r="AA65" s="26" t="s">
        <v>14853</v>
      </c>
      <c r="AB65" s="9">
        <v>3169</v>
      </c>
      <c r="AC65" s="15" t="s">
        <v>14909</v>
      </c>
      <c r="AD65" s="11">
        <v>4552</v>
      </c>
      <c r="AE65" s="13" t="s">
        <v>14966</v>
      </c>
      <c r="AF65" s="72"/>
      <c r="AG65" s="15"/>
      <c r="AH65" s="72">
        <v>9000</v>
      </c>
      <c r="AI65" s="85" t="s">
        <v>15008</v>
      </c>
      <c r="AJ65" s="15">
        <f>SUM(AJ60:AJ64)</f>
        <v>12456.99</v>
      </c>
      <c r="AK65" s="15"/>
      <c r="AL65" s="72">
        <v>4395</v>
      </c>
      <c r="AM65" s="15" t="s">
        <v>15129</v>
      </c>
      <c r="AN65" s="9">
        <v>2161.3200000000002</v>
      </c>
      <c r="AO65" s="15" t="s">
        <v>15202</v>
      </c>
      <c r="AP65" s="9">
        <v>1795</v>
      </c>
      <c r="AQ65" s="15" t="s">
        <v>15279</v>
      </c>
      <c r="AR65" s="9">
        <v>3250</v>
      </c>
      <c r="AS65" s="15" t="s">
        <v>15329</v>
      </c>
      <c r="AT65" s="9">
        <v>58.46</v>
      </c>
      <c r="AU65" s="15" t="s">
        <v>15381</v>
      </c>
      <c r="AV65" s="9">
        <v>3250.01</v>
      </c>
      <c r="AW65" s="86" t="s">
        <v>15407</v>
      </c>
      <c r="AX65" s="9">
        <v>2083.66</v>
      </c>
      <c r="AY65" s="26" t="s">
        <v>15502</v>
      </c>
      <c r="AZ65" s="9">
        <v>4330</v>
      </c>
      <c r="BA65" s="26" t="s">
        <v>15562</v>
      </c>
      <c r="BB65" s="9">
        <v>1970</v>
      </c>
      <c r="BC65" s="26"/>
      <c r="BD65" s="11"/>
      <c r="BE65" s="13"/>
      <c r="BF65" s="9"/>
      <c r="BG65" s="15"/>
      <c r="BH65" s="9"/>
      <c r="BI65" s="15"/>
      <c r="BJ65" s="9"/>
      <c r="BK65" s="15"/>
      <c r="BL65" s="9"/>
      <c r="BM65" s="15"/>
      <c r="BN65" s="9"/>
      <c r="BO65" s="15"/>
      <c r="BP65" s="15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  <c r="CO65" s="15"/>
      <c r="CP65" s="9"/>
      <c r="CQ65" s="15"/>
      <c r="CR65" s="9"/>
    </row>
    <row r="66" spans="1:96" x14ac:dyDescent="0.2">
      <c r="A66" s="41"/>
      <c r="B66" s="9">
        <v>11491.05</v>
      </c>
      <c r="C66" s="15" t="s">
        <v>14341</v>
      </c>
      <c r="D66" s="9">
        <v>1099</v>
      </c>
      <c r="E66" s="15" t="s">
        <v>14393</v>
      </c>
      <c r="F66" s="11"/>
      <c r="G66" s="13"/>
      <c r="H66" s="9">
        <v>232</v>
      </c>
      <c r="I66" s="15" t="s">
        <v>14445</v>
      </c>
      <c r="J66" s="72">
        <v>3250</v>
      </c>
      <c r="K66" s="24" t="s">
        <v>14478</v>
      </c>
      <c r="L66" s="9">
        <v>1426.51</v>
      </c>
      <c r="M66" s="15" t="s">
        <v>14533</v>
      </c>
      <c r="N66" s="9">
        <v>1099</v>
      </c>
      <c r="O66" s="15" t="s">
        <v>14633</v>
      </c>
      <c r="P66" s="72">
        <v>1099.01</v>
      </c>
      <c r="Q66" s="15" t="s">
        <v>14590</v>
      </c>
      <c r="R66" s="298">
        <v>1479.45</v>
      </c>
      <c r="S66" s="15" t="s">
        <v>14654</v>
      </c>
      <c r="T66" s="9">
        <v>504.99</v>
      </c>
      <c r="U66" s="15" t="s">
        <v>14743</v>
      </c>
      <c r="V66" s="9"/>
      <c r="W66" s="15"/>
      <c r="X66" s="95">
        <f>+SUM(X60:X65)</f>
        <v>21377.11</v>
      </c>
      <c r="Y66" s="15"/>
      <c r="Z66" s="9">
        <v>1970</v>
      </c>
      <c r="AA66" s="15" t="s">
        <v>14851</v>
      </c>
      <c r="AB66" s="9">
        <v>1099</v>
      </c>
      <c r="AC66" s="15" t="s">
        <v>14910</v>
      </c>
      <c r="AD66" s="9">
        <v>1099.01</v>
      </c>
      <c r="AE66" s="26" t="s">
        <v>14967</v>
      </c>
      <c r="AF66" s="72"/>
      <c r="AG66" s="15"/>
      <c r="AH66" s="72">
        <v>7910</v>
      </c>
      <c r="AI66" s="15" t="s">
        <v>15019</v>
      </c>
      <c r="AL66" s="72">
        <v>5291</v>
      </c>
      <c r="AM66" s="15" t="s">
        <v>15130</v>
      </c>
      <c r="AN66" s="11">
        <v>3749.86</v>
      </c>
      <c r="AO66" s="13" t="s">
        <v>15203</v>
      </c>
      <c r="AP66" s="9">
        <v>2372.17</v>
      </c>
      <c r="AQ66" s="15" t="s">
        <v>15280</v>
      </c>
      <c r="AR66" s="9">
        <v>637.44000000000005</v>
      </c>
      <c r="AS66" s="15" t="s">
        <v>15323</v>
      </c>
      <c r="AT66" s="9">
        <v>2432.8200000000002</v>
      </c>
      <c r="AU66" s="15" t="s">
        <v>15382</v>
      </c>
      <c r="AV66" s="9">
        <v>3250</v>
      </c>
      <c r="AW66" s="86" t="s">
        <v>15408</v>
      </c>
      <c r="AX66" s="95">
        <f>SUM(AX60:AX65)</f>
        <v>6771.38</v>
      </c>
      <c r="AY66" s="15"/>
      <c r="AZ66" s="9">
        <v>4691.01</v>
      </c>
      <c r="BA66" s="15" t="s">
        <v>15563</v>
      </c>
      <c r="BB66" s="9">
        <v>1099.01</v>
      </c>
      <c r="BC66" s="15"/>
      <c r="BD66" s="9"/>
      <c r="BE66" s="15"/>
      <c r="BF66" s="9"/>
      <c r="BG66" s="15"/>
      <c r="BH66" s="14"/>
      <c r="BI66" s="13"/>
      <c r="BJ66" s="15"/>
      <c r="BK66" s="13"/>
      <c r="BL66" s="11"/>
      <c r="BM66" s="13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  <c r="CO66" s="15"/>
      <c r="CP66" s="9"/>
      <c r="CQ66" s="15"/>
      <c r="CR66" s="9"/>
    </row>
    <row r="67" spans="1:96" x14ac:dyDescent="0.2">
      <c r="A67" s="43"/>
      <c r="B67" s="9">
        <v>20000</v>
      </c>
      <c r="C67" s="15" t="s">
        <v>14350</v>
      </c>
      <c r="D67" s="11">
        <v>3209</v>
      </c>
      <c r="E67" s="13" t="s">
        <v>14395</v>
      </c>
      <c r="F67" s="9"/>
      <c r="G67" s="15"/>
      <c r="H67" s="9">
        <v>395.08</v>
      </c>
      <c r="I67" s="15" t="s">
        <v>14449</v>
      </c>
      <c r="J67" s="9">
        <v>1099.01</v>
      </c>
      <c r="K67" s="15" t="s">
        <v>14486</v>
      </c>
      <c r="L67" s="9">
        <v>4395</v>
      </c>
      <c r="M67" s="15" t="s">
        <v>14546</v>
      </c>
      <c r="N67" s="9">
        <v>654.07000000000005</v>
      </c>
      <c r="O67" s="15" t="s">
        <v>14635</v>
      </c>
      <c r="P67" s="72">
        <v>635</v>
      </c>
      <c r="Q67" s="15" t="s">
        <v>14591</v>
      </c>
      <c r="R67" s="11">
        <v>3250</v>
      </c>
      <c r="S67" s="13" t="s">
        <v>14656</v>
      </c>
      <c r="T67" s="11">
        <v>1099</v>
      </c>
      <c r="U67" s="13" t="s">
        <v>14744</v>
      </c>
      <c r="V67" s="9"/>
      <c r="W67" s="15"/>
      <c r="X67" s="9"/>
      <c r="Y67" s="15"/>
      <c r="Z67" s="9">
        <v>2235.92</v>
      </c>
      <c r="AA67" s="15" t="s">
        <v>14854</v>
      </c>
      <c r="AB67" s="9">
        <v>1099.01</v>
      </c>
      <c r="AC67" s="15" t="s">
        <v>14911</v>
      </c>
      <c r="AD67" s="9">
        <v>6675</v>
      </c>
      <c r="AE67" s="15" t="s">
        <v>14968</v>
      </c>
      <c r="AF67" s="72"/>
      <c r="AG67" s="13"/>
      <c r="AH67" s="9">
        <v>13065</v>
      </c>
      <c r="AI67" s="15" t="s">
        <v>15020</v>
      </c>
      <c r="AJ67" s="9">
        <v>1000</v>
      </c>
      <c r="AK67" s="15" t="s">
        <v>15082</v>
      </c>
      <c r="AL67" s="72">
        <v>1970</v>
      </c>
      <c r="AM67" s="13" t="s">
        <v>15131</v>
      </c>
      <c r="AN67" s="9">
        <v>1099</v>
      </c>
      <c r="AO67" s="26" t="s">
        <v>15204</v>
      </c>
      <c r="AP67" s="9">
        <v>30300</v>
      </c>
      <c r="AQ67" s="15" t="s">
        <v>15281</v>
      </c>
      <c r="AR67" s="14">
        <v>3169</v>
      </c>
      <c r="AS67" s="15" t="s">
        <v>15324</v>
      </c>
      <c r="AT67" s="95">
        <f>SUM(AT60:AT66)</f>
        <v>10630.929999999998</v>
      </c>
      <c r="AU67" s="15"/>
      <c r="AV67" s="11">
        <v>2432.8200000000002</v>
      </c>
      <c r="AW67" s="324" t="s">
        <v>15409</v>
      </c>
      <c r="AX67" s="72"/>
      <c r="AY67" s="15"/>
      <c r="AZ67" s="9">
        <v>1970</v>
      </c>
      <c r="BA67" s="15" t="s">
        <v>15564</v>
      </c>
      <c r="BB67" s="9">
        <v>6091</v>
      </c>
      <c r="BC67" s="15"/>
      <c r="BD67" s="9"/>
      <c r="BE67" s="15"/>
      <c r="BF67" s="11"/>
      <c r="BG67" s="13"/>
      <c r="BH67" s="9"/>
      <c r="BI67" s="15"/>
      <c r="BJ67" s="9"/>
      <c r="BK67" s="15"/>
      <c r="BL67" s="9"/>
      <c r="BM67" s="15"/>
      <c r="BN67" s="9"/>
      <c r="BO67" s="15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  <c r="CO67" s="13"/>
      <c r="CP67" s="11"/>
      <c r="CQ67" s="13"/>
      <c r="CR67" s="11"/>
    </row>
    <row r="68" spans="1:96" x14ac:dyDescent="0.2">
      <c r="A68" s="41"/>
      <c r="B68" s="9">
        <v>1099.01</v>
      </c>
      <c r="C68" s="15" t="s">
        <v>14356</v>
      </c>
      <c r="D68" s="72">
        <v>1099</v>
      </c>
      <c r="E68" s="15" t="s">
        <v>14396</v>
      </c>
      <c r="F68" s="9"/>
      <c r="G68" s="15"/>
      <c r="H68" s="9">
        <v>628.51</v>
      </c>
      <c r="I68" s="15" t="s">
        <v>14453</v>
      </c>
      <c r="J68" s="95">
        <f>+SUM(J60:J67)</f>
        <v>13640.35</v>
      </c>
      <c r="K68" s="13"/>
      <c r="L68" s="9">
        <v>13227.64</v>
      </c>
      <c r="M68" s="15" t="s">
        <v>14547</v>
      </c>
      <c r="N68" s="95">
        <f>+SUM(N60:N67)</f>
        <v>29047.18</v>
      </c>
      <c r="O68" s="15"/>
      <c r="P68" s="72">
        <v>2866</v>
      </c>
      <c r="Q68" s="15" t="s">
        <v>14593</v>
      </c>
      <c r="R68" s="9">
        <v>1099</v>
      </c>
      <c r="S68" s="26" t="s">
        <v>14659</v>
      </c>
      <c r="T68" s="9">
        <v>4395.0200000000004</v>
      </c>
      <c r="U68" s="26" t="s">
        <v>14745</v>
      </c>
      <c r="V68" s="9"/>
      <c r="W68" s="15"/>
      <c r="X68" s="9">
        <v>160.28</v>
      </c>
      <c r="Y68" s="15" t="s">
        <v>14813</v>
      </c>
      <c r="Z68" s="9">
        <v>2331.9899999999998</v>
      </c>
      <c r="AA68" s="15" t="s">
        <v>14856</v>
      </c>
      <c r="AB68" s="9">
        <v>1099</v>
      </c>
      <c r="AC68" s="15" t="s">
        <v>14912</v>
      </c>
      <c r="AD68" s="9">
        <v>2866</v>
      </c>
      <c r="AE68" s="15" t="s">
        <v>14971</v>
      </c>
      <c r="AF68" s="24"/>
      <c r="AG68" s="26"/>
      <c r="AH68" s="9">
        <v>3250</v>
      </c>
      <c r="AI68" s="15" t="s">
        <v>15024</v>
      </c>
      <c r="AJ68" s="14">
        <v>1998.73</v>
      </c>
      <c r="AK68" s="15" t="s">
        <v>15089</v>
      </c>
      <c r="AL68" s="72">
        <v>5555.01</v>
      </c>
      <c r="AM68" s="85" t="s">
        <v>15132</v>
      </c>
      <c r="AN68" s="9">
        <v>1169</v>
      </c>
      <c r="AO68" s="15" t="s">
        <v>15205</v>
      </c>
      <c r="AP68" s="9">
        <v>2973.13</v>
      </c>
      <c r="AQ68" s="15" t="s">
        <v>15282</v>
      </c>
      <c r="AR68" s="9">
        <v>1099.01</v>
      </c>
      <c r="AS68" s="13" t="s">
        <v>15325</v>
      </c>
      <c r="AT68" s="9"/>
      <c r="AU68" s="26"/>
      <c r="AV68" s="9">
        <v>348.12</v>
      </c>
      <c r="AW68" s="86" t="s">
        <v>15410</v>
      </c>
      <c r="AX68" s="9">
        <v>2109.46</v>
      </c>
      <c r="AY68" s="15" t="s">
        <v>15525</v>
      </c>
      <c r="AZ68" s="9">
        <v>2492</v>
      </c>
      <c r="BA68" s="15" t="s">
        <v>15600</v>
      </c>
      <c r="BB68" s="9">
        <v>96.25</v>
      </c>
      <c r="BC68" s="15"/>
      <c r="BD68" s="9"/>
      <c r="BE68" s="15"/>
      <c r="BF68" s="15"/>
      <c r="BG68" s="15"/>
      <c r="BH68" s="9"/>
      <c r="BI68" s="15"/>
      <c r="BJ68" s="9"/>
      <c r="BK68" s="15"/>
      <c r="BL68" s="9"/>
      <c r="BM68" s="15"/>
      <c r="BN68" s="9"/>
      <c r="BO68" s="15"/>
      <c r="BP68" s="9"/>
      <c r="BQ68" s="15"/>
      <c r="BR68" s="9"/>
      <c r="BS68" s="15"/>
      <c r="BT68" s="9"/>
      <c r="BU68" s="15"/>
      <c r="BV68" s="9"/>
      <c r="BW68" s="15"/>
      <c r="BX68" s="9"/>
      <c r="BY68" s="15"/>
      <c r="BZ68" s="9"/>
      <c r="CA68" s="15"/>
      <c r="CB68" s="9"/>
      <c r="CC68" s="15"/>
      <c r="CD68" s="9"/>
      <c r="CE68" s="15"/>
      <c r="CF68" s="9"/>
      <c r="CG68" s="15"/>
      <c r="CH68" s="9"/>
      <c r="CI68" s="15"/>
      <c r="CJ68" s="9"/>
      <c r="CK68" s="15"/>
      <c r="CL68" s="9"/>
      <c r="CM68" s="15"/>
      <c r="CN68" s="9"/>
      <c r="CO68" s="15"/>
      <c r="CP68" s="9"/>
      <c r="CQ68" s="15"/>
      <c r="CR68" s="9"/>
    </row>
    <row r="69" spans="1:96" x14ac:dyDescent="0.2">
      <c r="A69" s="41"/>
      <c r="B69" s="9">
        <v>1994.99</v>
      </c>
      <c r="C69" s="15" t="s">
        <v>14357</v>
      </c>
      <c r="D69" s="9">
        <v>1099</v>
      </c>
      <c r="E69" s="15" t="s">
        <v>14398</v>
      </c>
      <c r="F69" s="9"/>
      <c r="G69" s="15"/>
      <c r="H69" s="288">
        <f>+SUM(H62:H68)</f>
        <v>44225.590000000004</v>
      </c>
      <c r="I69" s="15"/>
      <c r="J69" s="9"/>
      <c r="K69" s="15"/>
      <c r="L69" s="9">
        <v>2360.0100000000002</v>
      </c>
      <c r="M69" s="15" t="s">
        <v>14550</v>
      </c>
      <c r="N69" s="9"/>
      <c r="O69" s="15"/>
      <c r="P69" s="9">
        <v>1970</v>
      </c>
      <c r="Q69" s="15" t="s">
        <v>14597</v>
      </c>
      <c r="R69" s="9">
        <v>1099.01</v>
      </c>
      <c r="S69" s="26" t="s">
        <v>14660</v>
      </c>
      <c r="T69" s="9">
        <v>1970</v>
      </c>
      <c r="U69" s="15" t="s">
        <v>14748</v>
      </c>
      <c r="V69" s="15"/>
      <c r="W69" s="15"/>
      <c r="X69" s="9">
        <v>1995</v>
      </c>
      <c r="Y69" s="15" t="s">
        <v>14820</v>
      </c>
      <c r="Z69" s="9">
        <v>3250</v>
      </c>
      <c r="AA69" s="15" t="s">
        <v>14859</v>
      </c>
      <c r="AB69" s="9">
        <v>1970</v>
      </c>
      <c r="AC69" s="15" t="s">
        <v>14914</v>
      </c>
      <c r="AD69" s="9">
        <v>4395.01</v>
      </c>
      <c r="AE69" s="15" t="s">
        <v>14978</v>
      </c>
      <c r="AF69" s="72"/>
      <c r="AG69" s="15"/>
      <c r="AH69" s="9">
        <v>4016</v>
      </c>
      <c r="AI69" s="15" t="s">
        <v>15032</v>
      </c>
      <c r="AJ69" s="9">
        <v>1099</v>
      </c>
      <c r="AK69" s="15" t="s">
        <v>15090</v>
      </c>
      <c r="AL69" s="9">
        <v>809.22</v>
      </c>
      <c r="AM69" s="15" t="s">
        <v>15133</v>
      </c>
      <c r="AN69" s="9">
        <v>3250</v>
      </c>
      <c r="AO69" s="15" t="s">
        <v>15206</v>
      </c>
      <c r="AP69" s="9">
        <v>650.66999999999996</v>
      </c>
      <c r="AQ69" s="15" t="s">
        <v>15283</v>
      </c>
      <c r="AR69" s="9">
        <v>3169</v>
      </c>
      <c r="AS69" s="26" t="s">
        <v>15326</v>
      </c>
      <c r="AT69" s="9">
        <v>3250</v>
      </c>
      <c r="AU69" s="15" t="s">
        <v>15441</v>
      </c>
      <c r="AV69" s="95">
        <f>SUM(AV60:AV68)</f>
        <v>42553.830000000009</v>
      </c>
      <c r="AW69" s="86"/>
      <c r="AX69" s="72">
        <v>1099</v>
      </c>
      <c r="AY69" s="15" t="s">
        <v>15526</v>
      </c>
      <c r="AZ69" s="72">
        <v>464</v>
      </c>
      <c r="BA69" s="15" t="s">
        <v>15565</v>
      </c>
      <c r="BB69" s="95">
        <f>SUM(BB60:BB68)</f>
        <v>17951.11</v>
      </c>
      <c r="BC69" s="15"/>
      <c r="BD69" s="9"/>
      <c r="BE69" s="15"/>
      <c r="BF69" s="15"/>
      <c r="BG69" s="15"/>
      <c r="BH69" s="9"/>
      <c r="BI69" s="15"/>
      <c r="BJ69" s="9"/>
      <c r="BK69" s="15"/>
      <c r="BL69" s="9"/>
      <c r="BM69" s="15"/>
      <c r="BN69" s="9"/>
      <c r="BO69" s="15"/>
      <c r="BP69" s="15"/>
      <c r="BQ69" s="15"/>
      <c r="BR69" s="9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2">
      <c r="A70" s="41"/>
      <c r="B70" s="9">
        <v>208.8</v>
      </c>
      <c r="C70" s="15" t="s">
        <v>14358</v>
      </c>
      <c r="D70" s="9">
        <f>788.79-702.95</f>
        <v>85.839999999999918</v>
      </c>
      <c r="E70" s="15" t="s">
        <v>14379</v>
      </c>
      <c r="F70" s="9"/>
      <c r="G70" s="15"/>
      <c r="H70" s="9"/>
      <c r="I70" s="15"/>
      <c r="J70" s="9">
        <v>4265.54</v>
      </c>
      <c r="K70" s="15" t="s">
        <v>14514</v>
      </c>
      <c r="L70" s="9">
        <v>2582</v>
      </c>
      <c r="M70" s="15" t="s">
        <v>14554</v>
      </c>
      <c r="N70" s="72">
        <v>445.82</v>
      </c>
      <c r="O70" s="15" t="s">
        <v>14692</v>
      </c>
      <c r="P70" s="95">
        <f>+SUM(P60:P69)</f>
        <v>21408.620000000003</v>
      </c>
      <c r="Q70" s="15"/>
      <c r="R70" s="9">
        <v>1099</v>
      </c>
      <c r="S70" s="15" t="s">
        <v>14664</v>
      </c>
      <c r="T70" s="9">
        <v>1099</v>
      </c>
      <c r="U70" s="15" t="s">
        <v>14749</v>
      </c>
      <c r="V70" s="9"/>
      <c r="W70" s="15"/>
      <c r="X70" s="9">
        <v>2387.54</v>
      </c>
      <c r="Y70" s="15" t="s">
        <v>14822</v>
      </c>
      <c r="Z70" s="95">
        <f>SUM(Z60:Z69)</f>
        <v>122971.72</v>
      </c>
      <c r="AA70" s="15"/>
      <c r="AB70" s="9">
        <v>1099</v>
      </c>
      <c r="AC70" s="15" t="s">
        <v>14915</v>
      </c>
      <c r="AD70" s="9">
        <v>1099</v>
      </c>
      <c r="AE70" s="15" t="s">
        <v>14979</v>
      </c>
      <c r="AF70" s="72"/>
      <c r="AG70" s="85"/>
      <c r="AH70" s="9">
        <v>3430.99</v>
      </c>
      <c r="AI70" s="15" t="s">
        <v>15035</v>
      </c>
      <c r="AJ70" s="9">
        <v>1099.01</v>
      </c>
      <c r="AK70" s="15" t="s">
        <v>15091</v>
      </c>
      <c r="AL70" s="72">
        <v>2050</v>
      </c>
      <c r="AM70" s="15" t="s">
        <v>15135</v>
      </c>
      <c r="AN70" s="95">
        <f>SUM(AN60:AN69)</f>
        <v>18492.18</v>
      </c>
      <c r="AO70" s="15"/>
      <c r="AP70" s="9">
        <v>1099</v>
      </c>
      <c r="AQ70" s="15" t="s">
        <v>15284</v>
      </c>
      <c r="AR70" s="9">
        <v>3250</v>
      </c>
      <c r="AS70" s="15" t="s">
        <v>15327</v>
      </c>
      <c r="AT70" s="7">
        <v>3168.99</v>
      </c>
      <c r="AU70" s="26" t="s">
        <v>15442</v>
      </c>
      <c r="AV70" s="9"/>
      <c r="AW70" s="86"/>
      <c r="AX70" s="9">
        <v>3169</v>
      </c>
      <c r="AY70" s="15" t="s">
        <v>15527</v>
      </c>
      <c r="AZ70" s="9">
        <v>1099</v>
      </c>
      <c r="BA70" s="15" t="s">
        <v>15566</v>
      </c>
      <c r="BB70" s="9"/>
      <c r="BC70" s="15"/>
      <c r="BD70" s="15"/>
      <c r="BE70" s="15"/>
      <c r="BF70" s="9"/>
      <c r="BG70" s="15"/>
      <c r="BH70" s="9"/>
      <c r="BI70" s="15"/>
      <c r="BJ70" s="72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  <c r="CO70" s="15"/>
      <c r="CP70" s="9"/>
      <c r="CQ70" s="15"/>
      <c r="CR70" s="9"/>
    </row>
    <row r="71" spans="1:96" x14ac:dyDescent="0.2">
      <c r="A71" s="41"/>
      <c r="B71" s="298">
        <v>1970</v>
      </c>
      <c r="C71" s="15" t="s">
        <v>14359</v>
      </c>
      <c r="D71" s="95">
        <f>+SUM(D59:D70)</f>
        <v>19912.82</v>
      </c>
      <c r="E71" s="15"/>
      <c r="F71" s="9"/>
      <c r="G71" s="15"/>
      <c r="H71" s="15"/>
      <c r="I71" s="15"/>
      <c r="J71" s="9">
        <v>10000</v>
      </c>
      <c r="K71" s="15" t="s">
        <v>14515</v>
      </c>
      <c r="L71" s="72">
        <f>3614.21-1100-1619.21</f>
        <v>895</v>
      </c>
      <c r="M71" s="15" t="s">
        <v>14555</v>
      </c>
      <c r="N71" s="72">
        <v>2386.73</v>
      </c>
      <c r="O71" s="15" t="s">
        <v>14696</v>
      </c>
      <c r="P71" s="9"/>
      <c r="Q71" s="15"/>
      <c r="R71" s="9">
        <v>4424.59</v>
      </c>
      <c r="S71" s="15" t="s">
        <v>14668</v>
      </c>
      <c r="T71" s="9">
        <v>3169</v>
      </c>
      <c r="U71" s="15" t="s">
        <v>14750</v>
      </c>
      <c r="V71" s="9"/>
      <c r="W71" s="15"/>
      <c r="X71" s="9">
        <v>3250</v>
      </c>
      <c r="Y71" s="15" t="s">
        <v>14825</v>
      </c>
      <c r="Z71" s="15"/>
      <c r="AA71" s="15"/>
      <c r="AB71" s="9">
        <v>3250</v>
      </c>
      <c r="AC71" s="15" t="s">
        <v>14919</v>
      </c>
      <c r="AD71" s="9">
        <v>1099.01</v>
      </c>
      <c r="AE71" s="15" t="s">
        <v>14985</v>
      </c>
      <c r="AF71" s="72"/>
      <c r="AG71" s="15"/>
      <c r="AH71" s="9">
        <v>414</v>
      </c>
      <c r="AI71" s="15" t="s">
        <v>15038</v>
      </c>
      <c r="AJ71" s="9">
        <v>1099.01</v>
      </c>
      <c r="AK71" s="15" t="s">
        <v>15094</v>
      </c>
      <c r="AL71" s="72">
        <v>1099.01</v>
      </c>
      <c r="AM71" s="15" t="s">
        <v>15136</v>
      </c>
      <c r="AN71" s="9"/>
      <c r="AO71" s="15"/>
      <c r="AP71" s="72">
        <v>1000</v>
      </c>
      <c r="AQ71" s="15" t="s">
        <v>15273</v>
      </c>
      <c r="AR71" s="72">
        <v>4449.8599999999997</v>
      </c>
      <c r="AS71" s="15" t="s">
        <v>15328</v>
      </c>
      <c r="AT71" s="9">
        <v>2331.9899999999998</v>
      </c>
      <c r="AU71" s="15" t="s">
        <v>15443</v>
      </c>
      <c r="AV71" s="9">
        <v>1970</v>
      </c>
      <c r="AW71" s="86" t="s">
        <v>15471</v>
      </c>
      <c r="AX71" s="9">
        <v>4145.99</v>
      </c>
      <c r="AY71" s="15" t="s">
        <v>15528</v>
      </c>
      <c r="AZ71" s="95">
        <f>SUM(AZ60:AZ70)</f>
        <v>38477.57</v>
      </c>
      <c r="BA71" s="15"/>
      <c r="BB71" s="15"/>
      <c r="BC71" s="15"/>
      <c r="BD71" s="15"/>
      <c r="BE71" s="15"/>
      <c r="BF71" s="298"/>
      <c r="BG71" s="15"/>
      <c r="BH71" s="9"/>
      <c r="BI71" s="15"/>
      <c r="BJ71" s="72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  <c r="CO71" s="15"/>
      <c r="CP71" s="9"/>
      <c r="CQ71" s="15"/>
      <c r="CR71" s="9"/>
    </row>
    <row r="72" spans="1:96" x14ac:dyDescent="0.2">
      <c r="A72" s="41"/>
      <c r="B72" s="9">
        <v>4962.99</v>
      </c>
      <c r="C72" s="15" t="s">
        <v>14361</v>
      </c>
      <c r="D72" s="15"/>
      <c r="E72" s="15"/>
      <c r="F72" s="15"/>
      <c r="G72" s="15"/>
      <c r="H72" s="9"/>
      <c r="I72" s="15"/>
      <c r="J72" s="9">
        <v>7900</v>
      </c>
      <c r="K72" s="15" t="s">
        <v>14516</v>
      </c>
      <c r="L72" s="9">
        <v>3250</v>
      </c>
      <c r="M72" s="15" t="s">
        <v>14557</v>
      </c>
      <c r="N72" s="72">
        <v>1970</v>
      </c>
      <c r="O72" s="15" t="s">
        <v>14697</v>
      </c>
      <c r="P72" s="9">
        <v>5220</v>
      </c>
      <c r="Q72" s="15" t="s">
        <v>14707</v>
      </c>
      <c r="R72" s="9">
        <v>1995</v>
      </c>
      <c r="S72" s="15" t="s">
        <v>14669</v>
      </c>
      <c r="T72" s="9">
        <v>1994.99</v>
      </c>
      <c r="U72" s="15" t="s">
        <v>14752</v>
      </c>
      <c r="V72" s="9"/>
      <c r="W72" s="15"/>
      <c r="X72" s="9">
        <v>79.44</v>
      </c>
      <c r="Y72" s="15" t="s">
        <v>14829</v>
      </c>
      <c r="Z72" s="9">
        <v>5000</v>
      </c>
      <c r="AA72" s="15" t="s">
        <v>14867</v>
      </c>
      <c r="AB72" s="95">
        <f>+SUM(AB60:AB71)</f>
        <v>36649.089999999997</v>
      </c>
      <c r="AC72" s="15"/>
      <c r="AD72" s="90">
        <v>9719.56</v>
      </c>
      <c r="AE72" s="15" t="s">
        <v>14987</v>
      </c>
      <c r="AF72" s="9"/>
      <c r="AG72" s="15"/>
      <c r="AH72" s="9">
        <v>1795.01</v>
      </c>
      <c r="AI72" s="15" t="s">
        <v>15039</v>
      </c>
      <c r="AJ72" s="72">
        <v>1099</v>
      </c>
      <c r="AK72" s="24" t="s">
        <v>15097</v>
      </c>
      <c r="AL72" s="9">
        <v>13897.65</v>
      </c>
      <c r="AM72" s="15" t="s">
        <v>15137</v>
      </c>
      <c r="AN72" s="9">
        <v>15000</v>
      </c>
      <c r="AO72" s="15" t="s">
        <v>15240</v>
      </c>
      <c r="AP72" s="95">
        <f>SUM(AP60:AP71)</f>
        <v>59443.349999999991</v>
      </c>
      <c r="AQ72" s="15"/>
      <c r="AR72" s="95">
        <f>SUM(AR60:AR71)</f>
        <v>30724.170000000002</v>
      </c>
      <c r="AS72" s="15"/>
      <c r="AT72" s="9">
        <v>1099.01</v>
      </c>
      <c r="AU72" s="15" t="s">
        <v>15444</v>
      </c>
      <c r="AV72" s="9">
        <v>1995</v>
      </c>
      <c r="AW72" s="86" t="s">
        <v>15472</v>
      </c>
      <c r="AX72" s="14">
        <v>1970</v>
      </c>
      <c r="AY72" s="13" t="s">
        <v>15529</v>
      </c>
      <c r="AZ72" s="9"/>
      <c r="BA72" s="15"/>
      <c r="BB72" s="15"/>
      <c r="BC72" s="15"/>
      <c r="BD72" s="9"/>
      <c r="BE72" s="15"/>
      <c r="BF72" s="298"/>
      <c r="BG72" s="15"/>
      <c r="BH72" s="9"/>
      <c r="BI72" s="15"/>
      <c r="BJ72" s="9"/>
      <c r="BK72" s="15"/>
      <c r="BL72" s="9"/>
      <c r="BM72" s="15"/>
      <c r="BN72" s="9"/>
      <c r="BO72" s="15"/>
      <c r="BP72" s="15"/>
      <c r="BQ72" s="15"/>
      <c r="BR72" s="9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2">
      <c r="A73" s="41"/>
      <c r="B73" s="9">
        <v>3330.42</v>
      </c>
      <c r="C73" s="15" t="s">
        <v>14362</v>
      </c>
      <c r="D73" s="9"/>
      <c r="E73" s="15"/>
      <c r="F73" s="9"/>
      <c r="G73" s="15"/>
      <c r="H73" s="15"/>
      <c r="I73" s="15"/>
      <c r="J73" s="9">
        <v>2666</v>
      </c>
      <c r="K73" s="15" t="s">
        <v>14522</v>
      </c>
      <c r="L73" s="9">
        <v>4395.01</v>
      </c>
      <c r="M73" s="15" t="s">
        <v>14558</v>
      </c>
      <c r="N73" s="9">
        <v>4985.01</v>
      </c>
      <c r="O73" s="15" t="s">
        <v>14698</v>
      </c>
      <c r="P73" s="9">
        <v>3933.99</v>
      </c>
      <c r="Q73" s="15" t="s">
        <v>14713</v>
      </c>
      <c r="R73" s="9">
        <v>1533.36</v>
      </c>
      <c r="S73" s="15" t="s">
        <v>14673</v>
      </c>
      <c r="T73" s="9">
        <v>2227</v>
      </c>
      <c r="U73" s="15" t="s">
        <v>14754</v>
      </c>
      <c r="V73" s="9"/>
      <c r="W73" s="15"/>
      <c r="X73" s="9">
        <v>569.88</v>
      </c>
      <c r="Y73" s="15" t="s">
        <v>14830</v>
      </c>
      <c r="Z73" s="9">
        <v>1994.99</v>
      </c>
      <c r="AA73" s="15" t="s">
        <v>14880</v>
      </c>
      <c r="AB73" s="9"/>
      <c r="AC73" s="15"/>
      <c r="AD73" s="15">
        <f>SUM(AD60:AD72)</f>
        <v>80749.53</v>
      </c>
      <c r="AE73" s="15"/>
      <c r="AF73" s="15"/>
      <c r="AG73" s="15"/>
      <c r="AH73" s="9">
        <v>783.81</v>
      </c>
      <c r="AI73" s="15" t="s">
        <v>15044</v>
      </c>
      <c r="AJ73" s="9">
        <v>2358.9899999999998</v>
      </c>
      <c r="AK73" s="15" t="s">
        <v>15099</v>
      </c>
      <c r="AL73" s="99">
        <f>SUM(AL60:AL72)</f>
        <v>41125.439999999995</v>
      </c>
      <c r="AM73" s="15"/>
      <c r="AN73" s="9">
        <v>923.66</v>
      </c>
      <c r="AO73" s="15" t="s">
        <v>15241</v>
      </c>
      <c r="AP73" s="9"/>
      <c r="AQ73" s="15"/>
      <c r="AR73" s="9"/>
      <c r="AS73" s="15"/>
      <c r="AT73" s="9">
        <v>1099</v>
      </c>
      <c r="AU73" s="15" t="s">
        <v>15445</v>
      </c>
      <c r="AV73" s="95">
        <f>SUM(AV71:AV72)</f>
        <v>3965</v>
      </c>
      <c r="AW73" s="86"/>
      <c r="AX73" s="9">
        <v>1099</v>
      </c>
      <c r="AY73" s="15" t="s">
        <v>15530</v>
      </c>
      <c r="AZ73" s="9"/>
      <c r="BA73" s="15"/>
      <c r="BB73" s="15"/>
      <c r="BC73" s="15"/>
      <c r="BD73" s="9"/>
      <c r="BE73" s="15"/>
      <c r="BF73" s="9"/>
      <c r="BG73" s="15"/>
      <c r="BH73" s="9"/>
      <c r="BI73" s="15"/>
      <c r="BJ73" s="9"/>
      <c r="BK73" s="15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  <c r="CO73" s="15"/>
      <c r="CP73" s="9"/>
      <c r="CQ73" s="15"/>
      <c r="CR73" s="9"/>
    </row>
    <row r="74" spans="1:96" x14ac:dyDescent="0.2">
      <c r="A74" s="41"/>
      <c r="B74" s="9">
        <v>1099.01</v>
      </c>
      <c r="C74" s="15" t="s">
        <v>14363</v>
      </c>
      <c r="D74" s="9"/>
      <c r="E74" s="15"/>
      <c r="F74" s="9"/>
      <c r="G74" s="15"/>
      <c r="H74" s="15"/>
      <c r="I74" s="15"/>
      <c r="J74" s="9">
        <v>2419.7399999999998</v>
      </c>
      <c r="K74" s="15" t="s">
        <v>14523</v>
      </c>
      <c r="L74" s="9">
        <v>1970</v>
      </c>
      <c r="M74" s="15" t="s">
        <v>14559</v>
      </c>
      <c r="N74" s="95">
        <f>+SUM(N70:N73)</f>
        <v>9787.5600000000013</v>
      </c>
      <c r="O74" s="15"/>
      <c r="P74" s="9">
        <v>1099</v>
      </c>
      <c r="Q74" s="15" t="s">
        <v>14719</v>
      </c>
      <c r="R74" s="9">
        <v>1099</v>
      </c>
      <c r="S74" s="15" t="s">
        <v>14674</v>
      </c>
      <c r="T74" s="95">
        <f>+SUM(T60:T73)</f>
        <v>37089.629999999997</v>
      </c>
      <c r="U74" s="15"/>
      <c r="V74" s="9"/>
      <c r="W74" s="15"/>
      <c r="X74" s="95">
        <f>+SUM(X68:X73)</f>
        <v>8442.14</v>
      </c>
      <c r="Y74" s="15"/>
      <c r="Z74" s="95">
        <f>+Z72+Z73</f>
        <v>6994.99</v>
      </c>
      <c r="AA74" s="15"/>
      <c r="AB74" s="9">
        <v>2338.58</v>
      </c>
      <c r="AC74" s="15" t="s">
        <v>14926</v>
      </c>
      <c r="AF74" s="9"/>
      <c r="AG74" s="15"/>
      <c r="AH74" s="90">
        <v>1143.1099999999999</v>
      </c>
      <c r="AI74" s="15" t="s">
        <v>15046</v>
      </c>
      <c r="AJ74" s="9">
        <v>1099.01</v>
      </c>
      <c r="AK74" s="15" t="s">
        <v>15101</v>
      </c>
      <c r="AL74" s="72"/>
      <c r="AM74" s="15"/>
      <c r="AN74" s="9">
        <v>2362.5300000000002</v>
      </c>
      <c r="AO74" s="15" t="s">
        <v>15242</v>
      </c>
      <c r="AP74" s="9">
        <v>387</v>
      </c>
      <c r="AQ74" s="15" t="s">
        <v>15358</v>
      </c>
      <c r="AR74" s="9"/>
      <c r="AS74" s="15"/>
      <c r="AT74" s="9">
        <v>3250</v>
      </c>
      <c r="AU74" s="15" t="s">
        <v>15446</v>
      </c>
      <c r="AV74" s="15"/>
      <c r="AW74" s="86"/>
      <c r="AX74" s="9">
        <v>2317.94</v>
      </c>
      <c r="AY74" s="15" t="s">
        <v>15531</v>
      </c>
      <c r="AZ74" s="9"/>
      <c r="BA74" s="15"/>
      <c r="BB74" s="9"/>
      <c r="BC74" s="15"/>
      <c r="BD74" s="9"/>
      <c r="BE74" s="15"/>
      <c r="BF74" s="9"/>
      <c r="BG74" s="15"/>
      <c r="BH74" s="15"/>
      <c r="BI74" s="15"/>
      <c r="BJ74" s="9"/>
      <c r="BK74" s="15"/>
      <c r="BL74" s="9"/>
      <c r="BM74" s="15"/>
      <c r="BN74" s="9"/>
      <c r="BO74" s="15"/>
      <c r="BP74" s="9"/>
      <c r="BQ74" s="15"/>
      <c r="BR74" s="15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  <c r="CO74" s="15"/>
      <c r="CP74" s="9"/>
      <c r="CQ74" s="15"/>
      <c r="CR74" s="9"/>
    </row>
    <row r="75" spans="1:96" x14ac:dyDescent="0.2">
      <c r="A75" s="41"/>
      <c r="B75" s="9">
        <v>1795</v>
      </c>
      <c r="C75" s="15" t="s">
        <v>14364</v>
      </c>
      <c r="D75" s="9"/>
      <c r="E75" s="15"/>
      <c r="F75" s="9"/>
      <c r="G75" s="15"/>
      <c r="H75" s="9"/>
      <c r="I75" s="15"/>
      <c r="J75" s="9">
        <v>1099</v>
      </c>
      <c r="K75" s="15" t="s">
        <v>14526</v>
      </c>
      <c r="L75" s="9">
        <v>235.12</v>
      </c>
      <c r="M75" s="15" t="s">
        <v>14569</v>
      </c>
      <c r="N75" s="9"/>
      <c r="O75" s="15"/>
      <c r="P75" s="9">
        <v>860.51</v>
      </c>
      <c r="Q75" s="15" t="s">
        <v>14721</v>
      </c>
      <c r="R75" s="9">
        <v>4146</v>
      </c>
      <c r="S75" s="15" t="s">
        <v>14677</v>
      </c>
      <c r="T75" s="15"/>
      <c r="U75" s="15"/>
      <c r="V75" s="299"/>
      <c r="W75" s="15"/>
      <c r="X75" s="299"/>
      <c r="Y75" s="15"/>
      <c r="Z75" s="9"/>
      <c r="AA75" s="15"/>
      <c r="AB75" s="9">
        <v>1995</v>
      </c>
      <c r="AC75" s="15" t="s">
        <v>14932</v>
      </c>
      <c r="AD75" s="9"/>
      <c r="AE75" s="15"/>
      <c r="AF75" s="9"/>
      <c r="AG75" s="15"/>
      <c r="AH75" s="15">
        <f>SUM(AH64:AH74)</f>
        <v>48706.92</v>
      </c>
      <c r="AI75" s="15"/>
      <c r="AJ75" s="9">
        <v>4169.01</v>
      </c>
      <c r="AK75" s="15" t="s">
        <v>15102</v>
      </c>
      <c r="AL75" s="72">
        <v>26200</v>
      </c>
      <c r="AM75" s="15" t="s">
        <v>15166</v>
      </c>
      <c r="AN75" s="9">
        <v>2350</v>
      </c>
      <c r="AO75" s="15" t="s">
        <v>15243</v>
      </c>
      <c r="AP75" s="9">
        <v>746.94</v>
      </c>
      <c r="AQ75" s="15" t="s">
        <v>15359</v>
      </c>
      <c r="AR75" s="9"/>
      <c r="AS75" s="15"/>
      <c r="AT75" s="72">
        <v>1970</v>
      </c>
      <c r="AU75" s="15" t="s">
        <v>15447</v>
      </c>
      <c r="AV75" s="24"/>
      <c r="AW75" s="86"/>
      <c r="AX75" s="9">
        <v>79.44</v>
      </c>
      <c r="AY75" s="15" t="s">
        <v>15532</v>
      </c>
      <c r="AZ75" s="9">
        <v>5917.22</v>
      </c>
      <c r="BA75" s="15" t="s">
        <v>15590</v>
      </c>
      <c r="BB75" s="15"/>
      <c r="BC75" s="15"/>
      <c r="BD75" s="9"/>
      <c r="BE75" s="15"/>
      <c r="BF75" s="9"/>
      <c r="BG75" s="15"/>
      <c r="BH75" s="9"/>
      <c r="BI75" s="15"/>
      <c r="BJ75" s="9"/>
      <c r="BK75" s="15"/>
      <c r="BL75" s="9"/>
      <c r="BM75" s="15"/>
      <c r="BN75" s="9"/>
      <c r="BO75" s="15"/>
      <c r="BP75" s="9"/>
      <c r="BQ75" s="15"/>
      <c r="BR75" s="15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  <c r="CO75" s="15"/>
      <c r="CP75" s="9"/>
      <c r="CQ75" s="15"/>
      <c r="CR75" s="9"/>
    </row>
    <row r="76" spans="1:96" x14ac:dyDescent="0.2">
      <c r="A76" s="41"/>
      <c r="B76" s="9">
        <v>1994.99</v>
      </c>
      <c r="C76" s="15" t="s">
        <v>14365</v>
      </c>
      <c r="D76" s="9"/>
      <c r="E76" s="15"/>
      <c r="F76" s="15"/>
      <c r="G76" s="15"/>
      <c r="H76" s="15"/>
      <c r="I76" s="15"/>
      <c r="J76" s="95">
        <f>+SUM(J70:J75)</f>
        <v>28350.28</v>
      </c>
      <c r="K76" s="15"/>
      <c r="L76" s="95">
        <f>+SUM(L66:L75)</f>
        <v>34736.290000000008</v>
      </c>
      <c r="M76" s="15"/>
      <c r="N76" s="15"/>
      <c r="O76" s="15"/>
      <c r="P76" s="9">
        <v>464.16</v>
      </c>
      <c r="Q76" s="15" t="s">
        <v>14722</v>
      </c>
      <c r="R76" s="9">
        <v>464</v>
      </c>
      <c r="S76" s="15" t="s">
        <v>14679</v>
      </c>
      <c r="T76" s="9">
        <v>5000</v>
      </c>
      <c r="U76" s="15" t="s">
        <v>14756</v>
      </c>
      <c r="V76" s="299"/>
      <c r="W76" s="15"/>
      <c r="X76" s="299"/>
      <c r="Y76" s="15"/>
      <c r="Z76" s="9"/>
      <c r="AA76" s="15"/>
      <c r="AB76" s="9">
        <v>2326.37</v>
      </c>
      <c r="AC76" s="15" t="s">
        <v>14936</v>
      </c>
      <c r="AD76" s="9"/>
      <c r="AE76" s="15"/>
      <c r="AF76" s="15"/>
      <c r="AG76" s="15"/>
      <c r="AH76" s="9"/>
      <c r="AI76" s="15"/>
      <c r="AJ76" s="9">
        <v>1099.01</v>
      </c>
      <c r="AK76" s="15" t="s">
        <v>15104</v>
      </c>
      <c r="AL76" s="72">
        <v>1751.21</v>
      </c>
      <c r="AM76" s="15" t="s">
        <v>15167</v>
      </c>
      <c r="AN76" s="72">
        <v>34000</v>
      </c>
      <c r="AO76" s="15" t="s">
        <v>15244</v>
      </c>
      <c r="AP76" s="9">
        <v>34180.449999999997</v>
      </c>
      <c r="AQ76" s="15" t="s">
        <v>15360</v>
      </c>
      <c r="AR76" s="9"/>
      <c r="AS76" s="15"/>
      <c r="AT76" s="9">
        <v>1099.01</v>
      </c>
      <c r="AU76" s="15" t="s">
        <v>15448</v>
      </c>
      <c r="AV76" s="24"/>
      <c r="AW76" s="86"/>
      <c r="AX76" s="9">
        <v>9421.99</v>
      </c>
      <c r="AY76" s="15" t="s">
        <v>15533</v>
      </c>
      <c r="AZ76" s="9">
        <v>8149</v>
      </c>
      <c r="BA76" s="15" t="s">
        <v>15591</v>
      </c>
      <c r="BB76" s="9"/>
      <c r="BC76" s="15"/>
      <c r="BD76" s="9"/>
      <c r="BE76" s="15"/>
      <c r="BF76" s="9"/>
      <c r="BG76" s="15"/>
      <c r="BH76" s="72"/>
      <c r="BI76" s="15"/>
      <c r="BJ76" s="9"/>
      <c r="BK76" s="15"/>
      <c r="BL76" s="9"/>
      <c r="BM76" s="15"/>
      <c r="BN76" s="15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  <c r="CO76" s="15"/>
      <c r="CP76" s="9"/>
      <c r="CQ76" s="15"/>
      <c r="CR76" s="9"/>
    </row>
    <row r="77" spans="1:96" x14ac:dyDescent="0.2">
      <c r="A77" s="41"/>
      <c r="B77" s="9">
        <v>3250</v>
      </c>
      <c r="C77" s="15" t="s">
        <v>14366</v>
      </c>
      <c r="D77" s="9"/>
      <c r="E77" s="15"/>
      <c r="F77" s="15"/>
      <c r="G77" s="15"/>
      <c r="H77" s="9"/>
      <c r="I77" s="15"/>
      <c r="J77" s="15"/>
      <c r="K77" s="9"/>
      <c r="L77" s="9"/>
      <c r="M77" s="15"/>
      <c r="N77" s="9"/>
      <c r="O77" s="15"/>
      <c r="P77" s="9">
        <v>1676.9</v>
      </c>
      <c r="Q77" s="15" t="s">
        <v>14723</v>
      </c>
      <c r="R77" s="9">
        <v>3169</v>
      </c>
      <c r="S77" s="15" t="s">
        <v>14680</v>
      </c>
      <c r="T77" s="9">
        <v>1099</v>
      </c>
      <c r="U77" s="15" t="s">
        <v>14763</v>
      </c>
      <c r="V77" s="9"/>
      <c r="W77" s="15"/>
      <c r="X77" s="9"/>
      <c r="Y77" s="15"/>
      <c r="Z77" s="15"/>
      <c r="AA77" s="15"/>
      <c r="AB77" s="9">
        <v>304.92</v>
      </c>
      <c r="AC77" s="15" t="s">
        <v>14939</v>
      </c>
      <c r="AD77" s="9"/>
      <c r="AE77" s="15"/>
      <c r="AF77" s="15"/>
      <c r="AG77" s="15"/>
      <c r="AH77" s="15"/>
      <c r="AI77" s="15"/>
      <c r="AJ77" s="9">
        <v>4145.99</v>
      </c>
      <c r="AK77" s="15" t="s">
        <v>15107</v>
      </c>
      <c r="AL77" s="72">
        <v>1919</v>
      </c>
      <c r="AM77" s="15" t="s">
        <v>15168</v>
      </c>
      <c r="AN77" s="9">
        <v>1020</v>
      </c>
      <c r="AO77" s="15" t="s">
        <v>15245</v>
      </c>
      <c r="AP77" s="9">
        <v>3250</v>
      </c>
      <c r="AQ77" s="15" t="s">
        <v>15361</v>
      </c>
      <c r="AR77" s="15"/>
      <c r="AS77" s="15"/>
      <c r="AT77" s="95">
        <f>SUM(AT69:AT76)</f>
        <v>17268</v>
      </c>
      <c r="AU77" s="15"/>
      <c r="AV77" s="24"/>
      <c r="AW77" s="86"/>
      <c r="AX77" s="9">
        <v>1970</v>
      </c>
      <c r="AY77" s="15" t="s">
        <v>15534</v>
      </c>
      <c r="AZ77" s="9">
        <v>4146</v>
      </c>
      <c r="BA77" s="15" t="s">
        <v>15592</v>
      </c>
      <c r="BB77" s="9"/>
      <c r="BC77" s="15"/>
      <c r="BD77" s="9"/>
      <c r="BE77" s="15"/>
      <c r="BF77" s="9"/>
      <c r="BG77" s="15"/>
      <c r="BH77" s="72"/>
      <c r="BI77" s="15"/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  <c r="CO77" s="15"/>
      <c r="CP77" s="9"/>
      <c r="CQ77" s="15"/>
      <c r="CR77" s="9"/>
    </row>
    <row r="78" spans="1:96" x14ac:dyDescent="0.2">
      <c r="A78" s="41"/>
      <c r="B78" s="95">
        <f>+SUM(B66:B77)</f>
        <v>53196.259999999995</v>
      </c>
      <c r="C78" s="15"/>
      <c r="D78" s="9"/>
      <c r="E78" s="15"/>
      <c r="F78" s="9"/>
      <c r="G78" s="15"/>
      <c r="H78" s="9"/>
      <c r="I78" s="15"/>
      <c r="J78" s="9"/>
      <c r="K78" s="15"/>
      <c r="L78" s="15"/>
      <c r="M78" s="15"/>
      <c r="N78" s="72"/>
      <c r="O78" s="15"/>
      <c r="P78" s="95">
        <f>+SUM(P72:P77)</f>
        <v>13254.56</v>
      </c>
      <c r="Q78" s="15"/>
      <c r="R78" s="9">
        <v>1099.01</v>
      </c>
      <c r="S78" s="15" t="s">
        <v>14681</v>
      </c>
      <c r="T78" s="9">
        <v>1099.01</v>
      </c>
      <c r="U78" s="15" t="s">
        <v>14764</v>
      </c>
      <c r="V78" s="9"/>
      <c r="W78" s="15"/>
      <c r="X78" s="15"/>
      <c r="Y78" s="15"/>
      <c r="Z78" s="15"/>
      <c r="AA78" s="15"/>
      <c r="AB78" s="9">
        <v>1140.56</v>
      </c>
      <c r="AC78" s="15" t="s">
        <v>14940</v>
      </c>
      <c r="AD78" s="15"/>
      <c r="AE78" s="15"/>
      <c r="AF78" s="9"/>
      <c r="AG78" s="15"/>
      <c r="AH78" s="9"/>
      <c r="AI78" s="15"/>
      <c r="AJ78" s="9">
        <v>1099</v>
      </c>
      <c r="AK78" s="15" t="s">
        <v>15108</v>
      </c>
      <c r="AL78" s="72">
        <v>482.7</v>
      </c>
      <c r="AM78" s="15" t="s">
        <v>15155</v>
      </c>
      <c r="AN78" s="9">
        <v>3168.99</v>
      </c>
      <c r="AO78" s="15" t="s">
        <v>15246</v>
      </c>
      <c r="AP78" s="9">
        <v>1970</v>
      </c>
      <c r="AQ78" s="15" t="s">
        <v>15362</v>
      </c>
      <c r="AR78" s="15"/>
      <c r="AS78" s="15"/>
      <c r="AT78" s="9"/>
      <c r="AU78" s="15"/>
      <c r="AV78" s="9"/>
      <c r="AW78" s="86"/>
      <c r="AX78" s="298">
        <v>1099</v>
      </c>
      <c r="AY78" s="15" t="s">
        <v>15535</v>
      </c>
      <c r="AZ78" s="299">
        <v>20000</v>
      </c>
      <c r="BA78" s="15" t="s">
        <v>15593</v>
      </c>
      <c r="BB78" s="9"/>
      <c r="BC78" s="15"/>
      <c r="BD78" s="298"/>
      <c r="BE78" s="15"/>
      <c r="BF78" s="15"/>
      <c r="BG78" s="15"/>
      <c r="BH78" s="9"/>
      <c r="BI78" s="15"/>
      <c r="BJ78" s="15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  <c r="CO78" s="15"/>
      <c r="CP78" s="9"/>
      <c r="CQ78" s="15"/>
      <c r="CR78" s="9"/>
    </row>
    <row r="79" spans="1:96" x14ac:dyDescent="0.2">
      <c r="A79" s="41"/>
      <c r="B79" s="9"/>
      <c r="C79" s="15"/>
      <c r="D79" s="9"/>
      <c r="E79" s="15"/>
      <c r="F79" s="9"/>
      <c r="G79" s="15"/>
      <c r="H79" s="9"/>
      <c r="I79" s="15"/>
      <c r="J79" s="9"/>
      <c r="K79" s="15"/>
      <c r="L79" s="9"/>
      <c r="M79" s="15"/>
      <c r="N79" s="15"/>
      <c r="O79" s="15"/>
      <c r="P79" s="9"/>
      <c r="Q79" s="15"/>
      <c r="R79" s="95">
        <f>+SUM(R59:R78)</f>
        <v>44693.27</v>
      </c>
      <c r="S79" s="15"/>
      <c r="T79" s="95">
        <f>+SUM(T76:T78)</f>
        <v>7198.01</v>
      </c>
      <c r="U79" s="15"/>
      <c r="V79" s="9"/>
      <c r="W79" s="15"/>
      <c r="X79" s="15"/>
      <c r="Y79" s="15"/>
      <c r="Z79" s="15"/>
      <c r="AA79" s="15"/>
      <c r="AB79" s="90">
        <v>1099</v>
      </c>
      <c r="AC79" s="15" t="s">
        <v>14942</v>
      </c>
      <c r="AD79" s="9"/>
      <c r="AE79" s="15"/>
      <c r="AF79" s="9"/>
      <c r="AG79" s="15"/>
      <c r="AH79" s="9"/>
      <c r="AI79" s="15"/>
      <c r="AJ79" s="90">
        <v>1099</v>
      </c>
      <c r="AK79" s="15" t="s">
        <v>15113</v>
      </c>
      <c r="AL79" s="72">
        <v>1099</v>
      </c>
      <c r="AM79" s="15" t="s">
        <v>15169</v>
      </c>
      <c r="AN79" s="95">
        <f>SUM(AN72:AN78)</f>
        <v>58825.18</v>
      </c>
      <c r="AO79" s="15"/>
      <c r="AP79" s="9">
        <v>3250.01</v>
      </c>
      <c r="AQ79" s="15" t="s">
        <v>15363</v>
      </c>
      <c r="AR79" s="9"/>
      <c r="AS79" s="15"/>
      <c r="AT79" s="9"/>
      <c r="AU79" s="15"/>
      <c r="AV79" s="299"/>
      <c r="AW79" s="86"/>
      <c r="AX79" s="9">
        <v>3500</v>
      </c>
      <c r="AY79" s="15" t="s">
        <v>15536</v>
      </c>
      <c r="AZ79" s="9">
        <v>10000</v>
      </c>
      <c r="BA79" s="15" t="s">
        <v>15594</v>
      </c>
      <c r="BB79" s="9"/>
      <c r="BC79" s="15"/>
      <c r="BD79" s="72"/>
      <c r="BE79" s="15"/>
      <c r="BF79" s="9"/>
      <c r="BG79" s="15"/>
      <c r="BH79" s="9"/>
      <c r="BI79" s="15"/>
      <c r="BJ79" s="15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  <c r="CO79" s="15"/>
      <c r="CP79" s="9"/>
      <c r="CQ79" s="15"/>
      <c r="CR79" s="9"/>
    </row>
    <row r="80" spans="1:96" x14ac:dyDescent="0.2">
      <c r="A80" s="41"/>
      <c r="B80" s="9"/>
      <c r="C80" s="15"/>
      <c r="D80" s="9"/>
      <c r="E80" s="15"/>
      <c r="F80" s="24"/>
      <c r="G80" s="15"/>
      <c r="H80" s="9"/>
      <c r="I80" s="15"/>
      <c r="J80" s="9"/>
      <c r="K80" s="15"/>
      <c r="L80" s="9"/>
      <c r="M80" s="15"/>
      <c r="N80" s="9"/>
      <c r="O80" s="15"/>
      <c r="P80" s="15"/>
      <c r="Q80" s="15"/>
      <c r="R80" s="95"/>
      <c r="S80" s="15"/>
      <c r="T80" s="9"/>
      <c r="U80" s="15"/>
      <c r="V80" s="9"/>
      <c r="W80" s="15"/>
      <c r="X80" s="9"/>
      <c r="Y80" s="15"/>
      <c r="Z80" s="15"/>
      <c r="AA80" s="15"/>
      <c r="AB80" s="15">
        <f>SUM(AB74:AB79)</f>
        <v>9204.43</v>
      </c>
      <c r="AC80" s="15"/>
      <c r="AD80" s="9"/>
      <c r="AE80" s="15"/>
      <c r="AF80" s="15"/>
      <c r="AG80" s="15"/>
      <c r="AH80" s="9"/>
      <c r="AI80" s="15"/>
      <c r="AJ80" s="300">
        <f>SUM(AJ67:AJ79)</f>
        <v>22464.760000000002</v>
      </c>
      <c r="AK80" s="15"/>
      <c r="AL80" s="72">
        <v>5124.29</v>
      </c>
      <c r="AM80" s="15" t="s">
        <v>15170</v>
      </c>
      <c r="AN80" s="15"/>
      <c r="AO80" s="15"/>
      <c r="AP80" s="95">
        <f>SUM(AP74:AP79)</f>
        <v>43784.4</v>
      </c>
      <c r="AQ80" s="15"/>
      <c r="AR80" s="9"/>
      <c r="AS80" s="15"/>
      <c r="AT80" s="9"/>
      <c r="AU80" s="15"/>
      <c r="AV80" s="9"/>
      <c r="AW80" s="86"/>
      <c r="AX80" s="299">
        <v>1995</v>
      </c>
      <c r="AY80" s="15" t="s">
        <v>15537</v>
      </c>
      <c r="AZ80" s="299">
        <v>11310.72</v>
      </c>
      <c r="BA80" s="15" t="s">
        <v>15595</v>
      </c>
      <c r="BB80" s="9"/>
      <c r="BC80" s="15"/>
      <c r="BD80" s="9"/>
      <c r="BE80" s="9"/>
      <c r="BF80" s="9"/>
      <c r="BG80" s="15"/>
      <c r="BH80" s="9"/>
      <c r="BI80" s="15"/>
      <c r="BJ80" s="9"/>
      <c r="BK80" s="15"/>
      <c r="BL80" s="9"/>
      <c r="BM80" s="15"/>
      <c r="BN80" s="9"/>
      <c r="BO80" s="15"/>
      <c r="BP80" s="9"/>
      <c r="BQ80" s="15"/>
      <c r="BR80" s="15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  <c r="CO80" s="15"/>
      <c r="CP80" s="9"/>
      <c r="CQ80" s="15"/>
      <c r="CR80" s="9"/>
    </row>
    <row r="81" spans="1:99" x14ac:dyDescent="0.2">
      <c r="A81" s="41"/>
      <c r="B81" s="9"/>
      <c r="C81" s="15"/>
      <c r="D81" s="9"/>
      <c r="E81" s="15"/>
      <c r="F81" s="9"/>
      <c r="G81" s="15"/>
      <c r="H81" s="15"/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15"/>
      <c r="W81" s="15"/>
      <c r="X81" s="9"/>
      <c r="Y81" s="15"/>
      <c r="Z81" s="15"/>
      <c r="AA81" s="15"/>
      <c r="AB81" s="15"/>
      <c r="AC81" s="15"/>
      <c r="AD81" s="9"/>
      <c r="AE81" s="15"/>
      <c r="AF81" s="9"/>
      <c r="AG81" s="15"/>
      <c r="AH81" s="15"/>
      <c r="AI81" s="15"/>
      <c r="AJ81" s="9"/>
      <c r="AK81" s="15"/>
      <c r="AL81" s="72">
        <v>2500</v>
      </c>
      <c r="AM81" s="15" t="s">
        <v>15171</v>
      </c>
      <c r="AN81" s="9"/>
      <c r="AO81" s="15"/>
      <c r="AP81" s="15"/>
      <c r="AQ81" s="15"/>
      <c r="AR81" s="15"/>
      <c r="AS81" s="15"/>
      <c r="AT81" s="15"/>
      <c r="AU81" s="15"/>
      <c r="AV81" s="15"/>
      <c r="AW81" s="86"/>
      <c r="AX81" s="9">
        <v>3168.99</v>
      </c>
      <c r="AY81" s="15" t="s">
        <v>15538</v>
      </c>
      <c r="AZ81" s="95">
        <f>SUM(AZ75:AZ80)</f>
        <v>59522.94</v>
      </c>
      <c r="BA81" s="15"/>
      <c r="BB81" s="9"/>
      <c r="BC81" s="15"/>
      <c r="BD81" s="15"/>
      <c r="BE81" s="15"/>
      <c r="BF81" s="9"/>
      <c r="BG81" s="15"/>
      <c r="BH81" s="9"/>
      <c r="BI81" s="15"/>
      <c r="BJ81" s="9"/>
      <c r="BK81" s="15"/>
      <c r="BL81" s="15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  <c r="CO81" s="15"/>
      <c r="CP81" s="9"/>
      <c r="CQ81" s="15"/>
      <c r="CR81" s="9"/>
    </row>
    <row r="82" spans="1:99" x14ac:dyDescent="0.2">
      <c r="A82" s="42"/>
      <c r="B82" s="23"/>
      <c r="C82" s="23"/>
      <c r="D82" s="23"/>
      <c r="E82" s="23"/>
      <c r="F82" s="23"/>
      <c r="G82" s="23"/>
      <c r="H82" s="14"/>
      <c r="I82" s="23"/>
      <c r="J82" s="23"/>
      <c r="K82" s="23"/>
      <c r="L82" s="14"/>
      <c r="M82" s="23"/>
      <c r="N82" s="23"/>
      <c r="O82" s="23"/>
      <c r="P82" s="14"/>
      <c r="Q82" s="23"/>
      <c r="R82" s="23"/>
      <c r="S82" s="23"/>
      <c r="T82" s="14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72">
        <v>1099.01</v>
      </c>
      <c r="AM82" s="23" t="s">
        <v>15172</v>
      </c>
      <c r="AN82" s="23"/>
      <c r="AO82" s="23"/>
      <c r="AP82" s="14"/>
      <c r="AQ82" s="23"/>
      <c r="AR82" s="23"/>
      <c r="AS82" s="23"/>
      <c r="AT82" s="23"/>
      <c r="AU82" s="23"/>
      <c r="AV82" s="23"/>
      <c r="AW82" s="324"/>
      <c r="AX82" s="111">
        <f>SUM(AX68:AX81)</f>
        <v>37144.81</v>
      </c>
      <c r="AY82" s="23"/>
      <c r="AZ82" s="14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</row>
    <row r="83" spans="1:99" x14ac:dyDescent="0.2">
      <c r="A83" s="41"/>
      <c r="B83" s="9"/>
      <c r="C83" s="15"/>
      <c r="D83" s="9"/>
      <c r="E83" s="15"/>
      <c r="F83" s="9"/>
      <c r="G83" s="9"/>
      <c r="H83" s="15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15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9">
        <v>253.33</v>
      </c>
      <c r="AM83" s="15" t="s">
        <v>15173</v>
      </c>
      <c r="AN83" s="9"/>
      <c r="AO83" s="15"/>
      <c r="AP83" s="14"/>
      <c r="AQ83" s="23"/>
      <c r="AR83" s="9"/>
      <c r="AS83" s="15"/>
      <c r="AT83" s="9"/>
      <c r="AU83" s="15"/>
      <c r="AV83" s="9"/>
      <c r="AW83" s="86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  <c r="CO83" s="15"/>
      <c r="CP83" s="9"/>
      <c r="CQ83" s="15"/>
      <c r="CR83" s="9"/>
    </row>
    <row r="84" spans="1:99" x14ac:dyDescent="0.2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15"/>
      <c r="Q84" s="15"/>
      <c r="R84" s="9"/>
      <c r="S84" s="15"/>
      <c r="T84" s="9"/>
      <c r="U84" s="15"/>
      <c r="V84" s="9"/>
      <c r="W84" s="15"/>
      <c r="X84" s="9"/>
      <c r="Y84" s="15"/>
      <c r="Z84" s="15"/>
      <c r="AA84" s="15"/>
      <c r="AB84" s="9"/>
      <c r="AC84" s="15"/>
      <c r="AD84" s="9"/>
      <c r="AE84" s="15"/>
      <c r="AF84" s="18"/>
      <c r="AG84" s="18"/>
      <c r="AH84" s="9"/>
      <c r="AI84" s="15"/>
      <c r="AJ84" s="9"/>
      <c r="AK84" s="15"/>
      <c r="AL84" s="51">
        <f>SUM(AL75:AL83)</f>
        <v>40428.54</v>
      </c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86"/>
      <c r="AX84" s="9"/>
      <c r="AY84" s="15"/>
      <c r="AZ84" s="15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  <c r="CO84" s="15"/>
      <c r="CP84" s="9"/>
      <c r="CQ84" s="15"/>
      <c r="CR84" s="9"/>
    </row>
    <row r="85" spans="1:99" x14ac:dyDescent="0.2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15"/>
      <c r="M85" s="15"/>
      <c r="N85" s="9"/>
      <c r="O85" s="15"/>
      <c r="P85" s="9"/>
      <c r="Q85" s="15"/>
      <c r="R85" s="9"/>
      <c r="S85" s="15"/>
      <c r="T85" s="15"/>
      <c r="U85" s="15"/>
      <c r="V85" s="9"/>
      <c r="W85" s="15"/>
      <c r="X85" s="9"/>
      <c r="Y85" s="15"/>
      <c r="Z85" s="15"/>
      <c r="AA85" s="15"/>
      <c r="AB85" s="9"/>
      <c r="AC85" s="15"/>
      <c r="AD85" s="9"/>
      <c r="AE85" s="15"/>
      <c r="AF85" s="18"/>
      <c r="AG85" s="18"/>
      <c r="AH85" s="9"/>
      <c r="AI85" s="15"/>
      <c r="AJ85" s="9"/>
      <c r="AK85" s="15"/>
      <c r="AL85" s="95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86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  <c r="CO85" s="15"/>
      <c r="CP85" s="9"/>
      <c r="CQ85" s="15"/>
      <c r="CR85" s="9"/>
    </row>
    <row r="86" spans="1:99" x14ac:dyDescent="0.2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15"/>
      <c r="AA86" s="15"/>
      <c r="AB86" s="9"/>
      <c r="AC86" s="15"/>
      <c r="AD86" s="9"/>
      <c r="AE86" s="15"/>
      <c r="AF86" s="18"/>
      <c r="AG86" s="18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86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  <c r="CO86" s="15"/>
      <c r="CP86" s="9"/>
      <c r="CQ86" s="15"/>
      <c r="CR86" s="9"/>
    </row>
    <row r="87" spans="1:99" x14ac:dyDescent="0.2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3"/>
      <c r="AA87" s="13"/>
      <c r="AB87" s="11"/>
      <c r="AC87" s="13"/>
      <c r="AD87" s="11"/>
      <c r="AE87" s="13"/>
      <c r="AF87" s="18"/>
      <c r="AG87" s="18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324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  <c r="CO87" s="13"/>
      <c r="CP87" s="11"/>
      <c r="CQ87" s="13"/>
      <c r="CR87" s="11"/>
    </row>
    <row r="88" spans="1:99" x14ac:dyDescent="0.2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23"/>
      <c r="AC88" s="13"/>
      <c r="AD88" s="13"/>
      <c r="AE88" s="13"/>
      <c r="AF88" s="18"/>
      <c r="AG88" s="18"/>
      <c r="AH88" s="13"/>
      <c r="AI88" s="13"/>
      <c r="AJ88" s="13"/>
      <c r="AK88" s="13"/>
      <c r="AL88" s="13"/>
      <c r="AM88" s="13"/>
      <c r="AN88" s="13"/>
      <c r="AO88" s="13"/>
      <c r="AP88" s="23"/>
      <c r="AQ88" s="13"/>
      <c r="AR88" s="13"/>
      <c r="AS88" s="13"/>
      <c r="AT88" s="13"/>
      <c r="AU88" s="13"/>
      <c r="AV88" s="13"/>
      <c r="AW88" s="32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</row>
    <row r="89" spans="1:99" x14ac:dyDescent="0.2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23"/>
      <c r="AR89" s="13"/>
      <c r="AS89" s="13"/>
      <c r="AT89" s="13"/>
      <c r="AU89" s="13"/>
      <c r="AV89" s="13"/>
      <c r="AW89" s="32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</row>
    <row r="90" spans="1:99" x14ac:dyDescent="0.2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32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</row>
    <row r="91" spans="1:99" s="330" customFormat="1" x14ac:dyDescent="0.2">
      <c r="A91" s="328"/>
      <c r="B91" s="329"/>
      <c r="C91" s="329"/>
      <c r="D91" s="329"/>
      <c r="E91" s="329"/>
      <c r="F91" s="329"/>
      <c r="G91" s="329"/>
      <c r="H91" s="329"/>
      <c r="I91" s="329"/>
      <c r="J91" s="329"/>
      <c r="K91" s="32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329"/>
      <c r="Z91" s="329"/>
      <c r="AA91" s="329"/>
      <c r="AB91" s="329"/>
      <c r="AC91" s="329"/>
      <c r="AD91" s="329"/>
      <c r="AE91" s="329"/>
      <c r="AF91" s="329"/>
      <c r="AG91" s="329"/>
      <c r="AH91" s="329"/>
      <c r="AI91" s="329"/>
      <c r="AJ91" s="329"/>
      <c r="AK91" s="329"/>
      <c r="AL91" s="329"/>
      <c r="AM91" s="329"/>
      <c r="AN91" s="329"/>
      <c r="AO91" s="329"/>
      <c r="AP91" s="329"/>
      <c r="AQ91" s="329"/>
      <c r="AR91" s="329"/>
      <c r="AS91" s="329"/>
      <c r="AT91" s="329"/>
      <c r="AU91" s="329"/>
      <c r="AW91" s="331"/>
      <c r="AX91" s="329"/>
      <c r="AY91" s="329"/>
      <c r="AZ91" s="329"/>
      <c r="BA91" s="329"/>
      <c r="BB91" s="329"/>
      <c r="BC91" s="329"/>
      <c r="BD91" s="329"/>
      <c r="BE91" s="329"/>
      <c r="BF91" s="329"/>
      <c r="BG91" s="329"/>
      <c r="BH91" s="329"/>
      <c r="BI91" s="329"/>
      <c r="BJ91" s="329"/>
      <c r="BK91" s="329"/>
      <c r="BL91" s="329"/>
      <c r="BM91" s="329"/>
      <c r="BN91" s="329"/>
      <c r="BO91" s="329"/>
      <c r="BP91" s="329"/>
      <c r="BQ91" s="329"/>
      <c r="BR91" s="329"/>
      <c r="BS91" s="329"/>
      <c r="BT91" s="329"/>
      <c r="BU91" s="329"/>
      <c r="BV91" s="329"/>
      <c r="BW91" s="329"/>
      <c r="BX91" s="329"/>
      <c r="BY91" s="329"/>
      <c r="BZ91" s="329"/>
      <c r="CA91" s="329"/>
      <c r="CB91" s="329"/>
      <c r="CC91" s="329"/>
      <c r="CD91" s="329"/>
      <c r="CE91" s="329"/>
      <c r="CF91" s="329"/>
      <c r="CG91" s="329"/>
      <c r="CH91" s="329"/>
      <c r="CI91" s="329"/>
      <c r="CJ91" s="329"/>
      <c r="CK91" s="329"/>
      <c r="CL91" s="329"/>
      <c r="CM91" s="329"/>
      <c r="CN91" s="329"/>
      <c r="CO91" s="329"/>
      <c r="CP91" s="329"/>
      <c r="CQ91" s="329"/>
      <c r="CR91" s="329"/>
      <c r="CS91" s="345"/>
      <c r="CT91" s="345"/>
      <c r="CU91" s="345"/>
    </row>
    <row r="92" spans="1:99" x14ac:dyDescent="0.2">
      <c r="A92" s="41" t="s">
        <v>6</v>
      </c>
      <c r="B92" s="9">
        <v>3250</v>
      </c>
      <c r="C92" s="15" t="s">
        <v>14355</v>
      </c>
      <c r="D92" s="14">
        <v>896</v>
      </c>
      <c r="E92" s="23" t="s">
        <v>14370</v>
      </c>
      <c r="F92" s="9"/>
      <c r="G92" s="15"/>
      <c r="H92" s="9">
        <v>2420.9899999999998</v>
      </c>
      <c r="I92" s="15" t="s">
        <v>14419</v>
      </c>
      <c r="J92" s="9">
        <v>10000</v>
      </c>
      <c r="K92" s="15" t="s">
        <v>14456</v>
      </c>
      <c r="L92" s="9">
        <v>688.29</v>
      </c>
      <c r="M92" s="15" t="s">
        <v>14534</v>
      </c>
      <c r="N92" s="9">
        <v>1970</v>
      </c>
      <c r="O92" s="15" t="s">
        <v>14615</v>
      </c>
      <c r="P92" s="9">
        <v>208.8</v>
      </c>
      <c r="Q92" s="15" t="s">
        <v>14587</v>
      </c>
      <c r="R92" s="9">
        <v>4030.01</v>
      </c>
      <c r="S92" s="15" t="s">
        <v>14644</v>
      </c>
      <c r="T92" s="9">
        <v>721.36</v>
      </c>
      <c r="U92" s="15" t="s">
        <v>14727</v>
      </c>
      <c r="V92" s="9">
        <v>10000</v>
      </c>
      <c r="W92" s="15" t="s">
        <v>14772</v>
      </c>
      <c r="X92" s="9">
        <v>1518.68</v>
      </c>
      <c r="Y92" s="15" t="s">
        <v>14790</v>
      </c>
      <c r="Z92" s="10">
        <v>3480</v>
      </c>
      <c r="AA92" s="12" t="s">
        <v>14836</v>
      </c>
      <c r="AB92" s="9">
        <v>20000</v>
      </c>
      <c r="AC92" s="15" t="s">
        <v>14895</v>
      </c>
      <c r="AD92" s="9">
        <v>1961.78</v>
      </c>
      <c r="AE92" s="15" t="s">
        <v>14951</v>
      </c>
      <c r="AF92" s="9"/>
      <c r="AG92" s="15"/>
      <c r="AH92" s="9">
        <v>561.20000000000005</v>
      </c>
      <c r="AI92" s="15" t="s">
        <v>14998</v>
      </c>
      <c r="AJ92" s="9">
        <v>5000</v>
      </c>
      <c r="AK92" s="15" t="s">
        <v>15052</v>
      </c>
      <c r="AL92" s="9">
        <v>1253.45</v>
      </c>
      <c r="AM92" s="15" t="s">
        <v>15138</v>
      </c>
      <c r="AN92" s="9">
        <v>3250.01</v>
      </c>
      <c r="AO92" s="9" t="s">
        <v>15207</v>
      </c>
      <c r="AP92" s="9">
        <v>1099.01</v>
      </c>
      <c r="AQ92" s="9" t="s">
        <v>15285</v>
      </c>
      <c r="AR92" s="9">
        <v>346.64</v>
      </c>
      <c r="AS92" s="15" t="s">
        <v>15330</v>
      </c>
      <c r="AT92" s="9">
        <v>1099</v>
      </c>
      <c r="AU92" s="15" t="s">
        <v>15449</v>
      </c>
      <c r="AV92" s="9">
        <v>5387.86</v>
      </c>
      <c r="AW92" s="86" t="s">
        <v>15394</v>
      </c>
      <c r="AX92" s="9">
        <v>1099</v>
      </c>
      <c r="AY92" s="15" t="s">
        <v>15503</v>
      </c>
      <c r="AZ92" s="9">
        <v>2743.48</v>
      </c>
      <c r="BA92" s="15" t="s">
        <v>15521</v>
      </c>
      <c r="BB92" s="9">
        <v>1099</v>
      </c>
      <c r="BC92" s="15"/>
      <c r="BD92" s="9"/>
      <c r="BE92" s="15"/>
      <c r="BF92" s="9"/>
      <c r="BG92" s="15"/>
      <c r="BH92" s="9"/>
      <c r="BI92" s="15"/>
      <c r="BJ92" s="9"/>
      <c r="BK92" s="15"/>
      <c r="BL92" s="9"/>
      <c r="BM92" s="15"/>
      <c r="BN92" s="9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  <c r="CO92" s="15"/>
      <c r="CP92" s="9"/>
      <c r="CQ92" s="15"/>
      <c r="CR92" s="9"/>
    </row>
    <row r="93" spans="1:99" x14ac:dyDescent="0.2">
      <c r="A93" s="41"/>
      <c r="B93" s="9">
        <v>3250</v>
      </c>
      <c r="C93" s="15" t="s">
        <v>14360</v>
      </c>
      <c r="D93" s="121">
        <v>2116.2600000000002</v>
      </c>
      <c r="E93" s="15" t="s">
        <v>14373</v>
      </c>
      <c r="F93" s="9"/>
      <c r="G93" s="15"/>
      <c r="H93" s="9">
        <v>5610.02</v>
      </c>
      <c r="I93" s="15"/>
      <c r="J93" s="9">
        <v>2359.96</v>
      </c>
      <c r="K93" s="15" t="s">
        <v>14476</v>
      </c>
      <c r="L93" s="9">
        <v>548.97</v>
      </c>
      <c r="M93" s="15" t="s">
        <v>14538</v>
      </c>
      <c r="N93" s="9">
        <v>1995</v>
      </c>
      <c r="O93" s="15" t="s">
        <v>14628</v>
      </c>
      <c r="P93" s="9">
        <v>1756.79</v>
      </c>
      <c r="Q93" s="15" t="s">
        <v>14592</v>
      </c>
      <c r="R93" s="9">
        <v>1099</v>
      </c>
      <c r="S93" s="15" t="s">
        <v>14645</v>
      </c>
      <c r="T93" s="11">
        <v>3841.01</v>
      </c>
      <c r="U93" s="12" t="s">
        <v>14732</v>
      </c>
      <c r="V93" s="9"/>
      <c r="W93" s="15"/>
      <c r="X93" s="9">
        <v>464</v>
      </c>
      <c r="Y93" s="15" t="s">
        <v>14803</v>
      </c>
      <c r="Z93" s="9">
        <v>150</v>
      </c>
      <c r="AA93" s="15" t="s">
        <v>14843</v>
      </c>
      <c r="AB93" s="9">
        <v>2099.9899999999998</v>
      </c>
      <c r="AC93" s="15" t="s">
        <v>14920</v>
      </c>
      <c r="AD93" s="9">
        <v>40000</v>
      </c>
      <c r="AE93" s="15" t="s">
        <v>14958</v>
      </c>
      <c r="AF93" s="72"/>
      <c r="AG93" s="15"/>
      <c r="AH93" s="9"/>
      <c r="AI93" s="9"/>
      <c r="AJ93" s="9">
        <v>3250.01</v>
      </c>
      <c r="AK93" s="15" t="s">
        <v>15065</v>
      </c>
      <c r="AL93" s="9">
        <v>1568.96</v>
      </c>
      <c r="AM93" s="15" t="s">
        <v>15139</v>
      </c>
      <c r="AN93" s="9">
        <v>4395.01</v>
      </c>
      <c r="AO93" s="15" t="s">
        <v>15208</v>
      </c>
      <c r="AP93" s="9">
        <v>1099</v>
      </c>
      <c r="AQ93" s="15" t="s">
        <v>15286</v>
      </c>
      <c r="AR93" s="9">
        <v>4395.01</v>
      </c>
      <c r="AS93" s="15" t="s">
        <v>15331</v>
      </c>
      <c r="AT93" s="9">
        <v>464.35</v>
      </c>
      <c r="AU93" s="15" t="s">
        <v>15450</v>
      </c>
      <c r="AV93" s="11">
        <v>1099.01</v>
      </c>
      <c r="AW93" s="86" t="s">
        <v>15395</v>
      </c>
      <c r="AX93" s="9">
        <v>6999.3</v>
      </c>
      <c r="AY93" s="15" t="s">
        <v>15504</v>
      </c>
      <c r="AZ93" s="9"/>
      <c r="BA93" s="15"/>
      <c r="BB93" s="11">
        <v>8700</v>
      </c>
      <c r="BC93" s="13"/>
      <c r="BD93" s="9"/>
      <c r="BE93" s="15"/>
      <c r="BF93" s="9"/>
      <c r="BG93" s="15"/>
      <c r="BH93" s="9"/>
      <c r="BI93" s="15"/>
      <c r="BJ93" s="9"/>
      <c r="BK93" s="15"/>
      <c r="BL93" s="9"/>
      <c r="BM93" s="15"/>
      <c r="BN93" s="9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  <c r="CO93" s="15"/>
      <c r="CP93" s="9"/>
      <c r="CQ93" s="15"/>
      <c r="CR93" s="9"/>
    </row>
    <row r="94" spans="1:99" x14ac:dyDescent="0.2">
      <c r="A94" s="41"/>
      <c r="B94" s="95">
        <f>+B92+B93</f>
        <v>6500</v>
      </c>
      <c r="C94" s="15"/>
      <c r="D94" s="121">
        <f>4145.99-982.3</f>
        <v>3163.6899999999996</v>
      </c>
      <c r="E94" s="15" t="s">
        <v>14382</v>
      </c>
      <c r="F94" s="9"/>
      <c r="G94" s="15"/>
      <c r="H94" s="9">
        <v>1068</v>
      </c>
      <c r="I94" s="15" t="s">
        <v>14420</v>
      </c>
      <c r="J94" s="9">
        <v>1970</v>
      </c>
      <c r="K94" s="15" t="s">
        <v>14485</v>
      </c>
      <c r="L94" s="9">
        <v>23299.759999999998</v>
      </c>
      <c r="M94" s="15" t="s">
        <v>14539</v>
      </c>
      <c r="N94" s="9">
        <v>1995</v>
      </c>
      <c r="O94" s="15" t="s">
        <v>14629</v>
      </c>
      <c r="P94" s="9">
        <v>3250.01</v>
      </c>
      <c r="Q94" s="15" t="s">
        <v>14596</v>
      </c>
      <c r="R94" s="9">
        <v>3169</v>
      </c>
      <c r="S94" s="15" t="s">
        <v>14651</v>
      </c>
      <c r="T94" s="9">
        <v>1099</v>
      </c>
      <c r="U94" s="15" t="s">
        <v>14742</v>
      </c>
      <c r="V94" s="15"/>
      <c r="W94" s="15"/>
      <c r="X94" s="9">
        <v>635</v>
      </c>
      <c r="Y94" s="15" t="s">
        <v>14804</v>
      </c>
      <c r="Z94" s="9">
        <v>1563.01</v>
      </c>
      <c r="AA94" s="15" t="s">
        <v>14847</v>
      </c>
      <c r="AB94" s="95">
        <f>+AB92+AB93</f>
        <v>22099.989999999998</v>
      </c>
      <c r="AC94" s="15"/>
      <c r="AD94" s="9">
        <v>45000</v>
      </c>
      <c r="AE94" s="15" t="s">
        <v>14959</v>
      </c>
      <c r="AF94" s="9"/>
      <c r="AG94" s="15"/>
      <c r="AH94" s="9">
        <v>1099.01</v>
      </c>
      <c r="AI94" s="15" t="s">
        <v>15023</v>
      </c>
      <c r="AJ94" s="9">
        <v>1995</v>
      </c>
      <c r="AK94" s="15" t="s">
        <v>15067</v>
      </c>
      <c r="AL94" s="9">
        <v>2360.0100000000002</v>
      </c>
      <c r="AM94" s="15" t="s">
        <v>15140</v>
      </c>
      <c r="AN94" s="9">
        <v>3250.01</v>
      </c>
      <c r="AO94" s="15" t="s">
        <v>15209</v>
      </c>
      <c r="AP94" s="9">
        <v>1000</v>
      </c>
      <c r="AQ94" s="15" t="s">
        <v>15287</v>
      </c>
      <c r="AR94" s="299">
        <v>383.18</v>
      </c>
      <c r="AS94" s="18" t="s">
        <v>15332</v>
      </c>
      <c r="AT94" s="9">
        <v>1970</v>
      </c>
      <c r="AU94" s="15" t="s">
        <v>15451</v>
      </c>
      <c r="AV94" s="9">
        <v>20000</v>
      </c>
      <c r="AW94" s="86" t="s">
        <v>15396</v>
      </c>
      <c r="AX94" s="95">
        <f>SUM(AX92:AX93)</f>
        <v>8098.3</v>
      </c>
      <c r="AY94" s="15"/>
      <c r="AZ94" s="15"/>
      <c r="BA94" s="15"/>
      <c r="BB94" s="14">
        <v>1099</v>
      </c>
      <c r="BC94" s="13"/>
      <c r="BD94" s="15"/>
      <c r="BE94" s="15"/>
      <c r="BF94" s="9"/>
      <c r="BG94" s="15"/>
      <c r="BH94" s="9"/>
      <c r="BI94" s="15"/>
      <c r="BJ94" s="15"/>
      <c r="BK94" s="15"/>
      <c r="BL94" s="9"/>
      <c r="BM94" s="15"/>
      <c r="BN94" s="9"/>
      <c r="BO94" s="15"/>
      <c r="BP94" s="15"/>
      <c r="BQ94" s="15"/>
      <c r="BR94" s="9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9" x14ac:dyDescent="0.2">
      <c r="A95" s="41"/>
      <c r="B95" s="9"/>
      <c r="C95" s="15"/>
      <c r="D95" s="121">
        <f>5312.9-4616.9</f>
        <v>696</v>
      </c>
      <c r="E95" s="15" t="s">
        <v>14385</v>
      </c>
      <c r="F95" s="9"/>
      <c r="G95" s="15"/>
      <c r="H95" s="9">
        <v>2315</v>
      </c>
      <c r="I95" s="15" t="s">
        <v>14422</v>
      </c>
      <c r="J95" s="9">
        <v>3361.42</v>
      </c>
      <c r="K95" s="15" t="s">
        <v>14487</v>
      </c>
      <c r="L95" s="9">
        <v>15000</v>
      </c>
      <c r="M95" s="15" t="s">
        <v>14540</v>
      </c>
      <c r="N95" s="95">
        <f>+SUM(N92:N94)</f>
        <v>5960</v>
      </c>
      <c r="O95" s="15"/>
      <c r="P95" s="95">
        <f>+SUM(P92:P94)</f>
        <v>5215.6000000000004</v>
      </c>
      <c r="Q95" s="15"/>
      <c r="R95" s="9">
        <v>4146</v>
      </c>
      <c r="S95" s="15" t="s">
        <v>14657</v>
      </c>
      <c r="T95" s="9">
        <v>1970</v>
      </c>
      <c r="U95" s="15" t="s">
        <v>14747</v>
      </c>
      <c r="V95" s="9"/>
      <c r="W95" s="15"/>
      <c r="X95" s="95">
        <f>+SUM(X92:X94)</f>
        <v>2617.6800000000003</v>
      </c>
      <c r="Y95" s="15"/>
      <c r="Z95" s="9">
        <v>3913</v>
      </c>
      <c r="AA95" s="15" t="s">
        <v>14858</v>
      </c>
      <c r="AB95" s="9"/>
      <c r="AC95" s="15"/>
      <c r="AD95" s="9">
        <v>3250.01</v>
      </c>
      <c r="AE95" s="15" t="s">
        <v>14969</v>
      </c>
      <c r="AF95" s="15"/>
      <c r="AG95" s="15"/>
      <c r="AH95" s="9">
        <v>1099.01</v>
      </c>
      <c r="AI95" s="15" t="s">
        <v>15025</v>
      </c>
      <c r="AJ95" s="90">
        <v>1970</v>
      </c>
      <c r="AK95" s="15" t="s">
        <v>15070</v>
      </c>
      <c r="AL95" s="9">
        <v>3250.01</v>
      </c>
      <c r="AM95" s="15" t="s">
        <v>15141</v>
      </c>
      <c r="AN95" s="9">
        <v>1099.01</v>
      </c>
      <c r="AO95" s="15" t="s">
        <v>15210</v>
      </c>
      <c r="AP95" s="9">
        <v>1099</v>
      </c>
      <c r="AQ95" s="15" t="s">
        <v>15288</v>
      </c>
      <c r="AR95" s="9">
        <v>510.2</v>
      </c>
      <c r="AS95" s="15" t="s">
        <v>15333</v>
      </c>
      <c r="AT95" s="9">
        <v>138</v>
      </c>
      <c r="AU95" s="15" t="s">
        <v>15452</v>
      </c>
      <c r="AV95" s="9">
        <v>923.66</v>
      </c>
      <c r="AW95" s="86" t="s">
        <v>15397</v>
      </c>
      <c r="AX95" s="298"/>
      <c r="AY95" s="15"/>
      <c r="AZ95" s="9"/>
      <c r="BA95" s="15"/>
      <c r="BB95" s="9">
        <v>4640</v>
      </c>
      <c r="BC95" s="15"/>
      <c r="BD95" s="9"/>
      <c r="BE95" s="15"/>
      <c r="BF95" s="15"/>
      <c r="BG95" s="15"/>
      <c r="BH95" s="15"/>
      <c r="BI95" s="15"/>
      <c r="BJ95" s="9"/>
      <c r="BK95" s="15"/>
      <c r="BL95" s="9"/>
      <c r="BM95" s="15"/>
      <c r="BN95" s="15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  <c r="CO95" s="15"/>
      <c r="CP95" s="9"/>
      <c r="CQ95" s="15"/>
      <c r="CR95" s="9"/>
    </row>
    <row r="96" spans="1:99" x14ac:dyDescent="0.2">
      <c r="A96" s="41"/>
      <c r="B96" s="15"/>
      <c r="C96" s="15"/>
      <c r="D96" s="9">
        <v>1994.99</v>
      </c>
      <c r="E96" s="15" t="s">
        <v>14394</v>
      </c>
      <c r="F96" s="9"/>
      <c r="G96" s="15"/>
      <c r="H96" s="9">
        <v>3169</v>
      </c>
      <c r="I96" s="15" t="s">
        <v>14421</v>
      </c>
      <c r="J96" s="95">
        <f>+SUM(J92:J95)</f>
        <v>17691.379999999997</v>
      </c>
      <c r="K96" s="15"/>
      <c r="L96" s="9">
        <v>10000</v>
      </c>
      <c r="M96" s="15" t="s">
        <v>14542</v>
      </c>
      <c r="N96" s="15"/>
      <c r="O96" s="15"/>
      <c r="P96" s="9"/>
      <c r="Q96" s="15"/>
      <c r="R96" s="9">
        <v>1994.99</v>
      </c>
      <c r="S96" s="15" t="s">
        <v>14661</v>
      </c>
      <c r="T96" s="9">
        <v>1099</v>
      </c>
      <c r="U96" s="9" t="s">
        <v>14751</v>
      </c>
      <c r="V96" s="9"/>
      <c r="W96" s="15"/>
      <c r="X96" s="9"/>
      <c r="Y96" s="15"/>
      <c r="Z96" s="9">
        <v>1099</v>
      </c>
      <c r="AA96" s="15" t="s">
        <v>14860</v>
      </c>
      <c r="AB96" s="9">
        <v>3480</v>
      </c>
      <c r="AC96" s="15" t="s">
        <v>14922</v>
      </c>
      <c r="AD96" s="9">
        <v>1994.99</v>
      </c>
      <c r="AE96" s="15" t="s">
        <v>14972</v>
      </c>
      <c r="AF96" s="9"/>
      <c r="AG96" s="13"/>
      <c r="AH96" s="9">
        <v>2423.04</v>
      </c>
      <c r="AI96" s="15" t="s">
        <v>15028</v>
      </c>
      <c r="AJ96" s="301">
        <f>SUM(AJ92:AJ95)</f>
        <v>12215.01</v>
      </c>
      <c r="AL96" s="9">
        <v>1970</v>
      </c>
      <c r="AM96" s="15" t="s">
        <v>15142</v>
      </c>
      <c r="AN96" s="9">
        <v>4395</v>
      </c>
      <c r="AO96" s="15" t="s">
        <v>15211</v>
      </c>
      <c r="AP96" s="95">
        <f>SUM(AP92:AP95)</f>
        <v>4297.01</v>
      </c>
      <c r="AQ96" s="15"/>
      <c r="AR96" s="9">
        <v>1970</v>
      </c>
      <c r="AS96" s="15" t="s">
        <v>15334</v>
      </c>
      <c r="AT96" s="343">
        <f>SUM(AT92:AT95)</f>
        <v>3671.35</v>
      </c>
      <c r="AU96" s="15"/>
      <c r="AV96" s="9">
        <v>3250.01</v>
      </c>
      <c r="AW96" s="86" t="s">
        <v>15398</v>
      </c>
      <c r="AX96" s="9">
        <v>1099.01</v>
      </c>
      <c r="AY96" s="15" t="s">
        <v>15520</v>
      </c>
      <c r="AZ96" s="298"/>
      <c r="BA96" s="15"/>
      <c r="BB96" s="9">
        <v>3296</v>
      </c>
      <c r="BC96" s="26"/>
      <c r="BD96" s="9"/>
      <c r="BE96" s="15"/>
      <c r="BF96" s="9"/>
      <c r="BG96" s="15"/>
      <c r="BH96" s="9"/>
      <c r="BI96" s="15"/>
      <c r="BJ96" s="9"/>
      <c r="BK96" s="15"/>
      <c r="BL96" s="9"/>
      <c r="BM96" s="15"/>
      <c r="BN96" s="15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  <c r="CO96" s="15"/>
      <c r="CP96" s="9"/>
      <c r="CQ96" s="15"/>
      <c r="CR96" s="9"/>
    </row>
    <row r="97" spans="1:96" x14ac:dyDescent="0.2">
      <c r="A97" s="41"/>
      <c r="B97" s="9"/>
      <c r="C97" s="15"/>
      <c r="D97" s="9">
        <v>510.01</v>
      </c>
      <c r="E97" s="15" t="s">
        <v>14397</v>
      </c>
      <c r="F97" s="9"/>
      <c r="G97" s="15"/>
      <c r="H97" s="9">
        <v>10000</v>
      </c>
      <c r="I97" s="15" t="s">
        <v>14404</v>
      </c>
      <c r="J97" s="15"/>
      <c r="K97" s="15"/>
      <c r="L97" s="9">
        <v>1970</v>
      </c>
      <c r="M97" s="15" t="s">
        <v>14547</v>
      </c>
      <c r="N97" s="9">
        <v>470.03</v>
      </c>
      <c r="O97" s="15" t="s">
        <v>14687</v>
      </c>
      <c r="P97" s="9"/>
      <c r="Q97" s="15"/>
      <c r="R97" s="9">
        <v>1099</v>
      </c>
      <c r="S97" s="15" t="s">
        <v>14662</v>
      </c>
      <c r="T97" s="11">
        <v>4808.5600000000004</v>
      </c>
      <c r="U97" s="13" t="s">
        <v>14753</v>
      </c>
      <c r="V97" s="299"/>
      <c r="W97" s="15"/>
      <c r="X97" s="298">
        <v>1099.01</v>
      </c>
      <c r="Y97" s="15" t="s">
        <v>14819</v>
      </c>
      <c r="Z97" s="95">
        <f>SUM(Z92:Z96)</f>
        <v>10205.01</v>
      </c>
      <c r="AA97" s="15"/>
      <c r="AB97" s="9">
        <v>20000</v>
      </c>
      <c r="AC97" s="15" t="s">
        <v>14929</v>
      </c>
      <c r="AD97" s="9">
        <v>1099.01</v>
      </c>
      <c r="AE97" s="15" t="s">
        <v>14974</v>
      </c>
      <c r="AF97" s="14"/>
      <c r="AG97" s="13"/>
      <c r="AH97" s="9">
        <v>1099.01</v>
      </c>
      <c r="AI97" s="15" t="s">
        <v>15030</v>
      </c>
      <c r="AL97" s="9">
        <v>6490.22</v>
      </c>
      <c r="AM97" s="15" t="s">
        <v>15143</v>
      </c>
      <c r="AN97" s="9">
        <v>12924.72</v>
      </c>
      <c r="AO97" s="15" t="s">
        <v>15212</v>
      </c>
      <c r="AP97" s="9"/>
      <c r="AQ97" s="15"/>
      <c r="AR97" s="9">
        <v>1970</v>
      </c>
      <c r="AS97" s="15" t="s">
        <v>15335</v>
      </c>
      <c r="AT97" s="9"/>
      <c r="AU97" s="15"/>
      <c r="AV97" s="9">
        <v>1995</v>
      </c>
      <c r="AW97" s="86" t="s">
        <v>15399</v>
      </c>
      <c r="AX97" s="9">
        <v>3250</v>
      </c>
      <c r="AY97" s="15" t="s">
        <v>15521</v>
      </c>
      <c r="AZ97" s="9"/>
      <c r="BA97" s="15"/>
      <c r="BB97" s="9">
        <v>100</v>
      </c>
      <c r="BC97" s="15"/>
      <c r="BD97" s="9"/>
      <c r="BE97" s="15"/>
      <c r="BF97" s="9"/>
      <c r="BG97" s="15"/>
      <c r="BH97" s="9"/>
      <c r="BI97" s="15"/>
      <c r="BJ97" s="300"/>
      <c r="BK97" s="75"/>
      <c r="BL97" s="9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2">
      <c r="A98" s="41"/>
      <c r="B98" s="9"/>
      <c r="C98" s="15"/>
      <c r="D98" s="95">
        <f>+SUM(D92:D97)</f>
        <v>9376.9500000000007</v>
      </c>
      <c r="E98" s="15"/>
      <c r="F98" s="9"/>
      <c r="G98" s="15"/>
      <c r="H98" s="95">
        <f>+SUM(H92:H97)</f>
        <v>24583.010000000002</v>
      </c>
      <c r="I98" s="15"/>
      <c r="J98" s="9">
        <v>1099.01</v>
      </c>
      <c r="K98" s="15" t="s">
        <v>14524</v>
      </c>
      <c r="L98" s="9">
        <v>4714.01</v>
      </c>
      <c r="M98" s="15" t="s">
        <v>14549</v>
      </c>
      <c r="N98" s="9">
        <v>5000</v>
      </c>
      <c r="O98" s="15" t="s">
        <v>14691</v>
      </c>
      <c r="P98" s="9"/>
      <c r="Q98" s="15"/>
      <c r="R98" s="9">
        <v>3489.01</v>
      </c>
      <c r="S98" s="15" t="s">
        <v>14676</v>
      </c>
      <c r="T98" s="95">
        <f>+SUM(T92:T97)</f>
        <v>13538.93</v>
      </c>
      <c r="U98" s="15"/>
      <c r="V98" s="9"/>
      <c r="W98" s="15"/>
      <c r="X98" s="298">
        <v>2517.59</v>
      </c>
      <c r="Y98" s="15" t="s">
        <v>14824</v>
      </c>
      <c r="Z98" s="15"/>
      <c r="AA98" s="15"/>
      <c r="AB98" s="90">
        <v>10000</v>
      </c>
      <c r="AC98" s="15" t="s">
        <v>14930</v>
      </c>
      <c r="AD98" s="9">
        <v>2408.94</v>
      </c>
      <c r="AE98" s="15" t="s">
        <v>14975</v>
      </c>
      <c r="AF98" s="9"/>
      <c r="AG98" s="15"/>
      <c r="AH98" s="90">
        <v>855.43</v>
      </c>
      <c r="AI98" s="15" t="s">
        <v>15048</v>
      </c>
      <c r="AJ98" s="9">
        <v>1099.01</v>
      </c>
      <c r="AK98" s="15" t="s">
        <v>15086</v>
      </c>
      <c r="AL98" s="95">
        <f>SUM(AL92:AL97)</f>
        <v>16892.650000000001</v>
      </c>
      <c r="AM98" s="15"/>
      <c r="AN98" s="9">
        <v>4144.99</v>
      </c>
      <c r="AO98" s="15" t="s">
        <v>15213</v>
      </c>
      <c r="AP98" s="9">
        <v>5500</v>
      </c>
      <c r="AQ98" s="15" t="s">
        <v>15364</v>
      </c>
      <c r="AR98" s="95">
        <f>SUM(AR92:AR97)</f>
        <v>9575.0300000000007</v>
      </c>
      <c r="AS98" s="15"/>
      <c r="AT98" s="15"/>
      <c r="AU98" s="15"/>
      <c r="AV98" s="9">
        <v>2866</v>
      </c>
      <c r="AW98" s="86" t="s">
        <v>15400</v>
      </c>
      <c r="AX98" s="9">
        <v>1099</v>
      </c>
      <c r="AY98" s="15" t="s">
        <v>15522</v>
      </c>
      <c r="AZ98" s="9"/>
      <c r="BA98" s="15"/>
      <c r="BB98" s="9">
        <v>1099</v>
      </c>
      <c r="BC98" s="15"/>
      <c r="BD98" s="9"/>
      <c r="BE98" s="15"/>
      <c r="BF98" s="15"/>
      <c r="BG98" s="15"/>
      <c r="BH98" s="9"/>
      <c r="BI98" s="15"/>
      <c r="BJ98" s="75"/>
      <c r="BK98" s="75"/>
      <c r="BL98" s="9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2">
      <c r="A99" s="41"/>
      <c r="B99" s="9"/>
      <c r="C99" s="15"/>
      <c r="D99" s="15"/>
      <c r="E99" s="15"/>
      <c r="F99" s="15"/>
      <c r="G99" s="15"/>
      <c r="H99" s="9"/>
      <c r="I99" s="15"/>
      <c r="J99" s="9">
        <v>1098.22</v>
      </c>
      <c r="K99" s="15" t="s">
        <v>14531</v>
      </c>
      <c r="L99" s="9">
        <v>3250</v>
      </c>
      <c r="M99" s="15" t="s">
        <v>14567</v>
      </c>
      <c r="N99" s="9">
        <v>2429.35</v>
      </c>
      <c r="O99" s="15" t="s">
        <v>14695</v>
      </c>
      <c r="P99" s="9"/>
      <c r="Q99" s="15"/>
      <c r="R99" s="9">
        <v>1000</v>
      </c>
      <c r="S99" s="26" t="s">
        <v>14658</v>
      </c>
      <c r="T99" s="15"/>
      <c r="U99" s="15"/>
      <c r="V99" s="9"/>
      <c r="W99" s="15"/>
      <c r="X99" s="95">
        <f>+X98+X97</f>
        <v>3616.6000000000004</v>
      </c>
      <c r="Y99" s="15"/>
      <c r="Z99" s="9">
        <v>3250.01</v>
      </c>
      <c r="AA99" s="15" t="s">
        <v>14881</v>
      </c>
      <c r="AB99" s="15">
        <f>SUM(AB96:AB98)</f>
        <v>33480</v>
      </c>
      <c r="AC99" s="15"/>
      <c r="AD99" s="9">
        <v>2251.0300000000002</v>
      </c>
      <c r="AE99" s="15" t="s">
        <v>14977</v>
      </c>
      <c r="AF99" s="9"/>
      <c r="AG99" s="15"/>
      <c r="AH99" s="15">
        <f>SUM(AH94:AH98)</f>
        <v>6575.5</v>
      </c>
      <c r="AI99" s="15"/>
      <c r="AJ99" s="299">
        <v>3250.01</v>
      </c>
      <c r="AK99" s="15" t="s">
        <v>15088</v>
      </c>
      <c r="AL99" s="9"/>
      <c r="AM99" s="15"/>
      <c r="AN99" s="9">
        <v>3675.61</v>
      </c>
      <c r="AO99" s="15" t="s">
        <v>15214</v>
      </c>
      <c r="AP99" s="9">
        <v>20000</v>
      </c>
      <c r="AQ99" s="15" t="s">
        <v>15365</v>
      </c>
      <c r="AR99" s="15"/>
      <c r="AS99" s="15"/>
      <c r="AT99" s="15"/>
      <c r="AU99" s="15"/>
      <c r="AV99" s="9">
        <v>2000</v>
      </c>
      <c r="AW99" s="86" t="s">
        <v>15401</v>
      </c>
      <c r="AX99" s="9">
        <v>2418</v>
      </c>
      <c r="AY99" s="15" t="s">
        <v>15523</v>
      </c>
      <c r="AZ99" s="9"/>
      <c r="BA99" s="15"/>
      <c r="BB99" s="9">
        <v>2362.5300000000002</v>
      </c>
      <c r="BC99" s="15"/>
      <c r="BD99" s="15"/>
      <c r="BE99" s="15"/>
      <c r="BF99" s="75"/>
      <c r="BG99" s="24"/>
      <c r="BH99" s="15"/>
      <c r="BI99" s="15"/>
      <c r="BJ99" s="75"/>
      <c r="BK99" s="75"/>
      <c r="BL99" s="15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  <c r="CO99" s="15"/>
      <c r="CP99" s="9"/>
      <c r="CQ99" s="15"/>
      <c r="CR99" s="9"/>
    </row>
    <row r="100" spans="1:96" x14ac:dyDescent="0.2">
      <c r="A100" s="41"/>
      <c r="B100" s="9"/>
      <c r="C100" s="15"/>
      <c r="D100" s="9"/>
      <c r="E100" s="15"/>
      <c r="F100" s="9"/>
      <c r="G100" s="15"/>
      <c r="H100" s="9">
        <v>1099</v>
      </c>
      <c r="I100" s="15" t="s">
        <v>14436</v>
      </c>
      <c r="J100" s="95">
        <f>+J98+J99</f>
        <v>2197.23</v>
      </c>
      <c r="K100" s="9"/>
      <c r="L100" s="95">
        <f>+SUM(L92:L99)</f>
        <v>59471.03</v>
      </c>
      <c r="M100" s="15"/>
      <c r="N100" s="9">
        <v>2865.99</v>
      </c>
      <c r="O100" s="15" t="s">
        <v>14700</v>
      </c>
      <c r="P100" s="15"/>
      <c r="Q100" s="15"/>
      <c r="R100" s="95">
        <f>+SUM(R92:R99)</f>
        <v>20027.010000000002</v>
      </c>
      <c r="S100" s="15"/>
      <c r="T100" s="9"/>
      <c r="U100" s="15"/>
      <c r="V100" s="9"/>
      <c r="W100" s="15"/>
      <c r="X100" s="9"/>
      <c r="Y100" s="15"/>
      <c r="Z100" s="95">
        <f>+Z99</f>
        <v>3250.01</v>
      </c>
      <c r="AA100" s="15"/>
      <c r="AB100" s="9"/>
      <c r="AC100" s="15"/>
      <c r="AD100" s="9">
        <v>1970</v>
      </c>
      <c r="AE100" s="15" t="s">
        <v>14980</v>
      </c>
      <c r="AF100" s="9"/>
      <c r="AG100" s="15"/>
      <c r="AH100" s="15"/>
      <c r="AI100" s="15"/>
      <c r="AJ100" s="9">
        <v>1970</v>
      </c>
      <c r="AK100" s="15" t="s">
        <v>15100</v>
      </c>
      <c r="AL100" s="15">
        <v>505.01</v>
      </c>
      <c r="AM100" s="15" t="s">
        <v>15174</v>
      </c>
      <c r="AN100" s="9">
        <v>4395</v>
      </c>
      <c r="AO100" s="15" t="s">
        <v>15215</v>
      </c>
      <c r="AP100" s="9">
        <v>3250</v>
      </c>
      <c r="AQ100" s="15" t="s">
        <v>15366</v>
      </c>
      <c r="AR100" s="15"/>
      <c r="AS100" s="15"/>
      <c r="AT100" s="9"/>
      <c r="AU100" s="15"/>
      <c r="AV100" s="9">
        <v>2395</v>
      </c>
      <c r="AW100" s="86" t="s">
        <v>15401</v>
      </c>
      <c r="AX100" s="9">
        <v>2866</v>
      </c>
      <c r="AY100" s="15" t="s">
        <v>15524</v>
      </c>
      <c r="AZ100" s="9"/>
      <c r="BA100" s="15"/>
      <c r="BB100" s="9">
        <v>419.36</v>
      </c>
      <c r="BC100" s="15"/>
      <c r="BD100" s="9"/>
      <c r="BE100" s="15"/>
      <c r="BF100" s="15"/>
      <c r="BG100" s="15"/>
      <c r="BH100" s="9"/>
      <c r="BI100" s="15"/>
      <c r="BJ100" s="75"/>
      <c r="BK100" s="75"/>
      <c r="BL100" s="15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  <c r="CO100" s="15"/>
      <c r="CP100" s="9"/>
      <c r="CQ100" s="15"/>
      <c r="CR100" s="9"/>
    </row>
    <row r="101" spans="1:96" x14ac:dyDescent="0.2">
      <c r="A101" s="41"/>
      <c r="B101" s="15"/>
      <c r="C101" s="15"/>
      <c r="D101" s="9"/>
      <c r="E101" s="15"/>
      <c r="F101" s="9"/>
      <c r="G101" s="15"/>
      <c r="H101" s="9">
        <v>20000</v>
      </c>
      <c r="I101" s="15" t="s">
        <v>14437</v>
      </c>
      <c r="J101" s="9"/>
      <c r="K101" s="15"/>
      <c r="L101" s="9"/>
      <c r="M101" s="15"/>
      <c r="N101" s="9">
        <v>7012.99</v>
      </c>
      <c r="O101" s="15" t="s">
        <v>14702</v>
      </c>
      <c r="P101" s="9"/>
      <c r="Q101" s="15"/>
      <c r="R101" s="9"/>
      <c r="S101" s="15"/>
      <c r="T101" s="15"/>
      <c r="U101" s="15"/>
      <c r="V101" s="15"/>
      <c r="W101" s="15"/>
      <c r="X101" s="9"/>
      <c r="Y101" s="15"/>
      <c r="Z101" s="15"/>
      <c r="AA101" s="15"/>
      <c r="AB101" s="9"/>
      <c r="AC101" s="15"/>
      <c r="AD101" s="9">
        <v>1970</v>
      </c>
      <c r="AE101" s="15" t="s">
        <v>14981</v>
      </c>
      <c r="AF101" s="15"/>
      <c r="AG101" s="15"/>
      <c r="AH101" s="9"/>
      <c r="AI101" s="15"/>
      <c r="AJ101" s="9">
        <v>2829.45</v>
      </c>
      <c r="AK101" s="15" t="s">
        <v>15111</v>
      </c>
      <c r="AL101" s="9"/>
      <c r="AM101" s="15"/>
      <c r="AN101" s="9">
        <v>2019.18</v>
      </c>
      <c r="AO101" s="15" t="s">
        <v>15216</v>
      </c>
      <c r="AP101" s="9">
        <v>3250</v>
      </c>
      <c r="AQ101" s="15" t="s">
        <v>15367</v>
      </c>
      <c r="AR101" s="9"/>
      <c r="AS101" s="15"/>
      <c r="AT101" s="9"/>
      <c r="AU101" s="15"/>
      <c r="AV101" s="95">
        <f>SUM(AV92:AV100)</f>
        <v>39916.54</v>
      </c>
      <c r="AW101" s="86"/>
      <c r="AX101" s="95">
        <f>SUM(AX96:AX100)</f>
        <v>10732.01</v>
      </c>
      <c r="AY101" s="15"/>
      <c r="AZ101" s="9"/>
      <c r="BA101" s="15"/>
      <c r="BB101" s="95">
        <f>SUM(BB92:BB100)</f>
        <v>22814.89</v>
      </c>
      <c r="BC101" s="15"/>
      <c r="BD101" s="9"/>
      <c r="BE101" s="15"/>
      <c r="BF101" s="9"/>
      <c r="BG101" s="15"/>
      <c r="BH101" s="9"/>
      <c r="BI101" s="15"/>
      <c r="BJ101" s="75"/>
      <c r="BK101" s="7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  <c r="CO101" s="15"/>
      <c r="CP101" s="9"/>
      <c r="CQ101" s="15"/>
      <c r="CR101" s="9"/>
    </row>
    <row r="102" spans="1:96" x14ac:dyDescent="0.2">
      <c r="A102" s="41"/>
      <c r="B102" s="9"/>
      <c r="C102" s="15"/>
      <c r="D102" s="9"/>
      <c r="E102" s="15"/>
      <c r="F102" s="9"/>
      <c r="G102" s="15"/>
      <c r="H102" s="9">
        <v>4145.99</v>
      </c>
      <c r="I102" s="15" t="s">
        <v>14443</v>
      </c>
      <c r="J102" s="15"/>
      <c r="K102" s="15"/>
      <c r="L102" s="9"/>
      <c r="M102" s="15"/>
      <c r="N102" s="95">
        <f>+SUM(N97:N101)</f>
        <v>17778.36</v>
      </c>
      <c r="O102" s="15"/>
      <c r="P102" s="9"/>
      <c r="Q102" s="15"/>
      <c r="R102" s="15"/>
      <c r="S102" s="15"/>
      <c r="T102" s="9"/>
      <c r="U102" s="15"/>
      <c r="V102" s="9"/>
      <c r="W102" s="15"/>
      <c r="X102" s="9"/>
      <c r="Y102" s="15"/>
      <c r="Z102" s="15"/>
      <c r="AA102" s="15"/>
      <c r="AB102" s="9"/>
      <c r="AC102" s="15"/>
      <c r="AD102" s="90">
        <v>2.87</v>
      </c>
      <c r="AE102" s="26" t="s">
        <v>14963</v>
      </c>
      <c r="AF102" s="9"/>
      <c r="AG102" s="15"/>
      <c r="AH102" s="15"/>
      <c r="AI102" s="15"/>
      <c r="AJ102" s="90">
        <v>1167.8599999999999</v>
      </c>
      <c r="AK102" s="15" t="s">
        <v>15116</v>
      </c>
      <c r="AL102" s="9"/>
      <c r="AM102" s="15"/>
      <c r="AN102" s="9">
        <v>3679.39</v>
      </c>
      <c r="AO102" s="15" t="s">
        <v>15217</v>
      </c>
      <c r="AP102" s="9">
        <v>1970</v>
      </c>
      <c r="AQ102" s="15" t="s">
        <v>15368</v>
      </c>
      <c r="AR102" s="9"/>
      <c r="AS102" s="15"/>
      <c r="AT102" s="9"/>
      <c r="AU102" s="15"/>
      <c r="AV102" s="9"/>
      <c r="AW102" s="86"/>
      <c r="AX102" s="9"/>
      <c r="AY102" s="15"/>
      <c r="AZ102" s="9"/>
      <c r="BA102" s="15"/>
      <c r="BB102" s="9"/>
      <c r="BC102" s="15"/>
      <c r="BD102" s="9"/>
      <c r="BE102" s="15"/>
      <c r="BF102" s="9"/>
      <c r="BG102" s="15"/>
      <c r="BH102" s="9"/>
      <c r="BI102" s="15"/>
      <c r="BJ102" s="75"/>
      <c r="BK102" s="7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  <c r="CO102" s="15"/>
      <c r="CP102" s="9"/>
      <c r="CQ102" s="15"/>
      <c r="CR102" s="9"/>
    </row>
    <row r="103" spans="1:96" x14ac:dyDescent="0.2">
      <c r="A103" s="41"/>
      <c r="B103" s="9"/>
      <c r="C103" s="15"/>
      <c r="D103" s="9"/>
      <c r="E103" s="15"/>
      <c r="F103" s="9"/>
      <c r="G103" s="15"/>
      <c r="H103" s="9">
        <v>635</v>
      </c>
      <c r="I103" s="15" t="s">
        <v>14446</v>
      </c>
      <c r="J103" s="9"/>
      <c r="K103" s="15"/>
      <c r="L103" s="9"/>
      <c r="M103" s="15"/>
      <c r="N103" s="9"/>
      <c r="O103" s="15"/>
      <c r="P103" s="15"/>
      <c r="Q103" s="15"/>
      <c r="R103" s="15"/>
      <c r="S103" s="15"/>
      <c r="T103" s="9"/>
      <c r="U103" s="15"/>
      <c r="V103" s="9"/>
      <c r="W103" s="15"/>
      <c r="X103" s="9"/>
      <c r="Y103" s="15"/>
      <c r="Z103" s="15"/>
      <c r="AA103" s="15"/>
      <c r="AB103" s="9"/>
      <c r="AC103" s="15"/>
      <c r="AD103" s="15">
        <f>SUM(AD92:AD102)</f>
        <v>101908.62999999999</v>
      </c>
      <c r="AE103" s="15"/>
      <c r="AF103" s="9"/>
      <c r="AG103" s="15"/>
      <c r="AH103" s="9"/>
      <c r="AI103" s="15"/>
      <c r="AJ103" s="15">
        <f>SUM(AJ98:AJ102)</f>
        <v>10316.330000000002</v>
      </c>
      <c r="AK103" s="15"/>
      <c r="AL103" s="15"/>
      <c r="AM103" s="15"/>
      <c r="AN103" s="95">
        <f>SUM(AN92:AN102)</f>
        <v>47227.93</v>
      </c>
      <c r="AO103" s="15"/>
      <c r="AP103" s="15">
        <v>636.65</v>
      </c>
      <c r="AQ103" s="15" t="s">
        <v>15369</v>
      </c>
      <c r="AR103" s="15"/>
      <c r="AS103" s="15"/>
      <c r="AT103" s="15"/>
      <c r="AU103" s="15"/>
      <c r="AV103" s="15">
        <v>2433.9899999999998</v>
      </c>
      <c r="AW103" s="86" t="s">
        <v>15479</v>
      </c>
      <c r="AX103" s="9"/>
      <c r="AY103" s="15"/>
      <c r="AZ103" s="9"/>
      <c r="BA103" s="15"/>
      <c r="BB103" s="9"/>
      <c r="BC103" s="15"/>
      <c r="BD103" s="9"/>
      <c r="BE103" s="15"/>
      <c r="BF103" s="9"/>
      <c r="BG103" s="15"/>
      <c r="BH103" s="9"/>
      <c r="BI103" s="15"/>
      <c r="BJ103" s="75"/>
      <c r="BK103" s="7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  <c r="CO103" s="15"/>
      <c r="CP103" s="9"/>
      <c r="CQ103" s="15"/>
      <c r="CR103" s="9"/>
    </row>
    <row r="104" spans="1:96" x14ac:dyDescent="0.2">
      <c r="A104" s="41"/>
      <c r="B104" s="9"/>
      <c r="C104" s="15"/>
      <c r="D104" s="15"/>
      <c r="E104" s="15"/>
      <c r="F104" s="9"/>
      <c r="G104" s="15"/>
      <c r="H104" s="9">
        <v>284.94</v>
      </c>
      <c r="I104" s="15" t="s">
        <v>14452</v>
      </c>
      <c r="J104" s="9"/>
      <c r="K104" s="15"/>
      <c r="L104" s="9"/>
      <c r="M104" s="15"/>
      <c r="N104" s="9"/>
      <c r="O104" s="15"/>
      <c r="P104" s="9"/>
      <c r="Q104" s="15"/>
      <c r="R104" s="15"/>
      <c r="S104" s="15"/>
      <c r="T104" s="15"/>
      <c r="U104" s="15"/>
      <c r="V104" s="9"/>
      <c r="W104" s="15"/>
      <c r="X104" s="9"/>
      <c r="Y104" s="15"/>
      <c r="Z104" s="15"/>
      <c r="AA104" s="15"/>
      <c r="AB104" s="15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5">
        <f>SUM(AP98:AP103)</f>
        <v>34606.65</v>
      </c>
      <c r="AQ104" s="15"/>
      <c r="AR104" s="9"/>
      <c r="AS104" s="15"/>
      <c r="AT104" s="9"/>
      <c r="AU104" s="15"/>
      <c r="AV104" s="9"/>
      <c r="AW104" s="86"/>
      <c r="AX104" s="9"/>
      <c r="AY104" s="15"/>
      <c r="AZ104" s="15"/>
      <c r="BA104" s="15"/>
      <c r="BB104" s="9"/>
      <c r="BC104" s="15"/>
      <c r="BD104" s="9"/>
      <c r="BE104" s="15"/>
      <c r="BF104" s="9"/>
      <c r="BG104" s="15"/>
      <c r="BH104" s="9"/>
      <c r="BI104" s="15"/>
      <c r="BJ104" s="75"/>
      <c r="BK104" s="7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  <c r="CO104" s="15"/>
      <c r="CP104" s="9"/>
      <c r="CQ104" s="15"/>
      <c r="CR104" s="9"/>
    </row>
    <row r="105" spans="1:96" x14ac:dyDescent="0.2">
      <c r="A105" s="41"/>
      <c r="B105" s="9"/>
      <c r="C105" s="15"/>
      <c r="D105" s="9"/>
      <c r="E105" s="15"/>
      <c r="F105" s="15"/>
      <c r="G105" s="15"/>
      <c r="H105" s="95">
        <f>+SUM(H100:H104)</f>
        <v>26164.929999999997</v>
      </c>
      <c r="I105" s="15"/>
      <c r="J105" s="15"/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15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9"/>
      <c r="AM105" s="15"/>
      <c r="AN105" s="9">
        <v>1080.03</v>
      </c>
      <c r="AO105" s="15" t="s">
        <v>15237</v>
      </c>
      <c r="AP105" s="15"/>
      <c r="AQ105" s="15"/>
      <c r="AR105" s="9"/>
      <c r="AS105" s="15"/>
      <c r="AT105" s="15"/>
      <c r="AU105" s="15"/>
      <c r="AV105" s="9"/>
      <c r="AW105" s="86"/>
      <c r="AX105" s="15"/>
      <c r="AY105" s="15"/>
      <c r="AZ105" s="9"/>
      <c r="BA105" s="15"/>
      <c r="BB105" s="9"/>
      <c r="BC105" s="15"/>
      <c r="BD105" s="9"/>
      <c r="BE105" s="15"/>
      <c r="BF105" s="9"/>
      <c r="BG105" s="15"/>
      <c r="BH105" s="9"/>
      <c r="BI105" s="15"/>
      <c r="BJ105" s="75"/>
      <c r="BK105" s="7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  <c r="CO105" s="15"/>
      <c r="CP105" s="9"/>
      <c r="CQ105" s="15"/>
      <c r="CR105" s="9"/>
    </row>
    <row r="106" spans="1:96" x14ac:dyDescent="0.2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15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15"/>
      <c r="AA106" s="15"/>
      <c r="AB106" s="9"/>
      <c r="AC106" s="15"/>
      <c r="AD106" s="9"/>
      <c r="AE106" s="15"/>
      <c r="AF106" s="9"/>
      <c r="AG106" s="15"/>
      <c r="AH106" s="15"/>
      <c r="AI106" s="15"/>
      <c r="AJ106" s="15"/>
      <c r="AK106" s="15"/>
      <c r="AL106" s="9"/>
      <c r="AM106" s="15"/>
      <c r="AN106" s="9">
        <v>4395</v>
      </c>
      <c r="AO106" s="15" t="s">
        <v>15238</v>
      </c>
      <c r="AP106" s="9"/>
      <c r="AQ106" s="15"/>
      <c r="AR106" s="15"/>
      <c r="AS106" s="15"/>
      <c r="AT106" s="15"/>
      <c r="AU106" s="15"/>
      <c r="AV106" s="15"/>
      <c r="AW106" s="86"/>
      <c r="AX106" s="9"/>
      <c r="AY106" s="15"/>
      <c r="AZ106" s="9"/>
      <c r="BA106" s="15"/>
      <c r="BB106" s="15"/>
      <c r="BC106" s="15"/>
      <c r="BD106" s="15"/>
      <c r="BE106" s="15"/>
      <c r="BF106" s="9"/>
      <c r="BG106" s="15"/>
      <c r="BH106" s="9"/>
      <c r="BI106" s="15"/>
      <c r="BJ106" s="15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  <c r="CO106" s="15"/>
      <c r="CP106" s="9"/>
      <c r="CQ106" s="15"/>
      <c r="CR106" s="9"/>
    </row>
    <row r="107" spans="1:96" x14ac:dyDescent="0.2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15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15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>
        <v>1099.01</v>
      </c>
      <c r="AO107" s="15" t="s">
        <v>15239</v>
      </c>
      <c r="AP107" s="9"/>
      <c r="AQ107" s="15"/>
      <c r="AR107" s="9"/>
      <c r="AS107" s="15"/>
      <c r="AT107" s="9"/>
      <c r="AU107" s="15"/>
      <c r="AV107" s="15"/>
      <c r="AW107" s="86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9"/>
      <c r="BI107" s="15"/>
      <c r="BJ107" s="15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  <c r="CO107" s="15"/>
      <c r="CP107" s="9"/>
      <c r="CQ107" s="15"/>
      <c r="CR107" s="9"/>
    </row>
    <row r="108" spans="1:96" x14ac:dyDescent="0.2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15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5">
        <f>SUM(AN105:AN107)</f>
        <v>6574.04</v>
      </c>
      <c r="AO108" s="15"/>
      <c r="AP108" s="9"/>
      <c r="AQ108" s="15"/>
      <c r="AR108" s="9"/>
      <c r="AS108" s="15"/>
      <c r="AT108" s="9"/>
      <c r="AU108" s="15"/>
      <c r="AV108" s="9"/>
      <c r="AW108" s="86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  <c r="CO108" s="15"/>
      <c r="CP108" s="9"/>
      <c r="CQ108" s="15"/>
      <c r="CR108" s="9"/>
    </row>
    <row r="109" spans="1:96" x14ac:dyDescent="0.2">
      <c r="A109" s="41"/>
      <c r="B109" s="9"/>
      <c r="C109" s="15"/>
      <c r="D109" s="9"/>
      <c r="E109" s="15"/>
      <c r="F109" s="15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15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86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  <c r="CO109" s="15"/>
      <c r="CP109" s="9"/>
      <c r="CQ109" s="15"/>
      <c r="CR109" s="9"/>
    </row>
    <row r="110" spans="1:96" x14ac:dyDescent="0.2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3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324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  <c r="CO110" s="13"/>
      <c r="CP110" s="11"/>
      <c r="CQ110" s="13"/>
      <c r="CR110" s="11"/>
    </row>
    <row r="111" spans="1:96" x14ac:dyDescent="0.2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3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11"/>
      <c r="AS111" s="13"/>
      <c r="AT111" s="23"/>
      <c r="AU111" s="13"/>
      <c r="AV111" s="11"/>
      <c r="AW111" s="324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  <c r="CO111" s="13"/>
      <c r="CP111" s="11"/>
      <c r="CQ111" s="13"/>
      <c r="CR111" s="11"/>
    </row>
    <row r="112" spans="1:96" x14ac:dyDescent="0.2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3"/>
      <c r="AA112" s="13"/>
      <c r="AB112" s="11"/>
      <c r="AC112" s="13"/>
      <c r="AD112" s="14"/>
      <c r="AE112" s="2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1"/>
      <c r="AS112" s="13"/>
      <c r="AT112" s="13"/>
      <c r="AU112" s="13"/>
      <c r="AV112" s="11"/>
      <c r="AW112" s="324"/>
      <c r="AX112" s="11"/>
      <c r="AY112" s="13"/>
      <c r="AZ112" s="9"/>
      <c r="BA112" s="26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  <c r="CO112" s="13"/>
      <c r="CP112" s="11"/>
      <c r="CQ112" s="13"/>
      <c r="CR112" s="11"/>
    </row>
    <row r="113" spans="1:99" s="330" customFormat="1" x14ac:dyDescent="0.2">
      <c r="A113" s="328"/>
      <c r="B113" s="333"/>
      <c r="C113" s="329"/>
      <c r="D113" s="333"/>
      <c r="E113" s="329"/>
      <c r="F113" s="333"/>
      <c r="G113" s="329"/>
      <c r="H113" s="333"/>
      <c r="I113" s="329"/>
      <c r="J113" s="333"/>
      <c r="K113" s="329"/>
      <c r="L113" s="333"/>
      <c r="M113" s="329"/>
      <c r="N113" s="333"/>
      <c r="O113" s="329"/>
      <c r="P113" s="333"/>
      <c r="Q113" s="329"/>
      <c r="R113" s="333"/>
      <c r="S113" s="329"/>
      <c r="T113" s="333"/>
      <c r="U113" s="329"/>
      <c r="V113" s="333"/>
      <c r="W113" s="329"/>
      <c r="X113" s="333"/>
      <c r="Y113" s="329"/>
      <c r="Z113" s="329"/>
      <c r="AA113" s="329"/>
      <c r="AB113" s="333"/>
      <c r="AC113" s="333"/>
      <c r="AD113" s="332"/>
      <c r="AE113" s="92"/>
      <c r="AF113" s="333"/>
      <c r="AG113" s="329"/>
      <c r="AH113" s="333"/>
      <c r="AI113" s="329"/>
      <c r="AJ113" s="333"/>
      <c r="AK113" s="329"/>
      <c r="AL113" s="333"/>
      <c r="AM113" s="329"/>
      <c r="AN113" s="333"/>
      <c r="AO113" s="329"/>
      <c r="AP113" s="333"/>
      <c r="AQ113" s="329"/>
      <c r="AR113" s="333"/>
      <c r="AS113" s="329"/>
      <c r="AT113" s="329"/>
      <c r="AU113" s="329"/>
      <c r="AV113" s="333"/>
      <c r="AW113" s="331"/>
      <c r="AX113" s="333"/>
      <c r="AY113" s="329"/>
      <c r="AZ113" s="92"/>
      <c r="BA113" s="329"/>
      <c r="BB113" s="333"/>
      <c r="BC113" s="329"/>
      <c r="BD113" s="333"/>
      <c r="BE113" s="329"/>
      <c r="BF113" s="333"/>
      <c r="BG113" s="329"/>
      <c r="BH113" s="333"/>
      <c r="BI113" s="329"/>
      <c r="BJ113" s="333"/>
      <c r="BK113" s="329"/>
      <c r="BL113" s="333"/>
      <c r="BM113" s="329"/>
      <c r="BN113" s="333"/>
      <c r="BO113" s="329"/>
      <c r="BP113" s="333"/>
      <c r="BQ113" s="329"/>
      <c r="BR113" s="333"/>
      <c r="BS113" s="329"/>
      <c r="BT113" s="333"/>
      <c r="BU113" s="329"/>
      <c r="BV113" s="333"/>
      <c r="BW113" s="329"/>
      <c r="BX113" s="333"/>
      <c r="BY113" s="329"/>
      <c r="BZ113" s="333"/>
      <c r="CA113" s="329"/>
      <c r="CB113" s="333"/>
      <c r="CC113" s="329"/>
      <c r="CD113" s="333"/>
      <c r="CE113" s="329"/>
      <c r="CF113" s="333"/>
      <c r="CG113" s="329"/>
      <c r="CH113" s="333"/>
      <c r="CI113" s="329"/>
      <c r="CJ113" s="333"/>
      <c r="CK113" s="329"/>
      <c r="CL113" s="333"/>
      <c r="CM113" s="329"/>
      <c r="CN113" s="333"/>
      <c r="CO113" s="329"/>
      <c r="CP113" s="333"/>
      <c r="CQ113" s="329"/>
      <c r="CR113" s="333"/>
      <c r="CS113" s="345"/>
      <c r="CT113" s="345"/>
      <c r="CU113" s="345"/>
    </row>
    <row r="114" spans="1:99" x14ac:dyDescent="0.2">
      <c r="A114" s="42" t="s">
        <v>7</v>
      </c>
      <c r="B114" s="23"/>
      <c r="C114" s="23"/>
      <c r="D114" s="14">
        <v>107.06</v>
      </c>
      <c r="E114" s="23" t="s">
        <v>14377</v>
      </c>
      <c r="F114" s="9"/>
      <c r="G114" s="15"/>
      <c r="H114" s="23"/>
      <c r="I114" s="23"/>
      <c r="J114" s="14"/>
      <c r="K114" s="23"/>
      <c r="L114" s="23"/>
      <c r="M114" s="23"/>
      <c r="N114" s="14">
        <v>2465.4299999999998</v>
      </c>
      <c r="O114" s="23" t="s">
        <v>14626</v>
      </c>
      <c r="P114" s="14">
        <v>1099.01</v>
      </c>
      <c r="Q114" s="23" t="s">
        <v>14595</v>
      </c>
      <c r="R114" s="14"/>
      <c r="S114" s="23"/>
      <c r="T114" s="14"/>
      <c r="U114" s="23"/>
      <c r="V114" s="14"/>
      <c r="W114" s="23"/>
      <c r="X114" s="9"/>
      <c r="Y114" s="15"/>
      <c r="Z114" s="23"/>
      <c r="AA114" s="23"/>
      <c r="AB114" s="9">
        <v>5928.99</v>
      </c>
      <c r="AC114" s="9" t="s">
        <v>14944</v>
      </c>
      <c r="AD114" s="23"/>
      <c r="AE114" s="23"/>
      <c r="AF114" s="23"/>
      <c r="AG114" s="23"/>
      <c r="AH114" s="14"/>
      <c r="AI114" s="23"/>
      <c r="AJ114" s="23"/>
      <c r="AK114" s="14"/>
      <c r="AL114" s="23"/>
      <c r="AM114" s="14"/>
      <c r="AN114" s="14"/>
      <c r="AO114" s="23"/>
      <c r="AP114" s="14"/>
      <c r="AQ114" s="23"/>
      <c r="AR114" s="23"/>
      <c r="AS114" s="23"/>
      <c r="AT114" s="14"/>
      <c r="AU114" s="23"/>
      <c r="AV114" s="14"/>
      <c r="AW114" s="324"/>
      <c r="AX114" s="14"/>
      <c r="AY114" s="23"/>
      <c r="AZ114" s="14"/>
      <c r="BA114" s="23"/>
      <c r="BB114" s="23"/>
      <c r="BC114" s="23"/>
      <c r="BD114" s="14"/>
      <c r="BE114" s="23"/>
      <c r="BF114" s="15"/>
      <c r="BG114" s="15"/>
      <c r="BH114" s="15"/>
      <c r="BI114" s="15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  <c r="CO114" s="23"/>
      <c r="CP114" s="14"/>
      <c r="CQ114" s="23"/>
      <c r="CR114" s="14"/>
    </row>
    <row r="115" spans="1:99" x14ac:dyDescent="0.2">
      <c r="A115" s="42"/>
      <c r="B115" s="14"/>
      <c r="C115" s="23"/>
      <c r="D115" s="14">
        <v>1994.99</v>
      </c>
      <c r="E115" s="23" t="s">
        <v>14391</v>
      </c>
      <c r="F115" s="14"/>
      <c r="G115" s="23"/>
      <c r="H115" s="14"/>
      <c r="I115" s="23"/>
      <c r="J115" s="14"/>
      <c r="K115" s="23"/>
      <c r="L115" s="14"/>
      <c r="M115" s="23"/>
      <c r="N115" s="14"/>
      <c r="O115" s="23"/>
      <c r="P115" s="14"/>
      <c r="Q115" s="23"/>
      <c r="R115" s="14"/>
      <c r="S115" s="23"/>
      <c r="T115" s="14"/>
      <c r="U115" s="23"/>
      <c r="V115" s="14"/>
      <c r="W115" s="23"/>
      <c r="X115" s="14"/>
      <c r="Y115" s="23"/>
      <c r="Z115" s="23"/>
      <c r="AA115" s="23"/>
      <c r="AB115" s="14"/>
      <c r="AC115" s="23"/>
      <c r="AD115" s="14"/>
      <c r="AE115" s="23"/>
      <c r="AF115" s="14"/>
      <c r="AG115" s="23"/>
      <c r="AH115" s="14">
        <v>1970</v>
      </c>
      <c r="AI115" s="23" t="s">
        <v>15037</v>
      </c>
      <c r="AJ115" s="6">
        <v>1970</v>
      </c>
      <c r="AK115" s="23" t="s">
        <v>15068</v>
      </c>
      <c r="AL115" s="14"/>
      <c r="AM115" s="23"/>
      <c r="AN115" s="14"/>
      <c r="AP115" s="14">
        <v>1099.01</v>
      </c>
      <c r="AQ115" s="23" t="s">
        <v>15289</v>
      </c>
      <c r="AS115" s="23"/>
      <c r="AT115" s="14"/>
      <c r="AU115" s="23"/>
      <c r="AV115" s="14"/>
      <c r="AW115" s="324"/>
      <c r="AX115" s="14"/>
      <c r="AY115" s="23"/>
      <c r="AZ115" s="14"/>
      <c r="BA115" s="23"/>
      <c r="BB115" s="14"/>
      <c r="BC115" s="23"/>
      <c r="BD115" s="14"/>
      <c r="BE115" s="23"/>
      <c r="BF115" s="14"/>
      <c r="BG115" s="23"/>
      <c r="BH115" s="14"/>
      <c r="BI115" s="23"/>
      <c r="BJ115" s="14"/>
      <c r="BK115" s="23"/>
      <c r="BL115" s="14"/>
      <c r="BM115" s="23"/>
      <c r="BN115" s="14"/>
      <c r="BO115" s="23"/>
      <c r="BP115" s="14"/>
      <c r="BQ115" s="23"/>
      <c r="BR115" s="14"/>
      <c r="BS115" s="23"/>
      <c r="BT115" s="14"/>
      <c r="BU115" s="23"/>
      <c r="BV115" s="14"/>
      <c r="BW115" s="23"/>
      <c r="BX115" s="14"/>
      <c r="BY115" s="23"/>
      <c r="BZ115" s="14"/>
      <c r="CA115" s="23"/>
      <c r="CB115" s="14"/>
      <c r="CC115" s="23"/>
      <c r="CD115" s="14"/>
      <c r="CE115" s="23"/>
      <c r="CF115" s="14"/>
      <c r="CG115" s="23"/>
      <c r="CH115" s="14"/>
      <c r="CI115" s="23"/>
      <c r="CJ115" s="14"/>
      <c r="CK115" s="23"/>
      <c r="CL115" s="14"/>
      <c r="CM115" s="23"/>
      <c r="CN115" s="14"/>
      <c r="CO115" s="23"/>
      <c r="CP115" s="14"/>
      <c r="CQ115" s="23"/>
      <c r="CR115" s="14"/>
    </row>
    <row r="116" spans="1:99" x14ac:dyDescent="0.2">
      <c r="A116" s="42"/>
      <c r="B116" s="14"/>
      <c r="C116" s="23"/>
      <c r="D116" s="111">
        <f>+D114+D115</f>
        <v>2102.0500000000002</v>
      </c>
      <c r="E116" s="23"/>
      <c r="F116" s="23"/>
      <c r="G116" s="23"/>
      <c r="H116" s="23"/>
      <c r="I116" s="23"/>
      <c r="J116" s="14"/>
      <c r="K116" s="23"/>
      <c r="L116" s="23"/>
      <c r="M116" s="23"/>
      <c r="N116" s="23"/>
      <c r="O116" s="23"/>
      <c r="P116" s="23"/>
      <c r="Q116" s="23"/>
      <c r="R116" s="14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14"/>
      <c r="AI116" s="23"/>
      <c r="AJ116" s="14"/>
      <c r="AK116" s="23"/>
      <c r="AL116" s="23"/>
      <c r="AM116" s="23"/>
      <c r="AN116" s="23"/>
      <c r="AO116" s="23"/>
      <c r="AP116" s="23"/>
      <c r="AQ116" s="23"/>
      <c r="AR116" s="23"/>
      <c r="AS116" s="23"/>
      <c r="AT116" s="14"/>
      <c r="AU116" s="23"/>
      <c r="AV116" s="14"/>
      <c r="AW116" s="324"/>
      <c r="AX116" s="23"/>
      <c r="AY116" s="23"/>
      <c r="AZ116" s="23"/>
      <c r="BA116" s="23"/>
      <c r="BB116" s="14"/>
      <c r="BC116" s="23"/>
      <c r="BD116" s="23"/>
      <c r="BE116" s="23"/>
      <c r="BF116" s="14"/>
      <c r="BG116" s="23"/>
      <c r="BH116" s="23"/>
      <c r="BI116" s="23"/>
      <c r="BJ116" s="25"/>
      <c r="BK116" s="75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</row>
    <row r="117" spans="1:99" x14ac:dyDescent="0.2">
      <c r="A117" s="43"/>
      <c r="B117" s="23"/>
      <c r="C117" s="13"/>
      <c r="D117" s="11"/>
      <c r="E117" s="13"/>
      <c r="F117" s="11"/>
      <c r="G117" s="13"/>
      <c r="H117" s="11"/>
      <c r="I117" s="13"/>
      <c r="J117" s="13"/>
      <c r="K117" s="13"/>
      <c r="L117" s="11"/>
      <c r="M117" s="13"/>
      <c r="N117" s="11"/>
      <c r="O117" s="13"/>
      <c r="P117" s="23"/>
      <c r="Q117" s="13"/>
      <c r="R117" s="14"/>
      <c r="S117" s="13"/>
      <c r="T117" s="11"/>
      <c r="U117" s="13"/>
      <c r="V117" s="11"/>
      <c r="W117" s="13"/>
      <c r="X117" s="11"/>
      <c r="Y117" s="13"/>
      <c r="Z117" s="13"/>
      <c r="AA117" s="13"/>
      <c r="AB117" s="11"/>
      <c r="AC117" s="13"/>
      <c r="AD117" s="11"/>
      <c r="AE117" s="13"/>
      <c r="AF117" s="11"/>
      <c r="AG117" s="13"/>
      <c r="AH117" s="15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"/>
      <c r="AS117" s="13"/>
      <c r="AT117" s="23"/>
      <c r="AU117" s="13"/>
      <c r="AV117" s="11"/>
      <c r="AW117" s="324"/>
      <c r="AX117" s="11"/>
      <c r="AY117" s="13"/>
      <c r="AZ117" s="11"/>
      <c r="BA117" s="13"/>
      <c r="BB117" s="11"/>
      <c r="BC117" s="13"/>
      <c r="BD117" s="11"/>
      <c r="BE117" s="13"/>
      <c r="BF117" s="15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  <c r="CO117" s="13"/>
      <c r="CP117" s="11"/>
      <c r="CQ117" s="13"/>
      <c r="CR117" s="11"/>
    </row>
    <row r="118" spans="1:99" x14ac:dyDescent="0.2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23"/>
      <c r="S118" s="13"/>
      <c r="T118" s="11"/>
      <c r="U118" s="13"/>
      <c r="V118" s="11"/>
      <c r="W118" s="13"/>
      <c r="X118" s="11"/>
      <c r="Y118" s="13"/>
      <c r="Z118" s="13"/>
      <c r="AA118" s="13"/>
      <c r="AB118" s="11"/>
      <c r="AC118" s="13"/>
      <c r="AD118" s="11"/>
      <c r="AE118" s="13"/>
      <c r="AF118" s="11"/>
      <c r="AG118" s="13"/>
      <c r="AH118" s="11"/>
      <c r="AI118" s="13"/>
      <c r="AJ118" s="23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324"/>
      <c r="AX118" s="11"/>
      <c r="AY118" s="13"/>
      <c r="AZ118" s="11"/>
      <c r="BA118" s="13"/>
      <c r="BB118" s="23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  <c r="CO118" s="13"/>
      <c r="CP118" s="11"/>
      <c r="CQ118" s="13"/>
      <c r="CR118" s="11"/>
    </row>
    <row r="119" spans="1:99" x14ac:dyDescent="0.2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3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324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  <c r="CO119" s="13"/>
      <c r="CP119" s="11"/>
      <c r="CQ119" s="13"/>
      <c r="CR119" s="11"/>
    </row>
    <row r="120" spans="1:99" x14ac:dyDescent="0.2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3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324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  <c r="CO120" s="13"/>
      <c r="CP120" s="11"/>
      <c r="CQ120" s="13"/>
      <c r="CR120" s="11"/>
    </row>
    <row r="121" spans="1:99" x14ac:dyDescent="0.2">
      <c r="A121" s="43"/>
      <c r="B121" s="11"/>
      <c r="C121" s="13"/>
      <c r="D121" s="11"/>
      <c r="E121" s="13"/>
      <c r="F121" s="11"/>
      <c r="G121" s="13"/>
      <c r="H121" s="11"/>
      <c r="I121" s="13"/>
      <c r="J121" s="11"/>
      <c r="K121" s="13"/>
      <c r="L121" s="11"/>
      <c r="M121" s="13"/>
      <c r="N121" s="11"/>
      <c r="O121" s="13"/>
      <c r="P121" s="11"/>
      <c r="Q121" s="13"/>
      <c r="R121" s="11"/>
      <c r="S121" s="13"/>
      <c r="T121" s="11"/>
      <c r="U121" s="13"/>
      <c r="V121" s="11"/>
      <c r="W121" s="13"/>
      <c r="X121" s="11"/>
      <c r="Y121" s="13"/>
      <c r="Z121" s="13"/>
      <c r="AA121" s="13"/>
      <c r="AB121" s="11"/>
      <c r="AC121" s="13"/>
      <c r="AD121" s="11"/>
      <c r="AE121" s="13"/>
      <c r="AF121" s="11"/>
      <c r="AG121" s="13"/>
      <c r="AH121" s="11"/>
      <c r="AI121" s="13"/>
      <c r="AJ121" s="11"/>
      <c r="AK121" s="13"/>
      <c r="AL121" s="11"/>
      <c r="AM121" s="13"/>
      <c r="AN121" s="11"/>
      <c r="AO121" s="13"/>
      <c r="AP121" s="11"/>
      <c r="AQ121" s="13"/>
      <c r="AR121" s="11"/>
      <c r="AS121" s="13"/>
      <c r="AT121" s="11"/>
      <c r="AU121" s="13"/>
      <c r="AV121" s="11"/>
      <c r="AW121" s="324"/>
      <c r="AX121" s="11"/>
      <c r="AY121" s="13"/>
      <c r="AZ121" s="11"/>
      <c r="BA121" s="13"/>
      <c r="BB121" s="11"/>
      <c r="BC121" s="13"/>
      <c r="BD121" s="11"/>
      <c r="BE121" s="13"/>
      <c r="BF121" s="11"/>
      <c r="BG121" s="13"/>
      <c r="BH121" s="11"/>
      <c r="BI121" s="13"/>
      <c r="BJ121" s="11"/>
      <c r="BK121" s="13"/>
      <c r="BL121" s="11"/>
      <c r="BM121" s="13"/>
      <c r="BN121" s="11"/>
      <c r="BO121" s="13"/>
      <c r="BP121" s="11"/>
      <c r="BQ121" s="13"/>
      <c r="BR121" s="11"/>
      <c r="BS121" s="13"/>
      <c r="BT121" s="11"/>
      <c r="BU121" s="13"/>
      <c r="BV121" s="11"/>
      <c r="BW121" s="13"/>
      <c r="BX121" s="11"/>
      <c r="BY121" s="13"/>
      <c r="BZ121" s="11"/>
      <c r="CA121" s="13"/>
      <c r="CB121" s="11"/>
      <c r="CC121" s="13"/>
      <c r="CD121" s="11"/>
      <c r="CE121" s="13"/>
      <c r="CF121" s="11"/>
      <c r="CG121" s="13"/>
      <c r="CH121" s="11"/>
      <c r="CI121" s="13"/>
      <c r="CJ121" s="11"/>
      <c r="CK121" s="13"/>
      <c r="CL121" s="11"/>
      <c r="CM121" s="13"/>
      <c r="CN121" s="11"/>
      <c r="CO121" s="13"/>
      <c r="CP121" s="11"/>
      <c r="CQ121" s="13"/>
      <c r="CR121" s="11"/>
    </row>
    <row r="122" spans="1:99" x14ac:dyDescent="0.2">
      <c r="A122" s="42" t="s">
        <v>5</v>
      </c>
      <c r="B122" s="14">
        <f>+B64+B78</f>
        <v>58753.689999999995</v>
      </c>
      <c r="C122" s="23"/>
      <c r="D122" s="14">
        <f>+D71</f>
        <v>19912.82</v>
      </c>
      <c r="E122" s="23"/>
      <c r="F122" s="14"/>
      <c r="G122" s="23"/>
      <c r="H122" s="14">
        <f>+H60+H69</f>
        <v>57755.590000000004</v>
      </c>
      <c r="I122" s="23"/>
      <c r="J122" s="14">
        <f>+J68+J76</f>
        <v>41990.63</v>
      </c>
      <c r="K122" s="23"/>
      <c r="L122" s="14">
        <f>+L64+L76</f>
        <v>43045.220000000008</v>
      </c>
      <c r="M122" s="23"/>
      <c r="N122" s="14">
        <f>+N68+N74</f>
        <v>38834.740000000005</v>
      </c>
      <c r="O122" s="23"/>
      <c r="P122" s="14">
        <f>+P70+P78</f>
        <v>34663.18</v>
      </c>
      <c r="Q122" s="23"/>
      <c r="R122" s="14">
        <f>+R79</f>
        <v>44693.27</v>
      </c>
      <c r="S122" s="23"/>
      <c r="T122" s="14">
        <f>+T74+T79</f>
        <v>44287.64</v>
      </c>
      <c r="U122" s="23"/>
      <c r="V122" s="14"/>
      <c r="W122" s="23"/>
      <c r="X122" s="14">
        <f>+X66+X74</f>
        <v>29819.25</v>
      </c>
      <c r="Y122" s="23"/>
      <c r="Z122" s="23">
        <f>+Z70+Z74</f>
        <v>129966.71</v>
      </c>
      <c r="AA122" s="23"/>
      <c r="AB122" s="14">
        <f>+AB72+AB80</f>
        <v>45853.52</v>
      </c>
      <c r="AC122" s="14"/>
      <c r="AD122" s="14">
        <f>+AD73</f>
        <v>80749.53</v>
      </c>
      <c r="AE122" s="14"/>
      <c r="AF122" s="14">
        <f t="shared" ref="AF122" si="12">+AF72+AF80</f>
        <v>0</v>
      </c>
      <c r="AG122" s="14"/>
      <c r="AH122" s="14">
        <f>+AH62+AH75</f>
        <v>56351.93</v>
      </c>
      <c r="AI122" s="14"/>
      <c r="AJ122" s="14">
        <f>+AJ65+AJ80</f>
        <v>34921.75</v>
      </c>
      <c r="AK122" s="14"/>
      <c r="AL122" s="14">
        <f>+AL73+AL84</f>
        <v>81553.98</v>
      </c>
      <c r="AM122" s="23"/>
      <c r="AN122" s="14">
        <f>+AN70+AN79</f>
        <v>77317.36</v>
      </c>
      <c r="AO122" s="23"/>
      <c r="AP122" s="14">
        <f>+AP72+AP80</f>
        <v>103227.75</v>
      </c>
      <c r="AQ122" s="23"/>
      <c r="AR122" s="14">
        <f>+AR72</f>
        <v>30724.170000000002</v>
      </c>
      <c r="AS122" s="23"/>
      <c r="AT122" s="14">
        <f>+AT67+AT77</f>
        <v>27898.93</v>
      </c>
      <c r="AU122" s="23"/>
      <c r="AV122" s="14">
        <f>+AV69+AV73</f>
        <v>46518.830000000009</v>
      </c>
      <c r="AW122" s="324"/>
      <c r="AX122" s="14">
        <f>+AX66+AX82</f>
        <v>43916.189999999995</v>
      </c>
      <c r="AY122" s="23"/>
      <c r="AZ122" s="14">
        <f>+AZ71+AZ81</f>
        <v>98000.510000000009</v>
      </c>
      <c r="BA122" s="23"/>
      <c r="BB122" s="14">
        <f>+BB69</f>
        <v>17951.11</v>
      </c>
      <c r="BC122" s="23"/>
      <c r="BD122" s="14"/>
      <c r="BE122" s="23"/>
      <c r="BF122" s="14"/>
      <c r="BG122" s="23"/>
      <c r="BH122" s="14"/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  <c r="CO122" s="23"/>
      <c r="CP122" s="14"/>
      <c r="CQ122" s="23"/>
      <c r="CR122" s="14"/>
    </row>
    <row r="123" spans="1:99" x14ac:dyDescent="0.2">
      <c r="A123" s="42" t="s">
        <v>8</v>
      </c>
      <c r="B123" s="14">
        <f>+B94</f>
        <v>6500</v>
      </c>
      <c r="C123" s="23"/>
      <c r="D123" s="14">
        <f>+D98</f>
        <v>9376.9500000000007</v>
      </c>
      <c r="E123" s="23"/>
      <c r="F123" s="14"/>
      <c r="G123" s="23"/>
      <c r="H123" s="14">
        <f>+H98+H105</f>
        <v>50747.94</v>
      </c>
      <c r="I123" s="23"/>
      <c r="J123" s="14">
        <f>+J96+J100</f>
        <v>19888.609999999997</v>
      </c>
      <c r="K123" s="23"/>
      <c r="L123" s="14">
        <f>+L100</f>
        <v>59471.03</v>
      </c>
      <c r="M123" s="23"/>
      <c r="N123" s="14">
        <f>+N95+N102</f>
        <v>23738.36</v>
      </c>
      <c r="O123" s="23"/>
      <c r="P123" s="14">
        <f>+P95</f>
        <v>5215.6000000000004</v>
      </c>
      <c r="Q123" s="23"/>
      <c r="R123" s="14">
        <f>+R100</f>
        <v>20027.010000000002</v>
      </c>
      <c r="S123" s="23"/>
      <c r="T123" s="14">
        <f>+T98</f>
        <v>13538.93</v>
      </c>
      <c r="U123" s="23"/>
      <c r="V123" s="14">
        <f>+V92</f>
        <v>10000</v>
      </c>
      <c r="W123" s="23"/>
      <c r="X123" s="14">
        <f>+X95+X99</f>
        <v>6234.2800000000007</v>
      </c>
      <c r="Y123" s="23"/>
      <c r="Z123" s="23">
        <f>+Z97+Z100</f>
        <v>13455.02</v>
      </c>
      <c r="AA123" s="23"/>
      <c r="AB123" s="14">
        <f>+AB94+AB99</f>
        <v>55579.99</v>
      </c>
      <c r="AC123" s="14"/>
      <c r="AD123" s="14">
        <f>+AD103</f>
        <v>101908.62999999999</v>
      </c>
      <c r="AE123" s="14"/>
      <c r="AF123" s="14">
        <f t="shared" ref="AF123" si="13">+AF94+AF99</f>
        <v>0</v>
      </c>
      <c r="AG123" s="14"/>
      <c r="AH123" s="14">
        <f>+AH92+AH99</f>
        <v>7136.7</v>
      </c>
      <c r="AI123" s="14"/>
      <c r="AJ123" s="14">
        <f>+AJ96+AJ103</f>
        <v>22531.340000000004</v>
      </c>
      <c r="AK123" s="14"/>
      <c r="AL123" s="14">
        <f>+AL98+AL100</f>
        <v>17397.66</v>
      </c>
      <c r="AM123" s="23"/>
      <c r="AN123" s="14">
        <f>+AN108+AN103</f>
        <v>53801.97</v>
      </c>
      <c r="AO123" s="23"/>
      <c r="AP123" s="14">
        <f>+AP96+AP104</f>
        <v>38903.660000000003</v>
      </c>
      <c r="AQ123" s="23"/>
      <c r="AR123" s="14">
        <f>+AR98</f>
        <v>9575.0300000000007</v>
      </c>
      <c r="AS123" s="23"/>
      <c r="AT123" s="14">
        <f>+AT96</f>
        <v>3671.35</v>
      </c>
      <c r="AU123" s="23"/>
      <c r="AV123" s="14">
        <f>+AV101+AV103</f>
        <v>42350.53</v>
      </c>
      <c r="AW123" s="324"/>
      <c r="AX123" s="14">
        <f>+AX94+AX101</f>
        <v>18830.310000000001</v>
      </c>
      <c r="AY123" s="23"/>
      <c r="AZ123" s="14">
        <f>+AZ92</f>
        <v>2743.48</v>
      </c>
      <c r="BA123" s="23"/>
      <c r="BB123" s="14">
        <f>+BB101</f>
        <v>22814.89</v>
      </c>
      <c r="BC123" s="23"/>
      <c r="BD123" s="14"/>
      <c r="BE123" s="23"/>
      <c r="BF123" s="14"/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  <c r="CO123" s="23"/>
      <c r="CP123" s="14"/>
      <c r="CQ123" s="23"/>
      <c r="CR123" s="14"/>
    </row>
    <row r="124" spans="1:99" x14ac:dyDescent="0.2">
      <c r="A124" s="42" t="s">
        <v>7</v>
      </c>
      <c r="B124" s="14"/>
      <c r="C124" s="23"/>
      <c r="D124" s="14">
        <f>+D116</f>
        <v>2102.0500000000002</v>
      </c>
      <c r="E124" s="23"/>
      <c r="F124" s="14"/>
      <c r="G124" s="23"/>
      <c r="H124" s="14"/>
      <c r="I124" s="23"/>
      <c r="J124" s="14"/>
      <c r="K124" s="23"/>
      <c r="L124" s="14"/>
      <c r="M124" s="23"/>
      <c r="N124" s="24">
        <f>+N114</f>
        <v>2465.4299999999998</v>
      </c>
      <c r="O124" s="23"/>
      <c r="P124" s="14">
        <f>+P114+P116</f>
        <v>1099.01</v>
      </c>
      <c r="Q124" s="23"/>
      <c r="R124" s="14"/>
      <c r="S124" s="23"/>
      <c r="T124" s="14"/>
      <c r="U124" s="23"/>
      <c r="V124" s="14"/>
      <c r="W124" s="23"/>
      <c r="X124" s="14"/>
      <c r="Y124" s="23"/>
      <c r="Z124" s="23"/>
      <c r="AA124" s="23"/>
      <c r="AB124" s="14">
        <f>+AB114</f>
        <v>5928.99</v>
      </c>
      <c r="AC124" s="14"/>
      <c r="AD124" s="14">
        <f t="shared" ref="AD124:AF124" si="14">+AD114</f>
        <v>0</v>
      </c>
      <c r="AE124" s="14"/>
      <c r="AF124" s="14">
        <f t="shared" si="14"/>
        <v>0</v>
      </c>
      <c r="AG124" s="14"/>
      <c r="AH124" s="14">
        <f>+AH115</f>
        <v>1970</v>
      </c>
      <c r="AI124" s="14"/>
      <c r="AJ124" s="14">
        <f>+AJ115</f>
        <v>1970</v>
      </c>
      <c r="AK124" s="14"/>
      <c r="AL124" s="14"/>
      <c r="AM124" s="23"/>
      <c r="AN124" s="14"/>
      <c r="AO124" s="23"/>
      <c r="AP124" s="14">
        <f>+AP115</f>
        <v>1099.01</v>
      </c>
      <c r="AQ124" s="23"/>
      <c r="AR124" s="14"/>
      <c r="AS124" s="23"/>
      <c r="AT124" s="14"/>
      <c r="AU124" s="23"/>
      <c r="AV124" s="14"/>
      <c r="AW124" s="324"/>
      <c r="AX124" s="14"/>
      <c r="AY124" s="23"/>
      <c r="AZ124" s="14"/>
      <c r="BA124" s="23"/>
      <c r="BB124" s="14"/>
      <c r="BC124" s="23"/>
      <c r="BD124" s="14"/>
      <c r="BE124" s="23"/>
      <c r="BF124" s="14"/>
      <c r="BG124" s="23"/>
      <c r="BH124" s="14"/>
      <c r="BI124" s="23"/>
      <c r="BJ124" s="14"/>
      <c r="BK124" s="23"/>
      <c r="BL124" s="14"/>
      <c r="BM124" s="23"/>
      <c r="BN124" s="14"/>
      <c r="BO124" s="23"/>
      <c r="BP124" s="14"/>
      <c r="BQ124" s="23"/>
      <c r="BR124" s="14"/>
      <c r="BS124" s="23"/>
      <c r="BT124" s="14"/>
      <c r="BU124" s="23"/>
      <c r="BV124" s="14"/>
      <c r="BW124" s="23"/>
      <c r="BX124" s="14"/>
      <c r="BY124" s="23"/>
      <c r="BZ124" s="14"/>
      <c r="CA124" s="23"/>
      <c r="CB124" s="14"/>
      <c r="CC124" s="23"/>
      <c r="CD124" s="14"/>
      <c r="CE124" s="23"/>
      <c r="CF124" s="14"/>
      <c r="CG124" s="23"/>
      <c r="CH124" s="14"/>
      <c r="CI124" s="23"/>
      <c r="CJ124" s="14"/>
      <c r="CK124" s="23"/>
      <c r="CL124" s="14"/>
      <c r="CM124" s="23"/>
      <c r="CN124" s="14"/>
      <c r="CO124" s="23"/>
      <c r="CP124" s="14"/>
      <c r="CQ124" s="23"/>
      <c r="CR124" s="14"/>
    </row>
    <row r="125" spans="1:99" x14ac:dyDescent="0.2">
      <c r="A125" s="44" t="s">
        <v>9</v>
      </c>
      <c r="B125" s="24">
        <f>+B123+B122+B124</f>
        <v>65253.689999999995</v>
      </c>
      <c r="C125" s="24"/>
      <c r="D125" s="24">
        <f>+D123+D122+D124</f>
        <v>31391.82</v>
      </c>
      <c r="E125" s="24"/>
      <c r="F125" s="24"/>
      <c r="G125" s="24"/>
      <c r="H125" s="24">
        <f>+H123+H122+H124</f>
        <v>108503.53</v>
      </c>
      <c r="I125" s="24"/>
      <c r="J125" s="24">
        <f>+J123+J122+J124</f>
        <v>61879.239999999991</v>
      </c>
      <c r="K125" s="24"/>
      <c r="L125" s="24">
        <f>+L123+L122+L124</f>
        <v>102516.25</v>
      </c>
      <c r="M125" s="24"/>
      <c r="N125" s="24">
        <f>+N123+N122+N124</f>
        <v>65038.530000000006</v>
      </c>
      <c r="O125" s="24"/>
      <c r="P125" s="24">
        <f>+P123+P122+P124</f>
        <v>40977.79</v>
      </c>
      <c r="Q125" s="24"/>
      <c r="R125" s="24">
        <f>+R123+R122+R124</f>
        <v>64720.28</v>
      </c>
      <c r="S125" s="144"/>
      <c r="T125" s="24">
        <f>+T123+T122+T124</f>
        <v>57826.57</v>
      </c>
      <c r="U125" s="144"/>
      <c r="V125" s="24">
        <f>+V123+V122+V124</f>
        <v>10000</v>
      </c>
      <c r="W125" s="144"/>
      <c r="X125" s="24">
        <f>+X123+X122+X124</f>
        <v>36053.53</v>
      </c>
      <c r="Y125" s="24"/>
      <c r="Z125" s="24">
        <f t="shared" ref="Z125" si="15">+Z123+Z122+Z124</f>
        <v>143421.73000000001</v>
      </c>
      <c r="AA125" s="144"/>
      <c r="AB125" s="24">
        <f>+AB123+AB122+AB124</f>
        <v>107362.5</v>
      </c>
      <c r="AC125" s="24"/>
      <c r="AD125" s="24">
        <f t="shared" ref="AD125:AF125" si="16">+AD123+AD122+AD124</f>
        <v>182658.15999999997</v>
      </c>
      <c r="AE125" s="24"/>
      <c r="AF125" s="24">
        <f t="shared" si="16"/>
        <v>0</v>
      </c>
      <c r="AG125" s="24"/>
      <c r="AH125" s="24">
        <f>+AH123+AH122+AH124</f>
        <v>65458.63</v>
      </c>
      <c r="AI125" s="24"/>
      <c r="AJ125" s="24">
        <f>+AJ123+AJ122+AJ124</f>
        <v>59423.090000000004</v>
      </c>
      <c r="AK125" s="24"/>
      <c r="AL125" s="24">
        <f t="shared" ref="AL125" si="17">+AL123+AL122+AL124</f>
        <v>98951.64</v>
      </c>
      <c r="AM125" s="24"/>
      <c r="AN125" s="24">
        <f>+AN123+AN122+AN124</f>
        <v>131119.33000000002</v>
      </c>
      <c r="AO125" s="24"/>
      <c r="AP125" s="24">
        <f t="shared" ref="AP125" si="18">+AP123+AP122+AP124</f>
        <v>143230.42000000001</v>
      </c>
      <c r="AQ125" s="24"/>
      <c r="AR125" s="24">
        <f t="shared" ref="AR125" si="19">+AR123+AR122+AR124</f>
        <v>40299.200000000004</v>
      </c>
      <c r="AS125" s="24"/>
      <c r="AT125" s="24">
        <f t="shared" ref="AT125" si="20">+AT123+AT122+AT124</f>
        <v>31570.28</v>
      </c>
      <c r="AU125" s="24"/>
      <c r="AV125" s="24">
        <f t="shared" ref="AV125" si="21">+AV123+AV122+AV124</f>
        <v>88869.360000000015</v>
      </c>
      <c r="AW125" s="85"/>
      <c r="AX125" s="24">
        <f t="shared" ref="AX125" si="22">+AX123+AX122+AX124</f>
        <v>62746.5</v>
      </c>
      <c r="AY125" s="24"/>
      <c r="AZ125" s="24">
        <f t="shared" ref="AZ125" si="23">+AZ123+AZ122+AZ124</f>
        <v>100743.99</v>
      </c>
      <c r="BA125" s="24"/>
      <c r="BB125" s="24">
        <f t="shared" ref="BB125" si="24">+BB123+BB122+BB124</f>
        <v>40766</v>
      </c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</row>
    <row r="126" spans="1:99" x14ac:dyDescent="0.2">
      <c r="A126" s="44"/>
      <c r="B126" s="24">
        <f>5557.43+53195.99+6500</f>
        <v>65253.42</v>
      </c>
      <c r="C126" s="24"/>
      <c r="D126" s="24">
        <f>19912.82+9376.95+2102.05</f>
        <v>31391.82</v>
      </c>
      <c r="E126" s="24"/>
      <c r="F126" s="24"/>
      <c r="G126" s="24"/>
      <c r="H126" s="24">
        <f>13530+24583.01+44225.89+26164.93</f>
        <v>108503.82999999999</v>
      </c>
      <c r="I126" s="24"/>
      <c r="J126" s="24">
        <f>13640.35+17691.38+28350.28+2197.23</f>
        <v>61879.240000000005</v>
      </c>
      <c r="K126" s="24"/>
      <c r="L126" s="24">
        <f>8308.93+34736.29+59471</f>
        <v>102516.22</v>
      </c>
      <c r="M126" s="24"/>
      <c r="N126" s="24">
        <f>29047.18+5960+2465.43+9787.56+17778.36</f>
        <v>65038.53</v>
      </c>
      <c r="O126" s="24"/>
      <c r="P126" s="24">
        <f>21408.62+5215.6+1099.01+13254.41</f>
        <v>40977.64</v>
      </c>
      <c r="Q126" s="24"/>
      <c r="R126" s="24">
        <f>44693.27+20027.01</f>
        <v>64720.28</v>
      </c>
      <c r="S126" s="144"/>
      <c r="T126" s="24">
        <f>37089.63+13538.93+7198.01</f>
        <v>57826.57</v>
      </c>
      <c r="U126" s="144"/>
      <c r="V126" s="24">
        <v>10000</v>
      </c>
      <c r="W126" s="144"/>
      <c r="X126" s="24">
        <f>21377.11+2617.68+8442.14+3616.6</f>
        <v>36053.53</v>
      </c>
      <c r="Y126" s="144"/>
      <c r="Z126" s="24">
        <f>122971.72+10205.01+6994.99+3250.01</f>
        <v>143421.73000000001</v>
      </c>
      <c r="AA126" s="144"/>
      <c r="AB126" s="24">
        <f>36649.08+22099.99+9204.43+33480+5928.99</f>
        <v>107362.49</v>
      </c>
      <c r="AC126" s="24"/>
      <c r="AD126" s="24">
        <f>80749.53+101908.62</f>
        <v>182658.15</v>
      </c>
      <c r="AE126" s="24"/>
      <c r="AF126" s="24"/>
      <c r="AG126" s="24"/>
      <c r="AH126" s="24">
        <f>48706.92+6575.5+1970+7645.01+561.2</f>
        <v>65458.63</v>
      </c>
      <c r="AI126" s="24"/>
      <c r="AJ126" s="24">
        <f>22464.75+10316.32+1970+12215.01+12456.99</f>
        <v>59423.07</v>
      </c>
      <c r="AK126" s="24"/>
      <c r="AL126" s="24">
        <f>40428.54+505.01+41125.44+16892.65</f>
        <v>98951.640000000014</v>
      </c>
      <c r="AM126" s="144"/>
      <c r="AN126" s="24">
        <f>18492.18+47227.93+58825.18+6574.04</f>
        <v>131119.33000000002</v>
      </c>
      <c r="AO126" s="24"/>
      <c r="AP126" s="24">
        <f>59443.35+4297.01+1099.01+43784.4+34606.65</f>
        <v>143230.42000000001</v>
      </c>
      <c r="AQ126" s="24"/>
      <c r="AR126" s="24">
        <f>30724.17+9575.03</f>
        <v>40299.199999999997</v>
      </c>
      <c r="AS126" s="24"/>
      <c r="AT126" s="24">
        <f>10630.93+17268+3671.35</f>
        <v>31570.28</v>
      </c>
      <c r="AU126" s="24"/>
      <c r="AV126" s="24">
        <f>42553.83+39916.54+3965+2433.99</f>
        <v>88869.36</v>
      </c>
      <c r="AW126" s="85"/>
      <c r="AX126" s="24">
        <f>37144.81+10732.01+6771.38+8098.3</f>
        <v>62746.5</v>
      </c>
      <c r="AY126" s="24"/>
      <c r="AZ126" s="24">
        <f>38477.57+2743.48+59522.94</f>
        <v>100743.99</v>
      </c>
      <c r="BA126" s="24"/>
      <c r="BB126" s="24">
        <f>17951.11+22814.89</f>
        <v>40766</v>
      </c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</row>
    <row r="127" spans="1:99" x14ac:dyDescent="0.2">
      <c r="A127" s="44" t="s">
        <v>3</v>
      </c>
      <c r="B127" s="263">
        <f>+B125-B126</f>
        <v>0.26999999999679858</v>
      </c>
      <c r="C127" s="58"/>
      <c r="D127" s="263">
        <f>+D125-D126</f>
        <v>0</v>
      </c>
      <c r="E127" s="58"/>
      <c r="F127" s="263"/>
      <c r="G127" s="58"/>
      <c r="H127" s="263">
        <f>+H125-H126</f>
        <v>-0.29999999998835847</v>
      </c>
      <c r="I127" s="58"/>
      <c r="J127" s="263">
        <f>+J125-J126</f>
        <v>0</v>
      </c>
      <c r="K127" s="58"/>
      <c r="L127" s="263">
        <f>+L125-L126</f>
        <v>2.9999999998835847E-2</v>
      </c>
      <c r="M127" s="58"/>
      <c r="N127" s="263">
        <f>+N125-N126</f>
        <v>0</v>
      </c>
      <c r="O127" s="58"/>
      <c r="P127" s="263">
        <f>+P125-P126</f>
        <v>0.15000000000145519</v>
      </c>
      <c r="Q127" s="58"/>
      <c r="R127" s="263">
        <f>+R125-R126</f>
        <v>0</v>
      </c>
      <c r="S127" s="145"/>
      <c r="T127" s="263">
        <f>+T125-T126</f>
        <v>0</v>
      </c>
      <c r="U127" s="145"/>
      <c r="V127" s="263">
        <f>+V125-V126</f>
        <v>0</v>
      </c>
      <c r="W127" s="145"/>
      <c r="X127" s="263">
        <f>+X125-X126</f>
        <v>0</v>
      </c>
      <c r="Y127" s="263"/>
      <c r="Z127" s="263">
        <f t="shared" ref="Z127:AB127" si="25">+Z125-Z126</f>
        <v>0</v>
      </c>
      <c r="AA127" s="145"/>
      <c r="AB127" s="263">
        <f t="shared" si="25"/>
        <v>9.9999999947613105E-3</v>
      </c>
      <c r="AC127" s="263"/>
      <c r="AD127" s="263">
        <f t="shared" ref="AD127:AH127" si="26">+AD125-AD126</f>
        <v>9.9999999802093953E-3</v>
      </c>
      <c r="AE127" s="263"/>
      <c r="AF127" s="263">
        <f t="shared" si="26"/>
        <v>0</v>
      </c>
      <c r="AG127" s="263"/>
      <c r="AH127" s="263">
        <f t="shared" si="26"/>
        <v>0</v>
      </c>
      <c r="AI127" s="263"/>
      <c r="AJ127" s="263">
        <f t="shared" ref="AJ127:AN127" si="27">+AJ125-AJ126</f>
        <v>2.0000000004074536E-2</v>
      </c>
      <c r="AK127" s="263"/>
      <c r="AL127" s="263">
        <f t="shared" si="27"/>
        <v>0</v>
      </c>
      <c r="AM127" s="263"/>
      <c r="AN127" s="263">
        <f t="shared" si="27"/>
        <v>0</v>
      </c>
      <c r="AO127" s="263"/>
      <c r="AP127" s="263">
        <f t="shared" ref="AP127:BB127" si="28">+AP125-AP126</f>
        <v>0</v>
      </c>
      <c r="AQ127" s="263"/>
      <c r="AR127" s="263">
        <f t="shared" si="28"/>
        <v>0</v>
      </c>
      <c r="AS127" s="263"/>
      <c r="AT127" s="263">
        <f t="shared" si="28"/>
        <v>0</v>
      </c>
      <c r="AU127" s="263"/>
      <c r="AV127" s="263">
        <f t="shared" si="28"/>
        <v>0</v>
      </c>
      <c r="AW127" s="325"/>
      <c r="AX127" s="263">
        <f t="shared" si="28"/>
        <v>0</v>
      </c>
      <c r="AY127" s="263"/>
      <c r="AZ127" s="263">
        <f t="shared" si="28"/>
        <v>0</v>
      </c>
      <c r="BA127" s="263"/>
      <c r="BB127" s="263">
        <f t="shared" si="28"/>
        <v>0</v>
      </c>
      <c r="BC127" s="263"/>
      <c r="BD127" s="263"/>
      <c r="BE127" s="263"/>
      <c r="BF127" s="263"/>
      <c r="BG127" s="263"/>
      <c r="BH127" s="263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</row>
    <row r="128" spans="1:99" x14ac:dyDescent="0.2">
      <c r="A128" s="48"/>
      <c r="B128" s="18"/>
      <c r="C128" s="59"/>
      <c r="D128" s="18"/>
      <c r="E128" s="59"/>
      <c r="F128" s="18"/>
      <c r="G128" s="59"/>
      <c r="H128" s="18"/>
      <c r="I128" s="59"/>
      <c r="J128" s="18"/>
      <c r="K128" s="59"/>
      <c r="L128" s="145"/>
      <c r="M128" s="59"/>
      <c r="N128" s="18"/>
      <c r="O128" s="59"/>
      <c r="P128" s="18"/>
      <c r="Q128" s="59"/>
      <c r="R128" s="18"/>
      <c r="S128" s="59"/>
      <c r="T128" s="18"/>
      <c r="U128" s="25"/>
      <c r="V128" s="18"/>
      <c r="W128" s="59"/>
      <c r="X128" s="18"/>
      <c r="Y128" s="59"/>
      <c r="Z128" s="59"/>
      <c r="AA128" s="59"/>
      <c r="AB128" s="18"/>
      <c r="AC128" s="59"/>
      <c r="AD128" s="18"/>
      <c r="AE128" s="59"/>
      <c r="AF128" s="18"/>
      <c r="AG128" s="59"/>
      <c r="AH128" s="18"/>
      <c r="AI128" s="59"/>
      <c r="AJ128" s="18"/>
      <c r="AK128" s="59"/>
      <c r="AL128" s="18"/>
      <c r="AM128" s="59"/>
      <c r="AN128" s="18"/>
      <c r="AO128" s="59"/>
      <c r="AP128" s="18"/>
      <c r="AQ128" s="59"/>
      <c r="AR128" s="18"/>
      <c r="AS128" s="59"/>
      <c r="AT128" s="18"/>
      <c r="AU128" s="59"/>
      <c r="AV128" s="18"/>
      <c r="AW128" s="319"/>
      <c r="AX128" s="18"/>
      <c r="AY128" s="59"/>
      <c r="AZ128" s="18"/>
      <c r="BA128" s="59"/>
      <c r="BB128" s="18"/>
      <c r="BC128" s="59"/>
      <c r="BD128" s="75"/>
      <c r="BE128" s="25"/>
      <c r="BF128" s="58"/>
      <c r="BG128" s="25"/>
      <c r="BH128" s="75"/>
      <c r="BI128" s="25"/>
      <c r="BJ128" s="75"/>
      <c r="BK128" s="25"/>
      <c r="BL128" s="75"/>
      <c r="BM128" s="25"/>
      <c r="BN128" s="75"/>
      <c r="BO128" s="25"/>
      <c r="BP128" s="75"/>
      <c r="BQ128" s="25"/>
      <c r="BR128" s="75"/>
      <c r="BS128" s="25"/>
      <c r="BT128" s="75"/>
      <c r="BU128" s="25"/>
      <c r="BV128" s="75"/>
      <c r="BW128" s="25"/>
      <c r="BX128" s="75"/>
      <c r="BY128" s="25"/>
      <c r="BZ128" s="75"/>
      <c r="CA128" s="25"/>
      <c r="CB128" s="75"/>
      <c r="CC128" s="25"/>
      <c r="CD128" s="75"/>
      <c r="CE128" s="25"/>
      <c r="CF128" s="75"/>
      <c r="CG128" s="25"/>
      <c r="CI128" s="234"/>
      <c r="CK128" s="234"/>
      <c r="CM128" s="234"/>
      <c r="CO128" s="234"/>
      <c r="CQ128" s="234"/>
    </row>
    <row r="129" spans="1:96" x14ac:dyDescent="0.2">
      <c r="A129" s="48"/>
      <c r="B129" s="163"/>
      <c r="C129" s="59"/>
      <c r="D129" s="163"/>
      <c r="E129" s="59"/>
      <c r="F129" s="163"/>
      <c r="G129" s="59"/>
      <c r="H129" s="163"/>
      <c r="I129" s="59"/>
      <c r="J129" s="163"/>
      <c r="K129" s="25"/>
      <c r="L129" s="163"/>
      <c r="M129" s="59"/>
      <c r="N129" s="163"/>
      <c r="O129" s="59"/>
      <c r="P129" s="163"/>
      <c r="Q129" s="59"/>
      <c r="R129" s="163"/>
      <c r="S129" s="59"/>
      <c r="T129" s="163"/>
      <c r="U129" s="25"/>
      <c r="V129" s="163"/>
      <c r="W129" s="59"/>
      <c r="X129" s="163"/>
      <c r="Y129" s="59"/>
      <c r="Z129" s="275"/>
      <c r="AA129" s="59"/>
      <c r="AB129" s="163"/>
      <c r="AC129" s="59"/>
      <c r="AD129" s="163"/>
      <c r="AE129" s="59"/>
      <c r="AF129" s="163"/>
      <c r="AG129" s="59"/>
      <c r="AH129" s="163"/>
      <c r="AI129" s="59"/>
      <c r="AJ129" s="163"/>
      <c r="AK129" s="59"/>
      <c r="AL129" s="163"/>
      <c r="AM129" s="59"/>
      <c r="AN129" s="163"/>
      <c r="AO129" s="59"/>
      <c r="AP129" s="163"/>
      <c r="AQ129" s="59"/>
      <c r="AR129" s="163"/>
      <c r="AS129" s="59"/>
      <c r="AT129" s="163"/>
      <c r="AU129" s="59"/>
      <c r="AV129" s="163"/>
      <c r="AW129" s="319"/>
      <c r="AX129" s="163"/>
      <c r="AY129" s="59"/>
      <c r="AZ129" s="163"/>
      <c r="BA129" s="59"/>
      <c r="BB129" s="163"/>
      <c r="BC129" s="59"/>
      <c r="BD129" s="235"/>
      <c r="BE129" s="25"/>
      <c r="BF129" s="235"/>
      <c r="BG129" s="25"/>
      <c r="BH129" s="235"/>
      <c r="BI129" s="25"/>
      <c r="BJ129" s="235"/>
      <c r="BK129" s="25"/>
      <c r="BL129" s="235"/>
      <c r="BM129" s="25"/>
      <c r="BN129" s="75"/>
      <c r="BO129" s="25"/>
      <c r="BP129" s="75"/>
      <c r="BQ129" s="25"/>
      <c r="BR129" s="75"/>
      <c r="BS129" s="25"/>
      <c r="BT129" s="75"/>
      <c r="BU129" s="25"/>
      <c r="BV129" s="75"/>
      <c r="BW129" s="25"/>
      <c r="BX129" s="75"/>
      <c r="BY129" s="25"/>
      <c r="BZ129" s="75"/>
      <c r="CA129" s="25"/>
      <c r="CB129" s="75"/>
      <c r="CC129" s="25"/>
      <c r="CD129" s="75"/>
      <c r="CE129" s="25"/>
      <c r="CF129" s="75"/>
      <c r="CG129" s="25"/>
      <c r="CI129" s="234"/>
      <c r="CK129" s="234"/>
      <c r="CM129" s="234"/>
      <c r="CO129" s="234"/>
      <c r="CQ129" s="234"/>
    </row>
    <row r="130" spans="1:96" s="76" customFormat="1" x14ac:dyDescent="0.2">
      <c r="A130" s="37" t="s">
        <v>10</v>
      </c>
      <c r="B130" s="335">
        <v>43070</v>
      </c>
      <c r="C130" s="119"/>
      <c r="D130" s="335">
        <v>43071</v>
      </c>
      <c r="E130" s="119"/>
      <c r="F130" s="335">
        <v>43072</v>
      </c>
      <c r="G130" s="119"/>
      <c r="H130" s="335">
        <v>43073</v>
      </c>
      <c r="I130" s="119"/>
      <c r="J130" s="335">
        <v>43074</v>
      </c>
      <c r="K130" s="119"/>
      <c r="L130" s="335">
        <v>43075</v>
      </c>
      <c r="M130" s="119"/>
      <c r="N130" s="335">
        <v>43076</v>
      </c>
      <c r="O130" s="119"/>
      <c r="P130" s="335">
        <v>43077</v>
      </c>
      <c r="Q130" s="119"/>
      <c r="R130" s="335">
        <v>43078</v>
      </c>
      <c r="S130" s="119"/>
      <c r="T130" s="20">
        <v>43080</v>
      </c>
      <c r="U130" s="119"/>
      <c r="V130" s="20">
        <v>43081</v>
      </c>
      <c r="W130" s="119"/>
      <c r="X130" s="20">
        <v>43082</v>
      </c>
      <c r="Y130" s="119"/>
      <c r="Z130" s="335">
        <v>43083</v>
      </c>
      <c r="AA130" s="119"/>
      <c r="AB130" s="335">
        <v>43084</v>
      </c>
      <c r="AC130" s="119"/>
      <c r="AD130" s="336">
        <v>43085</v>
      </c>
      <c r="AE130" s="119"/>
      <c r="AF130" s="335">
        <v>43086</v>
      </c>
      <c r="AG130" s="119"/>
      <c r="AH130" s="335">
        <v>43087</v>
      </c>
      <c r="AI130" s="119"/>
      <c r="AJ130" s="335">
        <v>43088</v>
      </c>
      <c r="AK130" s="119"/>
      <c r="AL130" s="335"/>
      <c r="AM130" s="119"/>
      <c r="AN130" s="335"/>
      <c r="AO130" s="119"/>
      <c r="AP130" s="335"/>
      <c r="AQ130" s="119"/>
      <c r="AR130" s="335"/>
      <c r="AS130" s="119"/>
      <c r="AT130" s="335"/>
      <c r="AU130" s="119"/>
      <c r="AV130" s="335"/>
      <c r="AW130" s="86"/>
      <c r="AX130" s="335"/>
      <c r="AY130" s="119"/>
      <c r="AZ130" s="335"/>
      <c r="BA130" s="119"/>
      <c r="BB130" s="335"/>
      <c r="BC130" s="119"/>
      <c r="BD130" s="335"/>
      <c r="BE130" s="119"/>
      <c r="BF130" s="335"/>
      <c r="BG130" s="119"/>
      <c r="BH130" s="335"/>
      <c r="BI130" s="119"/>
      <c r="BJ130" s="335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</row>
    <row r="131" spans="1:96" x14ac:dyDescent="0.2">
      <c r="A131" s="40"/>
      <c r="B131" s="22"/>
      <c r="C131" s="22"/>
      <c r="D131" s="22"/>
      <c r="E131" s="22"/>
      <c r="F131" s="22"/>
      <c r="G131" s="22"/>
      <c r="H131" s="22"/>
      <c r="I131" s="22"/>
      <c r="J131" s="22"/>
      <c r="K131" s="20"/>
      <c r="L131" s="22"/>
      <c r="M131" s="22"/>
      <c r="N131" s="22"/>
      <c r="O131" s="22"/>
      <c r="P131" s="22"/>
      <c r="Q131" s="22"/>
      <c r="R131" s="22"/>
      <c r="S131" s="22"/>
      <c r="T131" s="22"/>
      <c r="U131" s="20"/>
      <c r="V131" s="9"/>
      <c r="W131" s="18"/>
      <c r="X131" s="9"/>
      <c r="Y131" s="18"/>
      <c r="Z131" s="18"/>
      <c r="AA131" s="18"/>
      <c r="AB131" s="22"/>
      <c r="AC131" s="22"/>
      <c r="AD131" s="22"/>
      <c r="AE131" s="22"/>
      <c r="AF131" s="22"/>
      <c r="AG131" s="22"/>
      <c r="AH131" s="22"/>
      <c r="AI131" s="22"/>
      <c r="AJ131" s="22"/>
      <c r="AK131" s="20"/>
      <c r="AL131" s="22"/>
      <c r="AM131" s="22"/>
      <c r="AN131" s="22"/>
      <c r="AO131" s="22"/>
      <c r="AP131" s="22"/>
      <c r="AQ131" s="22"/>
      <c r="AR131" s="22"/>
      <c r="AS131" s="22"/>
      <c r="AT131" s="22"/>
      <c r="AU131" s="20"/>
      <c r="AV131" s="22"/>
      <c r="AW131" s="86"/>
      <c r="AX131" s="22"/>
      <c r="AY131" s="22"/>
      <c r="AZ131" s="22"/>
      <c r="BA131" s="22"/>
      <c r="BB131" s="22"/>
      <c r="BC131" s="22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</row>
    <row r="132" spans="1:96" x14ac:dyDescent="0.2">
      <c r="A132" s="45"/>
      <c r="B132" s="302">
        <v>31164.04</v>
      </c>
      <c r="C132" s="59" t="s">
        <v>14219</v>
      </c>
      <c r="D132" s="29">
        <v>100000</v>
      </c>
      <c r="E132" s="24" t="s">
        <v>14369</v>
      </c>
      <c r="F132" s="29"/>
      <c r="G132" s="24"/>
      <c r="H132" s="29">
        <v>100000</v>
      </c>
      <c r="I132" s="158" t="s">
        <v>14402</v>
      </c>
      <c r="J132" s="29">
        <v>100000</v>
      </c>
      <c r="K132" s="24" t="s">
        <v>14455</v>
      </c>
      <c r="L132" s="29">
        <v>43100</v>
      </c>
      <c r="M132" s="24" t="s">
        <v>14489</v>
      </c>
      <c r="N132" s="96">
        <v>10751.55</v>
      </c>
      <c r="O132" s="15" t="s">
        <v>14602</v>
      </c>
      <c r="P132" s="29">
        <v>77402.559999999998</v>
      </c>
      <c r="Q132" s="24" t="s">
        <v>14572</v>
      </c>
      <c r="R132" s="29">
        <v>90600</v>
      </c>
      <c r="S132" s="24" t="s">
        <v>14646</v>
      </c>
      <c r="T132" s="29">
        <v>5500</v>
      </c>
      <c r="U132" s="24" t="s">
        <v>14727</v>
      </c>
      <c r="V132" s="29">
        <v>368200</v>
      </c>
      <c r="W132" s="15" t="s">
        <v>14773</v>
      </c>
      <c r="X132" s="29">
        <v>193205</v>
      </c>
      <c r="Y132" s="15" t="s">
        <v>14780</v>
      </c>
      <c r="Z132" s="7">
        <v>180000</v>
      </c>
      <c r="AA132" s="26" t="s">
        <v>14833</v>
      </c>
      <c r="AB132" s="29">
        <v>5000</v>
      </c>
      <c r="AC132" s="24" t="s">
        <v>14887</v>
      </c>
      <c r="AD132" s="29">
        <v>40000</v>
      </c>
      <c r="AE132" s="24" t="s">
        <v>14952</v>
      </c>
      <c r="AF132" s="29"/>
      <c r="AG132" s="85"/>
      <c r="AH132" s="29">
        <v>282427.55</v>
      </c>
      <c r="AI132" s="15" t="s">
        <v>14991</v>
      </c>
      <c r="AJ132" s="29">
        <v>224000</v>
      </c>
      <c r="AK132" s="24" t="s">
        <v>15049</v>
      </c>
      <c r="AL132" s="29">
        <v>3208.63</v>
      </c>
      <c r="AM132" s="85" t="s">
        <v>15144</v>
      </c>
      <c r="AN132" s="29">
        <v>194520</v>
      </c>
      <c r="AO132" s="24" t="s">
        <v>15218</v>
      </c>
      <c r="AP132" s="29">
        <v>45000</v>
      </c>
      <c r="AQ132" s="24" t="s">
        <v>15290</v>
      </c>
      <c r="AR132" s="29">
        <v>2069</v>
      </c>
      <c r="AS132" s="184" t="s">
        <v>15336</v>
      </c>
      <c r="AT132" s="29">
        <v>1970</v>
      </c>
      <c r="AU132" s="24" t="s">
        <v>15383</v>
      </c>
      <c r="AV132" s="104">
        <v>30000</v>
      </c>
      <c r="AW132" s="85" t="s">
        <v>15390</v>
      </c>
      <c r="AX132" s="29">
        <v>150000</v>
      </c>
      <c r="AY132" s="24" t="s">
        <v>15505</v>
      </c>
      <c r="AZ132" s="29">
        <v>224000</v>
      </c>
      <c r="BA132" s="24" t="s">
        <v>15547</v>
      </c>
      <c r="BB132" s="29">
        <v>3250</v>
      </c>
      <c r="BC132" s="24"/>
      <c r="BD132" s="72"/>
      <c r="BE132" s="24"/>
      <c r="BF132" s="72"/>
      <c r="BG132" s="24"/>
      <c r="BH132" s="72"/>
      <c r="BI132" s="24"/>
      <c r="BJ132" s="9"/>
      <c r="BK132" s="15"/>
      <c r="BL132" s="72"/>
      <c r="BM132" s="24"/>
      <c r="BN132" s="72"/>
      <c r="BO132" s="24"/>
      <c r="BP132" s="72"/>
      <c r="BQ132" s="24"/>
      <c r="BR132" s="72"/>
      <c r="BS132" s="24"/>
      <c r="BT132" s="72"/>
      <c r="BU132" s="24"/>
      <c r="BV132" s="72"/>
      <c r="BW132" s="24"/>
      <c r="BX132" s="72"/>
      <c r="BY132" s="24"/>
      <c r="BZ132" s="72"/>
      <c r="CA132" s="24"/>
      <c r="CB132" s="72"/>
      <c r="CC132" s="24"/>
      <c r="CD132" s="72"/>
      <c r="CE132" s="24"/>
      <c r="CF132" s="72"/>
      <c r="CG132" s="24"/>
      <c r="CH132" s="72"/>
      <c r="CI132" s="24"/>
      <c r="CJ132" s="72"/>
      <c r="CK132" s="24"/>
      <c r="CL132" s="72"/>
      <c r="CM132" s="24"/>
      <c r="CN132" s="72"/>
      <c r="CO132" s="24"/>
      <c r="CP132" s="72"/>
      <c r="CQ132" s="24"/>
      <c r="CR132" s="72"/>
    </row>
    <row r="133" spans="1:96" x14ac:dyDescent="0.2">
      <c r="A133" s="45"/>
      <c r="B133" s="302">
        <v>1099</v>
      </c>
      <c r="C133" s="59" t="s">
        <v>14220</v>
      </c>
      <c r="D133" s="29">
        <v>150000</v>
      </c>
      <c r="E133" s="24" t="s">
        <v>14376</v>
      </c>
      <c r="F133" s="29"/>
      <c r="G133" s="24"/>
      <c r="H133" s="29">
        <v>4000</v>
      </c>
      <c r="I133" s="158" t="s">
        <v>14403</v>
      </c>
      <c r="J133" s="29">
        <v>70000</v>
      </c>
      <c r="K133" s="24" t="s">
        <v>14457</v>
      </c>
      <c r="L133" s="29">
        <v>50000</v>
      </c>
      <c r="M133" s="24" t="s">
        <v>14490</v>
      </c>
      <c r="N133" s="29">
        <v>10944.62</v>
      </c>
      <c r="O133" s="24" t="s">
        <v>14603</v>
      </c>
      <c r="P133" s="29">
        <v>3000</v>
      </c>
      <c r="Q133" s="24" t="s">
        <v>14574</v>
      </c>
      <c r="R133" s="29">
        <v>192190.63</v>
      </c>
      <c r="S133" s="24" t="s">
        <v>14647</v>
      </c>
      <c r="T133" s="29">
        <v>68200</v>
      </c>
      <c r="U133" s="24" t="s">
        <v>14729</v>
      </c>
      <c r="V133" s="29">
        <v>5500</v>
      </c>
      <c r="W133" s="24" t="s">
        <v>14775</v>
      </c>
      <c r="X133" s="29">
        <v>33095</v>
      </c>
      <c r="Y133" s="24" t="s">
        <v>14782</v>
      </c>
      <c r="Z133" s="104">
        <v>20000</v>
      </c>
      <c r="AA133" s="24" t="s">
        <v>14834</v>
      </c>
      <c r="AB133" s="30">
        <v>160000</v>
      </c>
      <c r="AC133" s="15" t="s">
        <v>14888</v>
      </c>
      <c r="AD133" s="29">
        <v>225000</v>
      </c>
      <c r="AE133" s="24" t="s">
        <v>14954</v>
      </c>
      <c r="AF133" s="29"/>
      <c r="AG133" s="85"/>
      <c r="AH133" s="29">
        <v>55600</v>
      </c>
      <c r="AI133" s="85" t="s">
        <v>14992</v>
      </c>
      <c r="AJ133" s="96">
        <v>1099</v>
      </c>
      <c r="AK133" s="15" t="s">
        <v>15062</v>
      </c>
      <c r="AL133" s="29">
        <v>3250</v>
      </c>
      <c r="AM133" s="85" t="s">
        <v>15145</v>
      </c>
      <c r="AN133" s="29">
        <v>176700</v>
      </c>
      <c r="AO133" s="24" t="s">
        <v>15219</v>
      </c>
      <c r="AP133" s="29">
        <v>17900</v>
      </c>
      <c r="AQ133" s="24" t="s">
        <v>15291</v>
      </c>
      <c r="AR133" s="29">
        <v>11108.3</v>
      </c>
      <c r="AS133" s="184" t="s">
        <v>15336</v>
      </c>
      <c r="AT133" s="29">
        <v>10000</v>
      </c>
      <c r="AU133" s="24" t="s">
        <v>15384</v>
      </c>
      <c r="AV133" s="104">
        <v>5291</v>
      </c>
      <c r="AW133" s="85" t="s">
        <v>15391</v>
      </c>
      <c r="AX133" s="29">
        <v>1099</v>
      </c>
      <c r="AY133" s="24" t="s">
        <v>15506</v>
      </c>
      <c r="AZ133" s="29">
        <v>3250</v>
      </c>
      <c r="BA133" s="24" t="s">
        <v>15548</v>
      </c>
      <c r="BB133" s="29">
        <v>3730</v>
      </c>
      <c r="BC133" s="24"/>
      <c r="BD133" s="72"/>
      <c r="BE133" s="24"/>
      <c r="BF133" s="72"/>
      <c r="BG133" s="24"/>
      <c r="BH133" s="9"/>
      <c r="BI133" s="15"/>
      <c r="BJ133" s="9"/>
      <c r="BK133" s="15"/>
      <c r="BL133" s="72"/>
      <c r="BM133" s="24"/>
      <c r="BN133" s="72"/>
      <c r="BO133" s="24"/>
      <c r="BP133" s="72"/>
      <c r="BQ133" s="24"/>
      <c r="BR133" s="72"/>
      <c r="BS133" s="24"/>
      <c r="BT133" s="72"/>
      <c r="BU133" s="24"/>
      <c r="BV133" s="72"/>
      <c r="BW133" s="24"/>
      <c r="BX133" s="72"/>
      <c r="BY133" s="24"/>
      <c r="BZ133" s="72"/>
      <c r="CA133" s="24"/>
      <c r="CB133" s="72"/>
      <c r="CC133" s="24"/>
      <c r="CD133" s="72"/>
      <c r="CE133" s="24"/>
      <c r="CF133" s="72"/>
      <c r="CG133" s="24"/>
      <c r="CH133" s="72"/>
      <c r="CI133" s="24"/>
      <c r="CJ133" s="72"/>
      <c r="CK133" s="24"/>
      <c r="CL133" s="72"/>
      <c r="CM133" s="24"/>
      <c r="CN133" s="72"/>
      <c r="CO133" s="24"/>
      <c r="CP133" s="72"/>
      <c r="CQ133" s="24"/>
      <c r="CR133" s="72"/>
    </row>
    <row r="134" spans="1:96" x14ac:dyDescent="0.2">
      <c r="A134" s="45"/>
      <c r="B134" s="303">
        <f>+B132+B133</f>
        <v>32263.040000000001</v>
      </c>
      <c r="C134" s="59"/>
      <c r="D134" s="242">
        <f>+D132+D133</f>
        <v>250000</v>
      </c>
      <c r="E134" s="15"/>
      <c r="F134" s="29"/>
      <c r="G134" s="24"/>
      <c r="H134" s="29">
        <v>55000</v>
      </c>
      <c r="I134" s="158" t="s">
        <v>14407</v>
      </c>
      <c r="J134" s="29">
        <v>264600</v>
      </c>
      <c r="K134" s="24" t="s">
        <v>14458</v>
      </c>
      <c r="L134" s="29">
        <v>150000</v>
      </c>
      <c r="M134" s="24" t="s">
        <v>14494</v>
      </c>
      <c r="N134" s="29">
        <v>36748.19</v>
      </c>
      <c r="O134" s="24" t="s">
        <v>14604</v>
      </c>
      <c r="P134" s="29">
        <v>38150</v>
      </c>
      <c r="Q134" s="24" t="s">
        <v>14575</v>
      </c>
      <c r="R134" s="29">
        <v>10302.81</v>
      </c>
      <c r="S134" s="24" t="s">
        <v>14648</v>
      </c>
      <c r="T134" s="97">
        <f>+T132+T133</f>
        <v>73700</v>
      </c>
      <c r="U134" s="24"/>
      <c r="V134" s="97">
        <f>+V132+V133</f>
        <v>373700</v>
      </c>
      <c r="W134" s="24"/>
      <c r="X134" s="29">
        <v>20000</v>
      </c>
      <c r="Y134" s="24" t="s">
        <v>14783</v>
      </c>
      <c r="Z134" s="104">
        <v>100000</v>
      </c>
      <c r="AA134" s="24" t="s">
        <v>14837</v>
      </c>
      <c r="AB134" s="101">
        <v>70000</v>
      </c>
      <c r="AC134" s="57" t="s">
        <v>14889</v>
      </c>
      <c r="AD134" s="29">
        <v>5000</v>
      </c>
      <c r="AE134" s="24" t="s">
        <v>14956</v>
      </c>
      <c r="AF134" s="302"/>
      <c r="AG134" s="18"/>
      <c r="AH134" s="29">
        <v>50000</v>
      </c>
      <c r="AI134" s="85" t="s">
        <v>14993</v>
      </c>
      <c r="AJ134" s="29">
        <v>1099</v>
      </c>
      <c r="AK134" s="24" t="s">
        <v>15063</v>
      </c>
      <c r="AL134" s="29">
        <v>3169</v>
      </c>
      <c r="AM134" s="85" t="s">
        <v>15146</v>
      </c>
      <c r="AN134" s="29">
        <v>4465</v>
      </c>
      <c r="AO134" s="24" t="s">
        <v>15220</v>
      </c>
      <c r="AP134" s="29">
        <v>50000</v>
      </c>
      <c r="AQ134" s="24" t="s">
        <v>15292</v>
      </c>
      <c r="AR134" s="29">
        <v>100000</v>
      </c>
      <c r="AS134" s="184" t="s">
        <v>15337</v>
      </c>
      <c r="AT134" s="29">
        <v>115000</v>
      </c>
      <c r="AU134" s="24" t="s">
        <v>15385</v>
      </c>
      <c r="AV134" s="29">
        <v>129222</v>
      </c>
      <c r="AW134" s="85" t="s">
        <v>15392</v>
      </c>
      <c r="AX134" s="29">
        <v>1109</v>
      </c>
      <c r="AY134" s="24" t="s">
        <v>15507</v>
      </c>
      <c r="AZ134" s="96">
        <v>2491</v>
      </c>
      <c r="BA134" s="15" t="s">
        <v>15549</v>
      </c>
      <c r="BB134" s="122">
        <v>368200</v>
      </c>
      <c r="BC134" s="24"/>
      <c r="BD134" s="72"/>
      <c r="BE134" s="24"/>
      <c r="BF134" s="72"/>
      <c r="BG134" s="24"/>
      <c r="BH134" s="73"/>
      <c r="BI134" s="57"/>
      <c r="BJ134" s="72"/>
      <c r="BK134" s="24"/>
      <c r="BL134" s="72"/>
      <c r="BM134" s="24"/>
      <c r="BN134" s="72"/>
      <c r="BO134" s="24"/>
      <c r="BP134" s="72"/>
      <c r="BQ134" s="24"/>
      <c r="BR134" s="72"/>
      <c r="BS134" s="24"/>
      <c r="BT134" s="72"/>
      <c r="BU134" s="24"/>
      <c r="BV134" s="72"/>
      <c r="BW134" s="24"/>
      <c r="BX134" s="72"/>
      <c r="BY134" s="24"/>
      <c r="BZ134" s="72"/>
      <c r="CA134" s="24"/>
      <c r="CB134" s="72"/>
      <c r="CC134" s="24"/>
      <c r="CD134" s="72"/>
      <c r="CE134" s="24"/>
      <c r="CF134" s="72"/>
      <c r="CG134" s="24"/>
      <c r="CH134" s="72"/>
      <c r="CI134" s="24"/>
      <c r="CJ134" s="72"/>
      <c r="CK134" s="24"/>
      <c r="CL134" s="72"/>
      <c r="CM134" s="24"/>
      <c r="CN134" s="72"/>
      <c r="CO134" s="24"/>
      <c r="CP134" s="72"/>
      <c r="CQ134" s="24"/>
      <c r="CR134" s="72"/>
    </row>
    <row r="135" spans="1:96" x14ac:dyDescent="0.2">
      <c r="A135" s="45"/>
      <c r="B135" s="29"/>
      <c r="C135" s="24"/>
      <c r="D135" s="29"/>
      <c r="E135" s="24"/>
      <c r="F135" s="122"/>
      <c r="G135" s="24"/>
      <c r="H135" s="29">
        <v>136000</v>
      </c>
      <c r="I135" s="158" t="s">
        <v>14409</v>
      </c>
      <c r="J135" s="29">
        <v>110000</v>
      </c>
      <c r="K135" s="24" t="s">
        <v>14464</v>
      </c>
      <c r="L135" s="29">
        <v>221250</v>
      </c>
      <c r="M135" s="24" t="s">
        <v>14495</v>
      </c>
      <c r="N135" s="29">
        <v>198375.26</v>
      </c>
      <c r="O135" s="24" t="s">
        <v>14605</v>
      </c>
      <c r="P135" s="29">
        <v>75000</v>
      </c>
      <c r="Q135" s="24" t="s">
        <v>14576</v>
      </c>
      <c r="R135" s="29">
        <v>10601.98</v>
      </c>
      <c r="S135" s="24" t="s">
        <v>14649</v>
      </c>
      <c r="T135" s="29"/>
      <c r="U135" s="24"/>
      <c r="V135" s="29"/>
      <c r="W135" s="24"/>
      <c r="X135" s="29">
        <v>4970</v>
      </c>
      <c r="Y135" s="24" t="s">
        <v>14798</v>
      </c>
      <c r="Z135" s="104">
        <v>1995</v>
      </c>
      <c r="AA135" s="24" t="s">
        <v>14855</v>
      </c>
      <c r="AB135" s="31">
        <v>125000</v>
      </c>
      <c r="AC135" s="24" t="s">
        <v>14890</v>
      </c>
      <c r="AD135" s="93">
        <v>120000</v>
      </c>
      <c r="AE135" s="24" t="s">
        <v>14957</v>
      </c>
      <c r="AF135" s="302"/>
      <c r="AG135" s="85"/>
      <c r="AH135" s="93">
        <v>17129</v>
      </c>
      <c r="AI135" s="85" t="s">
        <v>14997</v>
      </c>
      <c r="AJ135" s="93">
        <v>3169</v>
      </c>
      <c r="AK135" s="24" t="s">
        <v>15066</v>
      </c>
      <c r="AL135" s="29">
        <v>1099</v>
      </c>
      <c r="AM135" s="85" t="s">
        <v>15147</v>
      </c>
      <c r="AN135" s="29">
        <v>125070</v>
      </c>
      <c r="AO135" s="24" t="s">
        <v>15221</v>
      </c>
      <c r="AP135" s="29">
        <v>8120</v>
      </c>
      <c r="AQ135" s="24" t="s">
        <v>15293</v>
      </c>
      <c r="AR135" s="29">
        <v>80000</v>
      </c>
      <c r="AS135" s="184" t="s">
        <v>15338</v>
      </c>
      <c r="AT135" s="30">
        <v>5000</v>
      </c>
      <c r="AU135" s="15" t="s">
        <v>15386</v>
      </c>
      <c r="AV135" s="29">
        <v>368200</v>
      </c>
      <c r="AW135" s="85" t="s">
        <v>15393</v>
      </c>
      <c r="AX135" s="96">
        <v>50000</v>
      </c>
      <c r="AY135" s="15" t="s">
        <v>15508</v>
      </c>
      <c r="AZ135" s="96">
        <v>143601.37</v>
      </c>
      <c r="BA135" s="15" t="s">
        <v>15550</v>
      </c>
      <c r="BB135" s="96">
        <v>15492</v>
      </c>
      <c r="BC135" s="15"/>
      <c r="BD135" s="72"/>
      <c r="BE135" s="24"/>
      <c r="BF135" s="72"/>
      <c r="BG135" s="24"/>
      <c r="BH135" s="72"/>
      <c r="BI135" s="24"/>
      <c r="BJ135" s="72"/>
      <c r="BK135" s="24"/>
      <c r="BL135" s="24"/>
      <c r="BM135" s="24"/>
      <c r="BN135" s="72"/>
      <c r="BO135" s="24"/>
      <c r="BP135" s="72"/>
      <c r="BQ135" s="24"/>
      <c r="BR135" s="72"/>
      <c r="BS135" s="24"/>
      <c r="BT135" s="72"/>
      <c r="BU135" s="24"/>
      <c r="BV135" s="72"/>
      <c r="BW135" s="24"/>
      <c r="BX135" s="72"/>
      <c r="BY135" s="24"/>
      <c r="BZ135" s="72"/>
      <c r="CA135" s="24"/>
      <c r="CB135" s="72"/>
      <c r="CC135" s="24"/>
      <c r="CD135" s="72"/>
      <c r="CE135" s="24"/>
      <c r="CF135" s="72"/>
      <c r="CG135" s="24"/>
      <c r="CH135" s="72"/>
      <c r="CI135" s="24"/>
      <c r="CJ135" s="72"/>
      <c r="CK135" s="24"/>
      <c r="CL135" s="72"/>
      <c r="CM135" s="24"/>
      <c r="CN135" s="72"/>
      <c r="CO135" s="24"/>
      <c r="CP135" s="72"/>
      <c r="CQ135" s="24"/>
      <c r="CR135" s="72"/>
    </row>
    <row r="136" spans="1:96" x14ac:dyDescent="0.2">
      <c r="A136" s="45"/>
      <c r="B136" s="29">
        <v>47000</v>
      </c>
      <c r="C136" s="24" t="s">
        <v>14342</v>
      </c>
      <c r="D136" s="29"/>
      <c r="E136" s="24"/>
      <c r="F136" s="122"/>
      <c r="G136" s="24"/>
      <c r="H136" s="96">
        <v>24837.91</v>
      </c>
      <c r="I136" s="159" t="s">
        <v>14410</v>
      </c>
      <c r="J136" s="29">
        <v>1970</v>
      </c>
      <c r="K136" s="24" t="s">
        <v>14473</v>
      </c>
      <c r="L136" s="29">
        <v>125000</v>
      </c>
      <c r="M136" s="24" t="s">
        <v>14496</v>
      </c>
      <c r="N136" s="31">
        <v>3250</v>
      </c>
      <c r="O136" s="24" t="s">
        <v>14608</v>
      </c>
      <c r="P136" s="29">
        <v>140000</v>
      </c>
      <c r="Q136" s="24" t="s">
        <v>14577</v>
      </c>
      <c r="R136" s="29">
        <v>2630</v>
      </c>
      <c r="S136" s="24" t="s">
        <v>14655</v>
      </c>
      <c r="T136" s="29">
        <v>44000</v>
      </c>
      <c r="U136" s="24" t="s">
        <v>14759</v>
      </c>
      <c r="V136" s="29">
        <v>5000</v>
      </c>
      <c r="W136" s="24" t="s">
        <v>14778</v>
      </c>
      <c r="X136" s="29">
        <v>2482.9899999999998</v>
      </c>
      <c r="Y136" s="24" t="s">
        <v>14807</v>
      </c>
      <c r="Z136" s="115">
        <f>SUM(Z132:Z135)</f>
        <v>301995</v>
      </c>
      <c r="AA136" s="24"/>
      <c r="AB136" s="31">
        <v>185000</v>
      </c>
      <c r="AC136" s="24" t="s">
        <v>14892</v>
      </c>
      <c r="AD136" s="94">
        <f>SUM(AD132:AD135)</f>
        <v>390000</v>
      </c>
      <c r="AE136" s="24"/>
      <c r="AF136" s="302"/>
      <c r="AG136" s="85"/>
      <c r="AH136" s="94">
        <f>SUM(AH132:AH135)</f>
        <v>405156.55</v>
      </c>
      <c r="AI136" s="85"/>
      <c r="AJ136" s="94">
        <f>SUM(AJ132:AJ135)</f>
        <v>229367</v>
      </c>
      <c r="AK136" s="72"/>
      <c r="AL136" s="29">
        <v>287869.06</v>
      </c>
      <c r="AM136" s="85" t="s">
        <v>15148</v>
      </c>
      <c r="AN136" s="29">
        <v>297400</v>
      </c>
      <c r="AO136" s="24" t="s">
        <v>15222</v>
      </c>
      <c r="AP136" s="96">
        <v>208000</v>
      </c>
      <c r="AQ136" s="26" t="s">
        <v>15294</v>
      </c>
      <c r="AR136" s="29">
        <v>70137.25</v>
      </c>
      <c r="AS136" s="184" t="s">
        <v>15339</v>
      </c>
      <c r="AT136" s="30">
        <v>50000</v>
      </c>
      <c r="AU136" s="15" t="s">
        <v>15387</v>
      </c>
      <c r="AV136" s="97">
        <f>SUM(AV132:AV135)</f>
        <v>532713</v>
      </c>
      <c r="AW136" s="85"/>
      <c r="AX136" s="96">
        <v>42000</v>
      </c>
      <c r="AY136" s="15" t="s">
        <v>15509</v>
      </c>
      <c r="AZ136" s="29">
        <v>3250</v>
      </c>
      <c r="BA136" s="24" t="s">
        <v>15551</v>
      </c>
      <c r="BB136" s="29">
        <v>27770.82</v>
      </c>
      <c r="BC136" s="24"/>
      <c r="BD136" s="72"/>
      <c r="BE136" s="24"/>
      <c r="BF136" s="72"/>
      <c r="BG136" s="24"/>
      <c r="BH136" s="72"/>
      <c r="BI136" s="24"/>
      <c r="BJ136" s="75"/>
      <c r="BK136" s="75"/>
      <c r="BL136" s="24"/>
      <c r="BM136" s="24"/>
      <c r="BN136" s="72"/>
      <c r="BO136" s="24"/>
      <c r="BP136" s="24"/>
      <c r="BQ136" s="24"/>
      <c r="BR136" s="72"/>
      <c r="BS136" s="24"/>
      <c r="BT136" s="72"/>
      <c r="BU136" s="24"/>
      <c r="BV136" s="72"/>
      <c r="BW136" s="24"/>
      <c r="BX136" s="72"/>
      <c r="BY136" s="24"/>
      <c r="BZ136" s="72"/>
      <c r="CA136" s="24"/>
      <c r="CB136" s="72"/>
      <c r="CC136" s="24"/>
      <c r="CD136" s="72"/>
      <c r="CE136" s="24"/>
      <c r="CF136" s="72"/>
      <c r="CG136" s="24"/>
      <c r="CH136" s="72"/>
      <c r="CI136" s="24"/>
      <c r="CJ136" s="72"/>
      <c r="CK136" s="24"/>
      <c r="CL136" s="72"/>
      <c r="CM136" s="24"/>
      <c r="CN136" s="72"/>
      <c r="CO136" s="24"/>
      <c r="CP136" s="72"/>
      <c r="CQ136" s="24"/>
      <c r="CR136" s="72"/>
    </row>
    <row r="137" spans="1:96" x14ac:dyDescent="0.2">
      <c r="A137" s="45"/>
      <c r="B137" s="302">
        <v>135000</v>
      </c>
      <c r="C137" s="59" t="s">
        <v>14343</v>
      </c>
      <c r="D137" s="29"/>
      <c r="E137" s="24"/>
      <c r="F137" s="122"/>
      <c r="G137" s="24"/>
      <c r="H137" s="29">
        <f>4910+1099</f>
        <v>6009</v>
      </c>
      <c r="I137" s="158" t="s">
        <v>14416</v>
      </c>
      <c r="J137" s="260">
        <v>2360</v>
      </c>
      <c r="K137" s="24" t="s">
        <v>14475</v>
      </c>
      <c r="L137" s="29">
        <v>61242.11</v>
      </c>
      <c r="M137" s="24" t="s">
        <v>14497</v>
      </c>
      <c r="N137" s="30">
        <v>2040</v>
      </c>
      <c r="O137" s="15" t="s">
        <v>14609</v>
      </c>
      <c r="P137" s="29">
        <v>35000</v>
      </c>
      <c r="Q137" s="24" t="s">
        <v>14578</v>
      </c>
      <c r="R137" s="29">
        <v>1970</v>
      </c>
      <c r="S137" s="24" t="s">
        <v>14670</v>
      </c>
      <c r="T137" s="30">
        <v>100000</v>
      </c>
      <c r="U137" s="15" t="s">
        <v>14760</v>
      </c>
      <c r="V137" s="29">
        <v>150000</v>
      </c>
      <c r="W137" s="24" t="s">
        <v>14779</v>
      </c>
      <c r="X137" s="97">
        <f>+SUM(X132:X136)</f>
        <v>253752.99</v>
      </c>
      <c r="Y137" s="24"/>
      <c r="Z137" s="104"/>
      <c r="AA137" s="24"/>
      <c r="AB137" s="302">
        <v>5854</v>
      </c>
      <c r="AC137" s="24" t="s">
        <v>14893</v>
      </c>
      <c r="AD137" s="29"/>
      <c r="AE137" s="24"/>
      <c r="AF137" s="302"/>
      <c r="AG137" s="85"/>
      <c r="AH137" s="29"/>
      <c r="AI137" s="85"/>
      <c r="AL137" s="29">
        <v>100070.38</v>
      </c>
      <c r="AM137" s="85" t="s">
        <v>15149</v>
      </c>
      <c r="AN137" s="30">
        <v>13648.27</v>
      </c>
      <c r="AO137" s="24" t="s">
        <v>15223</v>
      </c>
      <c r="AP137" s="29">
        <v>3763.22</v>
      </c>
      <c r="AQ137" s="24" t="s">
        <v>15295</v>
      </c>
      <c r="AR137" s="122">
        <v>700000</v>
      </c>
      <c r="AS137" s="184" t="s">
        <v>15340</v>
      </c>
      <c r="AT137" s="29">
        <v>19000</v>
      </c>
      <c r="AU137" s="24" t="s">
        <v>15388</v>
      </c>
      <c r="AV137" s="122"/>
      <c r="AW137" s="85"/>
      <c r="AX137" s="97">
        <f>SUM(AX132:AX136)</f>
        <v>244208</v>
      </c>
      <c r="AY137" s="24"/>
      <c r="AZ137" s="29">
        <v>180336.92</v>
      </c>
      <c r="BA137" s="24" t="s">
        <v>15552</v>
      </c>
      <c r="BB137" s="29">
        <v>1331.8</v>
      </c>
      <c r="BC137" s="24"/>
      <c r="BD137" s="72"/>
      <c r="BE137" s="24"/>
      <c r="BF137" s="72"/>
      <c r="BG137" s="24"/>
      <c r="BH137" s="311"/>
      <c r="BI137" s="24"/>
      <c r="BJ137" s="75"/>
      <c r="BK137" s="75"/>
      <c r="BL137" s="72"/>
      <c r="BM137" s="24"/>
      <c r="BN137" s="72"/>
      <c r="BO137" s="24"/>
      <c r="BP137" s="72"/>
      <c r="BQ137" s="24"/>
      <c r="BR137" s="72"/>
      <c r="BS137" s="24"/>
      <c r="BT137" s="72"/>
      <c r="BU137" s="24"/>
      <c r="BV137" s="72"/>
      <c r="BW137" s="24"/>
      <c r="BX137" s="72"/>
      <c r="BY137" s="24"/>
      <c r="BZ137" s="72"/>
      <c r="CA137" s="24"/>
      <c r="CB137" s="72"/>
      <c r="CC137" s="24"/>
      <c r="CD137" s="72"/>
      <c r="CE137" s="24"/>
      <c r="CF137" s="72"/>
      <c r="CG137" s="24"/>
      <c r="CH137" s="72"/>
      <c r="CI137" s="24"/>
      <c r="CJ137" s="72"/>
      <c r="CK137" s="24"/>
      <c r="CL137" s="72"/>
      <c r="CM137" s="24"/>
      <c r="CN137" s="72"/>
      <c r="CO137" s="24"/>
      <c r="CP137" s="72"/>
      <c r="CQ137" s="24"/>
      <c r="CR137" s="72"/>
    </row>
    <row r="138" spans="1:96" x14ac:dyDescent="0.2">
      <c r="A138" s="45"/>
      <c r="B138" s="302">
        <v>103000</v>
      </c>
      <c r="C138" s="59" t="s">
        <v>14344</v>
      </c>
      <c r="D138" s="94"/>
      <c r="E138" s="24"/>
      <c r="F138" s="122"/>
      <c r="G138" s="24"/>
      <c r="H138" s="29">
        <v>2666</v>
      </c>
      <c r="I138" s="158" t="s">
        <v>14425</v>
      </c>
      <c r="J138" s="96">
        <v>3250</v>
      </c>
      <c r="K138" s="15" t="s">
        <v>14476</v>
      </c>
      <c r="L138" s="29">
        <v>46076.51</v>
      </c>
      <c r="M138" s="24" t="s">
        <v>14498</v>
      </c>
      <c r="N138" s="101">
        <v>2665.99</v>
      </c>
      <c r="O138" s="57" t="s">
        <v>14610</v>
      </c>
      <c r="P138" s="29">
        <v>1995</v>
      </c>
      <c r="Q138" s="24" t="s">
        <v>14594</v>
      </c>
      <c r="R138" s="29">
        <v>855</v>
      </c>
      <c r="S138" s="24" t="s">
        <v>14683</v>
      </c>
      <c r="T138" s="29">
        <v>494850.11</v>
      </c>
      <c r="U138" s="24" t="s">
        <v>14761</v>
      </c>
      <c r="V138" s="200">
        <f>+V136+V137</f>
        <v>155000</v>
      </c>
      <c r="W138" s="24"/>
      <c r="X138" s="206"/>
      <c r="Y138" s="24"/>
      <c r="Z138" s="104">
        <v>300000</v>
      </c>
      <c r="AA138" s="24" t="s">
        <v>14862</v>
      </c>
      <c r="AB138" s="302">
        <v>100000</v>
      </c>
      <c r="AC138" s="24" t="s">
        <v>14896</v>
      </c>
      <c r="AD138" s="29"/>
      <c r="AE138" s="24"/>
      <c r="AF138" s="302"/>
      <c r="AG138" s="85"/>
      <c r="AH138" s="29">
        <v>1800</v>
      </c>
      <c r="AI138" s="85" t="s">
        <v>15009</v>
      </c>
      <c r="AJ138" s="29">
        <v>129834.93</v>
      </c>
      <c r="AK138" s="72" t="s">
        <v>15074</v>
      </c>
      <c r="AL138" s="96">
        <v>400000</v>
      </c>
      <c r="AM138" s="15" t="s">
        <v>15150</v>
      </c>
      <c r="AN138" s="29">
        <v>299400</v>
      </c>
      <c r="AO138" s="24" t="s">
        <v>15224</v>
      </c>
      <c r="AP138" s="96">
        <v>225000</v>
      </c>
      <c r="AQ138" s="26" t="s">
        <v>15296</v>
      </c>
      <c r="AR138" s="296">
        <v>30000</v>
      </c>
      <c r="AS138" s="184" t="s">
        <v>15425</v>
      </c>
      <c r="AT138" s="29">
        <v>50000</v>
      </c>
      <c r="AU138" s="24" t="s">
        <v>15389</v>
      </c>
      <c r="AV138" s="96">
        <v>5291</v>
      </c>
      <c r="AW138" s="88" t="s">
        <v>15468</v>
      </c>
      <c r="AX138" s="96"/>
      <c r="AY138" s="15"/>
      <c r="AZ138" s="96">
        <v>480400</v>
      </c>
      <c r="BA138" s="15" t="s">
        <v>15553</v>
      </c>
      <c r="BB138" s="29">
        <v>1099.01</v>
      </c>
      <c r="BC138" s="24"/>
      <c r="BD138" s="9"/>
      <c r="BE138" s="15"/>
      <c r="BF138" s="72"/>
      <c r="BG138" s="24"/>
      <c r="BH138" s="9"/>
      <c r="BI138" s="24"/>
      <c r="BJ138" s="300"/>
      <c r="BK138" s="75"/>
      <c r="BL138" s="72"/>
      <c r="BM138" s="24"/>
      <c r="BN138" s="24"/>
      <c r="BO138" s="24"/>
      <c r="BP138" s="72"/>
      <c r="BQ138" s="24"/>
      <c r="BR138" s="72"/>
      <c r="BS138" s="24"/>
      <c r="BT138" s="72"/>
      <c r="BU138" s="24"/>
      <c r="BV138" s="72"/>
      <c r="BW138" s="24"/>
      <c r="BX138" s="72"/>
      <c r="BY138" s="24"/>
      <c r="BZ138" s="72"/>
      <c r="CA138" s="24"/>
      <c r="CB138" s="72"/>
      <c r="CC138" s="24"/>
      <c r="CD138" s="72"/>
      <c r="CE138" s="24"/>
      <c r="CF138" s="72"/>
      <c r="CG138" s="24"/>
      <c r="CH138" s="72"/>
      <c r="CI138" s="24"/>
      <c r="CJ138" s="72"/>
      <c r="CK138" s="24"/>
      <c r="CL138" s="72"/>
      <c r="CM138" s="24"/>
      <c r="CN138" s="72"/>
      <c r="CO138" s="24"/>
      <c r="CP138" s="72"/>
      <c r="CQ138" s="24"/>
      <c r="CR138" s="72"/>
    </row>
    <row r="139" spans="1:96" x14ac:dyDescent="0.2">
      <c r="A139" s="45"/>
      <c r="B139" s="302">
        <v>25343.26</v>
      </c>
      <c r="C139" s="59" t="s">
        <v>14346</v>
      </c>
      <c r="D139" s="104"/>
      <c r="E139" s="24"/>
      <c r="F139" s="122"/>
      <c r="G139" s="24"/>
      <c r="H139" s="29">
        <v>1795.01</v>
      </c>
      <c r="I139" s="158" t="s">
        <v>14426</v>
      </c>
      <c r="J139" s="122">
        <v>2458</v>
      </c>
      <c r="K139" s="24" t="s">
        <v>14480</v>
      </c>
      <c r="L139" s="29">
        <v>3356.36</v>
      </c>
      <c r="M139" s="24" t="s">
        <v>14502</v>
      </c>
      <c r="N139" s="31">
        <v>4395</v>
      </c>
      <c r="O139" s="24" t="s">
        <v>14613</v>
      </c>
      <c r="P139" s="97">
        <f>+SUM(P132:P138)</f>
        <v>370547.56</v>
      </c>
      <c r="Q139" s="24"/>
      <c r="R139" s="97">
        <f>+SUM(R132:R138)</f>
        <v>309150.42</v>
      </c>
      <c r="S139" s="24"/>
      <c r="T139" s="29">
        <v>1074.54</v>
      </c>
      <c r="U139" s="24" t="s">
        <v>14770</v>
      </c>
      <c r="V139" s="122"/>
      <c r="W139" s="24"/>
      <c r="X139" s="122">
        <v>9000</v>
      </c>
      <c r="Y139" s="24" t="s">
        <v>14809</v>
      </c>
      <c r="Z139" s="104">
        <v>649900</v>
      </c>
      <c r="AA139" s="24" t="s">
        <v>14863</v>
      </c>
      <c r="AB139" s="304">
        <v>40000</v>
      </c>
      <c r="AC139" s="24" t="s">
        <v>14897</v>
      </c>
      <c r="AD139" s="94"/>
      <c r="AE139" s="24"/>
      <c r="AF139" s="302"/>
      <c r="AG139" s="85"/>
      <c r="AH139" s="29">
        <v>368200</v>
      </c>
      <c r="AI139" s="85" t="s">
        <v>15010</v>
      </c>
      <c r="AJ139" s="29">
        <v>119000</v>
      </c>
      <c r="AK139" s="24" t="s">
        <v>15076</v>
      </c>
      <c r="AL139" s="29">
        <v>130000</v>
      </c>
      <c r="AM139" s="85" t="s">
        <v>15151</v>
      </c>
      <c r="AN139" s="29">
        <v>30745.200000000001</v>
      </c>
      <c r="AO139" s="24" t="s">
        <v>15225</v>
      </c>
      <c r="AP139" s="96">
        <v>3842</v>
      </c>
      <c r="AQ139" s="26" t="s">
        <v>15297</v>
      </c>
      <c r="AR139" s="296">
        <v>52034.18</v>
      </c>
      <c r="AS139" s="184" t="s">
        <v>15341</v>
      </c>
      <c r="AT139" s="97">
        <f>SUM(AT132:AT138)</f>
        <v>250970</v>
      </c>
      <c r="AU139" s="24"/>
      <c r="AV139" s="96">
        <v>3250</v>
      </c>
      <c r="AW139" s="88" t="s">
        <v>15469</v>
      </c>
      <c r="AX139" s="105">
        <v>76000</v>
      </c>
      <c r="AY139" s="106" t="s">
        <v>15510</v>
      </c>
      <c r="AZ139" s="96">
        <v>168000</v>
      </c>
      <c r="BA139" s="15" t="s">
        <v>15554</v>
      </c>
      <c r="BB139" s="29">
        <v>1795.01</v>
      </c>
      <c r="BC139" s="24"/>
      <c r="BD139" s="9"/>
      <c r="BE139" s="24"/>
      <c r="BF139" s="72"/>
      <c r="BG139" s="24"/>
      <c r="BH139" s="9"/>
      <c r="BI139" s="24"/>
      <c r="BJ139" s="75"/>
      <c r="BK139" s="75"/>
      <c r="BL139" s="72"/>
      <c r="BM139" s="24"/>
      <c r="BN139" s="72"/>
      <c r="BO139" s="24"/>
      <c r="BP139" s="72"/>
      <c r="BQ139" s="24"/>
      <c r="BR139" s="72"/>
      <c r="BS139" s="24"/>
      <c r="BT139" s="72"/>
      <c r="BU139" s="24"/>
      <c r="BV139" s="72"/>
      <c r="BW139" s="24"/>
      <c r="BX139" s="72"/>
      <c r="BY139" s="24"/>
      <c r="BZ139" s="72"/>
      <c r="CA139" s="24"/>
      <c r="CB139" s="72"/>
      <c r="CC139" s="24"/>
      <c r="CD139" s="72"/>
      <c r="CE139" s="24"/>
      <c r="CF139" s="72"/>
      <c r="CG139" s="24"/>
      <c r="CH139" s="72"/>
      <c r="CI139" s="24"/>
      <c r="CJ139" s="72"/>
      <c r="CK139" s="24"/>
      <c r="CL139" s="72"/>
      <c r="CM139" s="24"/>
      <c r="CN139" s="72"/>
      <c r="CO139" s="24"/>
      <c r="CP139" s="72"/>
      <c r="CQ139" s="24"/>
      <c r="CR139" s="72"/>
    </row>
    <row r="140" spans="1:96" x14ac:dyDescent="0.2">
      <c r="A140" s="41"/>
      <c r="B140" s="302">
        <v>11500.45</v>
      </c>
      <c r="C140" s="59" t="s">
        <v>14347</v>
      </c>
      <c r="D140" s="30"/>
      <c r="E140" s="15"/>
      <c r="F140" s="122"/>
      <c r="G140" s="24"/>
      <c r="H140" s="30">
        <v>2666</v>
      </c>
      <c r="I140" s="159" t="s">
        <v>14427</v>
      </c>
      <c r="J140" s="29">
        <v>1099</v>
      </c>
      <c r="K140" s="24" t="s">
        <v>14482</v>
      </c>
      <c r="L140" s="30">
        <v>2016.8</v>
      </c>
      <c r="M140" s="15" t="s">
        <v>14504</v>
      </c>
      <c r="N140" s="104">
        <v>1099</v>
      </c>
      <c r="O140" s="24" t="s">
        <v>14623</v>
      </c>
      <c r="P140" s="30"/>
      <c r="Q140" s="15"/>
      <c r="R140" s="29"/>
      <c r="S140" s="15"/>
      <c r="T140" s="100">
        <f>+SUM(T136:T139)</f>
        <v>639924.65</v>
      </c>
      <c r="U140" s="15"/>
      <c r="V140" s="29"/>
      <c r="W140" s="24"/>
      <c r="X140" s="29">
        <v>430000</v>
      </c>
      <c r="Y140" s="24" t="s">
        <v>14810</v>
      </c>
      <c r="Z140" s="104">
        <v>7577.4</v>
      </c>
      <c r="AA140" s="24" t="s">
        <v>14864</v>
      </c>
      <c r="AB140" s="304">
        <v>452700</v>
      </c>
      <c r="AC140" s="24" t="s">
        <v>14898</v>
      </c>
      <c r="AD140" s="30"/>
      <c r="AE140" s="15"/>
      <c r="AF140" s="302"/>
      <c r="AG140" s="85"/>
      <c r="AH140" s="29">
        <v>10000</v>
      </c>
      <c r="AI140" s="85" t="s">
        <v>15011</v>
      </c>
      <c r="AJ140" s="29">
        <v>533000</v>
      </c>
      <c r="AK140" s="24" t="s">
        <v>15077</v>
      </c>
      <c r="AL140" s="100">
        <f>SUM(AL132:AL139)</f>
        <v>928666.07000000007</v>
      </c>
      <c r="AM140" s="86"/>
      <c r="AN140" s="30">
        <v>14700</v>
      </c>
      <c r="AO140" s="15" t="s">
        <v>15226</v>
      </c>
      <c r="AP140" s="30">
        <v>348000</v>
      </c>
      <c r="AQ140" s="15" t="s">
        <v>15298</v>
      </c>
      <c r="AR140" s="296">
        <v>5000</v>
      </c>
      <c r="AS140" s="184" t="s">
        <v>15342</v>
      </c>
      <c r="AT140" s="30"/>
      <c r="AU140" s="15"/>
      <c r="AV140" s="96">
        <v>368200</v>
      </c>
      <c r="AW140" s="88" t="s">
        <v>15470</v>
      </c>
      <c r="AX140" s="96">
        <v>64000</v>
      </c>
      <c r="AY140" s="15" t="s">
        <v>15511</v>
      </c>
      <c r="AZ140" s="96">
        <v>72960</v>
      </c>
      <c r="BA140" s="15" t="s">
        <v>15555</v>
      </c>
      <c r="BB140" s="30">
        <v>1795.01</v>
      </c>
      <c r="BC140" s="15"/>
      <c r="BD140" s="72"/>
      <c r="BE140" s="15"/>
      <c r="BF140" s="9"/>
      <c r="BG140" s="15"/>
      <c r="BH140" s="9"/>
      <c r="BI140" s="15"/>
      <c r="BJ140" s="75"/>
      <c r="BK140" s="75"/>
      <c r="BL140" s="9"/>
      <c r="BM140" s="15"/>
      <c r="BN140" s="9"/>
      <c r="BO140" s="15"/>
      <c r="BP140" s="9"/>
      <c r="BQ140" s="15"/>
      <c r="BR140" s="9"/>
      <c r="BS140" s="15"/>
      <c r="BT140" s="9"/>
      <c r="BU140" s="15"/>
      <c r="BV140" s="9"/>
      <c r="BW140" s="15"/>
      <c r="BX140" s="9"/>
      <c r="BY140" s="15"/>
      <c r="BZ140" s="9"/>
      <c r="CA140" s="15"/>
      <c r="CB140" s="9"/>
      <c r="CC140" s="15"/>
      <c r="CD140" s="9"/>
      <c r="CE140" s="15"/>
      <c r="CF140" s="9"/>
      <c r="CG140" s="15"/>
      <c r="CH140" s="9"/>
      <c r="CI140" s="15"/>
      <c r="CJ140" s="9"/>
      <c r="CK140" s="15"/>
      <c r="CL140" s="9"/>
      <c r="CM140" s="15"/>
      <c r="CN140" s="9"/>
      <c r="CO140" s="15"/>
      <c r="CP140" s="9"/>
      <c r="CQ140" s="15"/>
      <c r="CR140" s="9"/>
    </row>
    <row r="141" spans="1:96" x14ac:dyDescent="0.2">
      <c r="A141" s="45"/>
      <c r="B141" s="304">
        <v>56698.42</v>
      </c>
      <c r="C141" s="59" t="s">
        <v>14348</v>
      </c>
      <c r="D141" s="29"/>
      <c r="E141" s="24"/>
      <c r="F141" s="96"/>
      <c r="G141" s="15"/>
      <c r="H141" s="29">
        <v>1795</v>
      </c>
      <c r="I141" s="158" t="s">
        <v>14428</v>
      </c>
      <c r="J141" s="97">
        <f>+SUM(J132:J140)</f>
        <v>555737</v>
      </c>
      <c r="K141" s="24"/>
      <c r="L141" s="30">
        <v>5865.54</v>
      </c>
      <c r="M141" s="24" t="s">
        <v>14505</v>
      </c>
      <c r="N141" s="304">
        <v>1099</v>
      </c>
      <c r="O141" s="24" t="s">
        <v>14631</v>
      </c>
      <c r="P141" s="96">
        <v>45000</v>
      </c>
      <c r="Q141" s="15" t="s">
        <v>14704</v>
      </c>
      <c r="R141" s="94"/>
      <c r="S141" s="15"/>
      <c r="T141" s="29"/>
      <c r="U141" s="24"/>
      <c r="V141" s="29"/>
      <c r="W141" s="24"/>
      <c r="X141" s="29">
        <v>298399.53999999998</v>
      </c>
      <c r="Y141" s="24" t="s">
        <v>14815</v>
      </c>
      <c r="Z141" s="104">
        <v>9654</v>
      </c>
      <c r="AA141" s="24" t="s">
        <v>14865</v>
      </c>
      <c r="AB141" s="96">
        <v>1109.01</v>
      </c>
      <c r="AC141" s="15" t="s">
        <v>14902</v>
      </c>
      <c r="AD141" s="29"/>
      <c r="AE141" s="24"/>
      <c r="AF141" s="302"/>
      <c r="AG141" s="85"/>
      <c r="AH141" s="29">
        <v>26200</v>
      </c>
      <c r="AI141" s="85" t="s">
        <v>15012</v>
      </c>
      <c r="AJ141" s="30">
        <v>350000</v>
      </c>
      <c r="AK141" s="15" t="s">
        <v>15078</v>
      </c>
      <c r="AL141" s="29"/>
      <c r="AM141" s="85"/>
      <c r="AN141" s="29">
        <v>1160</v>
      </c>
      <c r="AO141" s="24" t="s">
        <v>15227</v>
      </c>
      <c r="AP141" s="122">
        <v>290600</v>
      </c>
      <c r="AQ141" s="24" t="s">
        <v>15299</v>
      </c>
      <c r="AR141" s="122">
        <v>5000</v>
      </c>
      <c r="AS141" s="184" t="s">
        <v>15343</v>
      </c>
      <c r="AT141" s="30">
        <v>1331.8</v>
      </c>
      <c r="AU141" s="24" t="s">
        <v>15453</v>
      </c>
      <c r="AV141" s="242">
        <f>SUM(AV138:AV140)</f>
        <v>376741</v>
      </c>
      <c r="AW141" s="86"/>
      <c r="AX141" s="96">
        <v>21100</v>
      </c>
      <c r="AY141" s="15" t="s">
        <v>15512</v>
      </c>
      <c r="AZ141" s="96">
        <v>33000</v>
      </c>
      <c r="BA141" s="15" t="s">
        <v>15556</v>
      </c>
      <c r="BB141" s="29">
        <v>4395</v>
      </c>
      <c r="BC141" s="24"/>
      <c r="BD141" s="72"/>
      <c r="BE141" s="24"/>
      <c r="BF141" s="72"/>
      <c r="BG141" s="24"/>
      <c r="BH141" s="9"/>
      <c r="BI141" s="15"/>
      <c r="BJ141" s="75"/>
      <c r="BK141" s="75"/>
      <c r="BL141" s="72"/>
      <c r="BM141" s="24"/>
      <c r="BN141" s="72"/>
      <c r="BO141" s="24"/>
      <c r="BP141" s="72"/>
      <c r="BQ141" s="24"/>
      <c r="BR141" s="72"/>
      <c r="BS141" s="24"/>
      <c r="BT141" s="72"/>
      <c r="BU141" s="24"/>
      <c r="BV141" s="72"/>
      <c r="BW141" s="24"/>
      <c r="BX141" s="72"/>
      <c r="BY141" s="24"/>
      <c r="BZ141" s="72"/>
      <c r="CA141" s="24"/>
      <c r="CB141" s="72"/>
      <c r="CC141" s="24"/>
      <c r="CD141" s="72"/>
      <c r="CE141" s="24"/>
      <c r="CF141" s="72"/>
      <c r="CG141" s="24"/>
      <c r="CH141" s="72"/>
      <c r="CI141" s="24"/>
      <c r="CJ141" s="72"/>
      <c r="CK141" s="24"/>
      <c r="CL141" s="72"/>
      <c r="CM141" s="24"/>
      <c r="CN141" s="72"/>
      <c r="CO141" s="24"/>
      <c r="CP141" s="72"/>
      <c r="CQ141" s="24"/>
      <c r="CR141" s="72"/>
    </row>
    <row r="142" spans="1:96" x14ac:dyDescent="0.2">
      <c r="A142" s="45"/>
      <c r="B142" s="302">
        <v>90005.8</v>
      </c>
      <c r="C142" s="59" t="s">
        <v>14349</v>
      </c>
      <c r="D142" s="29"/>
      <c r="E142" s="24"/>
      <c r="F142" s="122"/>
      <c r="G142" s="24"/>
      <c r="H142" s="97">
        <f>+SUM(H132:H141)</f>
        <v>334768.92</v>
      </c>
      <c r="I142" s="24"/>
      <c r="J142" s="287"/>
      <c r="K142" s="24"/>
      <c r="L142" s="30">
        <v>5850</v>
      </c>
      <c r="M142" s="24" t="s">
        <v>14506</v>
      </c>
      <c r="N142" s="304">
        <v>703.01</v>
      </c>
      <c r="O142" s="24" t="s">
        <v>14634</v>
      </c>
      <c r="P142" s="29">
        <v>60850</v>
      </c>
      <c r="Q142" s="24" t="s">
        <v>14706</v>
      </c>
      <c r="R142" s="29"/>
      <c r="S142" s="24"/>
      <c r="T142" s="96"/>
      <c r="U142" s="15"/>
      <c r="V142" s="29"/>
      <c r="W142" s="24"/>
      <c r="X142" s="29">
        <v>464</v>
      </c>
      <c r="Y142" s="24" t="s">
        <v>14823</v>
      </c>
      <c r="Z142" s="104">
        <v>192.15</v>
      </c>
      <c r="AA142" s="24" t="s">
        <v>14868</v>
      </c>
      <c r="AB142" s="122">
        <v>4395.01</v>
      </c>
      <c r="AC142" s="24" t="s">
        <v>14903</v>
      </c>
      <c r="AD142" s="29"/>
      <c r="AE142" s="24"/>
      <c r="AF142" s="302"/>
      <c r="AG142" s="85"/>
      <c r="AH142" s="31">
        <v>242000</v>
      </c>
      <c r="AI142" s="85" t="s">
        <v>15013</v>
      </c>
      <c r="AJ142" s="29">
        <v>434600</v>
      </c>
      <c r="AK142" s="24" t="s">
        <v>15080</v>
      </c>
      <c r="AL142" s="29">
        <v>15332.39</v>
      </c>
      <c r="AM142" s="85" t="s">
        <v>15175</v>
      </c>
      <c r="AN142" s="29">
        <v>5091</v>
      </c>
      <c r="AO142" s="24" t="s">
        <v>15228</v>
      </c>
      <c r="AP142" s="29">
        <v>1615.86</v>
      </c>
      <c r="AQ142" s="24" t="s">
        <v>15300</v>
      </c>
      <c r="AR142" s="29">
        <v>3250</v>
      </c>
      <c r="AS142" s="184" t="s">
        <v>15344</v>
      </c>
      <c r="AT142" s="29">
        <v>247295.78</v>
      </c>
      <c r="AU142" s="24" t="s">
        <v>15454</v>
      </c>
      <c r="AV142" s="96"/>
      <c r="AW142" s="86"/>
      <c r="AX142" s="105">
        <v>20500</v>
      </c>
      <c r="AY142" s="106" t="s">
        <v>15513</v>
      </c>
      <c r="AZ142" s="131">
        <f>SUM(AZ132:AZ141)</f>
        <v>1311289.29</v>
      </c>
      <c r="BA142" s="106"/>
      <c r="BB142" s="29">
        <v>5582</v>
      </c>
      <c r="BC142" s="24"/>
      <c r="BD142" s="72"/>
      <c r="BE142" s="24"/>
      <c r="BF142" s="72"/>
      <c r="BG142" s="24"/>
      <c r="BH142" s="72"/>
      <c r="BI142" s="24"/>
      <c r="BJ142" s="75"/>
      <c r="BK142" s="75"/>
      <c r="BL142" s="72"/>
      <c r="BM142" s="24"/>
      <c r="BN142" s="72"/>
      <c r="BO142" s="24"/>
      <c r="BP142" s="72"/>
      <c r="BQ142" s="24"/>
      <c r="BR142" s="72"/>
      <c r="BS142" s="24"/>
      <c r="BT142" s="72"/>
      <c r="BU142" s="24"/>
      <c r="BV142" s="72"/>
      <c r="BW142" s="24"/>
      <c r="BX142" s="72"/>
      <c r="BY142" s="24"/>
      <c r="BZ142" s="72"/>
      <c r="CA142" s="24"/>
      <c r="CB142" s="72"/>
      <c r="CC142" s="24"/>
      <c r="CD142" s="72"/>
      <c r="CE142" s="24"/>
      <c r="CF142" s="72"/>
      <c r="CG142" s="24"/>
      <c r="CH142" s="72"/>
      <c r="CI142" s="24"/>
      <c r="CJ142" s="72"/>
      <c r="CK142" s="24"/>
      <c r="CL142" s="72"/>
      <c r="CM142" s="24"/>
      <c r="CN142" s="72"/>
      <c r="CO142" s="24"/>
      <c r="CP142" s="72"/>
      <c r="CQ142" s="24"/>
      <c r="CR142" s="72"/>
    </row>
    <row r="143" spans="1:96" x14ac:dyDescent="0.2">
      <c r="A143" s="45"/>
      <c r="B143" s="302">
        <v>1970</v>
      </c>
      <c r="C143" s="59" t="s">
        <v>14353</v>
      </c>
      <c r="D143" s="29"/>
      <c r="E143" s="24"/>
      <c r="F143" s="122"/>
      <c r="G143" s="24"/>
      <c r="H143" s="29"/>
      <c r="I143" s="24"/>
      <c r="J143" s="29">
        <v>1100</v>
      </c>
      <c r="K143" s="24" t="s">
        <v>14527</v>
      </c>
      <c r="L143" s="30">
        <v>1995</v>
      </c>
      <c r="M143" s="24" t="s">
        <v>14507</v>
      </c>
      <c r="N143" s="305">
        <f>+SUM(N132:N142)</f>
        <v>272071.62</v>
      </c>
      <c r="O143" s="24"/>
      <c r="P143" s="29">
        <v>5000</v>
      </c>
      <c r="Q143" s="24" t="s">
        <v>14708</v>
      </c>
      <c r="R143" s="29"/>
      <c r="S143" s="15"/>
      <c r="T143" s="96"/>
      <c r="U143" s="24"/>
      <c r="V143" s="31"/>
      <c r="W143" s="24"/>
      <c r="X143" s="31">
        <v>3889</v>
      </c>
      <c r="Y143" s="24" t="s">
        <v>14826</v>
      </c>
      <c r="Z143" s="104">
        <v>150000</v>
      </c>
      <c r="AA143" s="24" t="s">
        <v>14869</v>
      </c>
      <c r="AB143" s="122">
        <v>1099</v>
      </c>
      <c r="AC143" s="24" t="s">
        <v>14904</v>
      </c>
      <c r="AD143" s="31"/>
      <c r="AE143" s="24"/>
      <c r="AF143" s="302"/>
      <c r="AG143" s="85"/>
      <c r="AH143" s="31">
        <v>99500</v>
      </c>
      <c r="AI143" s="85" t="s">
        <v>15014</v>
      </c>
      <c r="AJ143" s="96">
        <v>132300</v>
      </c>
      <c r="AK143" s="26" t="s">
        <v>15084</v>
      </c>
      <c r="AL143" s="29">
        <v>2315</v>
      </c>
      <c r="AM143" s="85" t="s">
        <v>15176</v>
      </c>
      <c r="AN143" s="97">
        <f>SUM(AN132:AN142)</f>
        <v>1162899.47</v>
      </c>
      <c r="AO143" s="24"/>
      <c r="AP143" s="29">
        <v>1099</v>
      </c>
      <c r="AQ143" s="24" t="s">
        <v>15301</v>
      </c>
      <c r="AR143" s="29">
        <v>3250</v>
      </c>
      <c r="AS143" s="184" t="s">
        <v>15345</v>
      </c>
      <c r="AT143" s="29">
        <v>1970</v>
      </c>
      <c r="AU143" s="24" t="s">
        <v>15455</v>
      </c>
      <c r="AV143" s="94"/>
      <c r="AW143" s="85"/>
      <c r="AX143" s="29">
        <v>20000</v>
      </c>
      <c r="AY143" s="108" t="s">
        <v>15514</v>
      </c>
      <c r="AZ143" s="105"/>
      <c r="BA143" s="106"/>
      <c r="BB143" s="29">
        <v>1970</v>
      </c>
      <c r="BC143" s="24"/>
      <c r="BD143" s="72"/>
      <c r="BE143" s="24"/>
      <c r="BF143" s="24"/>
      <c r="BG143" s="24"/>
      <c r="BH143" s="72"/>
      <c r="BI143" s="24"/>
      <c r="BJ143" s="75"/>
      <c r="BK143" s="75"/>
      <c r="BL143" s="72"/>
      <c r="BM143" s="24"/>
      <c r="BN143" s="72"/>
      <c r="BO143" s="24"/>
      <c r="BP143" s="72"/>
      <c r="BQ143" s="24"/>
      <c r="BR143" s="72"/>
      <c r="BS143" s="24"/>
      <c r="BT143" s="72"/>
      <c r="BU143" s="24"/>
      <c r="BV143" s="72"/>
      <c r="BW143" s="24"/>
      <c r="BX143" s="72"/>
      <c r="BY143" s="24"/>
      <c r="BZ143" s="72"/>
      <c r="CA143" s="24"/>
      <c r="CB143" s="72"/>
      <c r="CC143" s="24"/>
      <c r="CD143" s="72"/>
      <c r="CE143" s="24"/>
      <c r="CF143" s="72"/>
      <c r="CG143" s="24"/>
      <c r="CH143" s="72"/>
      <c r="CI143" s="24"/>
      <c r="CJ143" s="72"/>
      <c r="CK143" s="24"/>
      <c r="CL143" s="72"/>
      <c r="CM143" s="24"/>
      <c r="CN143" s="72"/>
      <c r="CO143" s="24"/>
      <c r="CP143" s="72"/>
      <c r="CQ143" s="24"/>
      <c r="CR143" s="72"/>
    </row>
    <row r="144" spans="1:96" x14ac:dyDescent="0.2">
      <c r="A144" s="45"/>
      <c r="B144" s="306">
        <f>+SUM(B136:B143)</f>
        <v>470517.93</v>
      </c>
      <c r="C144" s="59"/>
      <c r="D144" s="29"/>
      <c r="E144" s="24"/>
      <c r="F144" s="122"/>
      <c r="G144" s="24"/>
      <c r="H144" s="29">
        <v>50721.78</v>
      </c>
      <c r="I144" s="24" t="s">
        <v>14432</v>
      </c>
      <c r="J144" s="31"/>
      <c r="K144" s="15"/>
      <c r="L144" s="30">
        <v>2390</v>
      </c>
      <c r="M144" s="24" t="s">
        <v>14508</v>
      </c>
      <c r="N144" s="29"/>
      <c r="O144" s="24"/>
      <c r="P144" s="29">
        <v>1111</v>
      </c>
      <c r="Q144" s="24" t="s">
        <v>14710</v>
      </c>
      <c r="R144" s="29"/>
      <c r="S144" s="24"/>
      <c r="T144" s="122"/>
      <c r="U144" s="24"/>
      <c r="V144" s="31"/>
      <c r="W144" s="24"/>
      <c r="X144" s="148">
        <f>+SUM(X139:X143)</f>
        <v>741752.54</v>
      </c>
      <c r="Y144" s="24"/>
      <c r="Z144" s="96">
        <v>350000</v>
      </c>
      <c r="AA144" s="15" t="s">
        <v>14870</v>
      </c>
      <c r="AB144" s="122">
        <v>1587</v>
      </c>
      <c r="AC144" s="24" t="s">
        <v>14913</v>
      </c>
      <c r="AD144" s="94"/>
      <c r="AE144" s="24"/>
      <c r="AF144" s="302"/>
      <c r="AG144" s="85"/>
      <c r="AH144" s="31">
        <v>1450</v>
      </c>
      <c r="AI144" s="86" t="s">
        <v>15017</v>
      </c>
      <c r="AJ144" s="96">
        <v>368200</v>
      </c>
      <c r="AK144" s="15" t="s">
        <v>15085</v>
      </c>
      <c r="AL144" s="29">
        <v>5285.86</v>
      </c>
      <c r="AM144" s="85" t="s">
        <v>15177</v>
      </c>
      <c r="AN144" s="94"/>
      <c r="AO144" s="24"/>
      <c r="AP144" s="29">
        <v>4621.51</v>
      </c>
      <c r="AQ144" s="24" t="s">
        <v>15302</v>
      </c>
      <c r="AR144" s="29">
        <v>2409.52</v>
      </c>
      <c r="AS144" s="184" t="s">
        <v>15346</v>
      </c>
      <c r="AT144" s="29">
        <v>3250</v>
      </c>
      <c r="AU144" s="24" t="s">
        <v>15456</v>
      </c>
      <c r="AV144" s="96"/>
      <c r="AW144" s="86"/>
      <c r="AX144" s="30">
        <v>3946</v>
      </c>
      <c r="AY144" s="106" t="s">
        <v>15515</v>
      </c>
      <c r="AZ144" s="105">
        <v>4395.01</v>
      </c>
      <c r="BA144" s="106" t="s">
        <v>15596</v>
      </c>
      <c r="BB144" s="29">
        <v>2500</v>
      </c>
      <c r="BC144" s="24"/>
      <c r="BD144" s="24"/>
      <c r="BE144" s="24"/>
      <c r="BF144" s="72"/>
      <c r="BG144" s="24"/>
      <c r="BH144" s="72"/>
      <c r="BI144" s="24"/>
      <c r="BJ144" s="9"/>
      <c r="BK144" s="15"/>
      <c r="BL144" s="72"/>
      <c r="BM144" s="24"/>
      <c r="BN144" s="72"/>
      <c r="BO144" s="24"/>
      <c r="BP144" s="72"/>
      <c r="BQ144" s="24"/>
      <c r="BR144" s="72"/>
      <c r="BS144" s="24"/>
      <c r="BT144" s="72"/>
      <c r="BU144" s="24"/>
      <c r="BV144" s="72"/>
      <c r="BW144" s="24"/>
      <c r="BX144" s="72"/>
      <c r="BY144" s="24"/>
      <c r="BZ144" s="72"/>
      <c r="CA144" s="24"/>
      <c r="CB144" s="72"/>
      <c r="CC144" s="24"/>
      <c r="CD144" s="72"/>
      <c r="CE144" s="24"/>
      <c r="CF144" s="72"/>
      <c r="CG144" s="24"/>
      <c r="CH144" s="72"/>
      <c r="CI144" s="24"/>
      <c r="CJ144" s="72"/>
      <c r="CK144" s="24"/>
      <c r="CL144" s="72"/>
      <c r="CM144" s="24"/>
      <c r="CN144" s="72"/>
      <c r="CO144" s="24"/>
      <c r="CP144" s="72"/>
      <c r="CQ144" s="24"/>
      <c r="CR144" s="72"/>
    </row>
    <row r="145" spans="1:96" x14ac:dyDescent="0.2">
      <c r="A145" s="45"/>
      <c r="B145" s="307"/>
      <c r="C145" s="59"/>
      <c r="D145" s="29"/>
      <c r="E145" s="24"/>
      <c r="F145" s="206"/>
      <c r="G145" s="24"/>
      <c r="H145" s="31">
        <v>14931.25</v>
      </c>
      <c r="I145" s="15" t="s">
        <v>14433</v>
      </c>
      <c r="J145" s="63"/>
      <c r="K145" s="57"/>
      <c r="L145" s="97">
        <f>+SUM(L132:L144)</f>
        <v>718142.32000000007</v>
      </c>
      <c r="M145" s="24"/>
      <c r="N145" s="29">
        <v>310126.27</v>
      </c>
      <c r="O145" s="24" t="s">
        <v>14686</v>
      </c>
      <c r="P145" s="31">
        <v>841</v>
      </c>
      <c r="Q145" s="24" t="s">
        <v>14711</v>
      </c>
      <c r="R145" s="31"/>
      <c r="S145" s="24"/>
      <c r="T145" s="104"/>
      <c r="U145" s="24"/>
      <c r="V145" s="122"/>
      <c r="W145" s="24"/>
      <c r="X145" s="29"/>
      <c r="Y145" s="24"/>
      <c r="Z145" s="96">
        <v>165631.16</v>
      </c>
      <c r="AA145" s="15" t="s">
        <v>14872</v>
      </c>
      <c r="AB145" s="97">
        <f>+SUM(AB132:AB144)</f>
        <v>1151744.02</v>
      </c>
      <c r="AC145" s="24"/>
      <c r="AD145" s="29"/>
      <c r="AE145" s="24"/>
      <c r="AF145" s="297"/>
      <c r="AG145" s="18"/>
      <c r="AH145" s="31">
        <v>88600</v>
      </c>
      <c r="AI145" s="86" t="s">
        <v>15018</v>
      </c>
      <c r="AJ145" s="96">
        <v>2485</v>
      </c>
      <c r="AK145" s="15" t="s">
        <v>15093</v>
      </c>
      <c r="AL145" s="29">
        <v>4395.01</v>
      </c>
      <c r="AM145" s="85" t="s">
        <v>15178</v>
      </c>
      <c r="AN145" s="291">
        <v>13520.13</v>
      </c>
      <c r="AO145" s="24" t="s">
        <v>15229</v>
      </c>
      <c r="AP145" s="29">
        <v>8043.99</v>
      </c>
      <c r="AQ145" s="24" t="s">
        <v>15303</v>
      </c>
      <c r="AR145" s="29">
        <v>1109</v>
      </c>
      <c r="AS145" s="184" t="s">
        <v>15347</v>
      </c>
      <c r="AT145" s="29">
        <v>6000</v>
      </c>
      <c r="AU145" s="24" t="s">
        <v>15457</v>
      </c>
      <c r="AV145" s="256"/>
      <c r="AW145" s="86"/>
      <c r="AX145" s="29">
        <v>800</v>
      </c>
      <c r="AY145" s="108" t="s">
        <v>15516</v>
      </c>
      <c r="AZ145" s="29">
        <v>11220</v>
      </c>
      <c r="BA145" s="108" t="s">
        <v>15597</v>
      </c>
      <c r="BB145" s="30">
        <v>5269</v>
      </c>
      <c r="BC145" s="24"/>
      <c r="BD145" s="72"/>
      <c r="BE145" s="24"/>
      <c r="BF145" s="72"/>
      <c r="BG145" s="24"/>
      <c r="BH145" s="72"/>
      <c r="BI145" s="24"/>
      <c r="BJ145" s="9"/>
      <c r="BK145" s="15"/>
      <c r="BL145" s="72"/>
      <c r="BM145" s="24"/>
      <c r="BN145" s="72"/>
      <c r="BO145" s="24"/>
      <c r="BP145" s="72"/>
      <c r="BQ145" s="24"/>
      <c r="BR145" s="24"/>
      <c r="BS145" s="24"/>
      <c r="BT145" s="72"/>
      <c r="BU145" s="24"/>
      <c r="BV145" s="72"/>
      <c r="BW145" s="24"/>
      <c r="BX145" s="72"/>
      <c r="BY145" s="24"/>
      <c r="BZ145" s="72"/>
      <c r="CA145" s="24"/>
      <c r="CB145" s="72"/>
      <c r="CC145" s="24"/>
      <c r="CD145" s="72"/>
      <c r="CE145" s="24"/>
      <c r="CF145" s="72"/>
      <c r="CG145" s="24"/>
      <c r="CH145" s="72"/>
      <c r="CI145" s="24"/>
      <c r="CJ145" s="72"/>
      <c r="CK145" s="24"/>
      <c r="CL145" s="72"/>
      <c r="CM145" s="24"/>
      <c r="CN145" s="72"/>
      <c r="CO145" s="24"/>
      <c r="CP145" s="72"/>
      <c r="CQ145" s="24"/>
      <c r="CR145" s="72"/>
    </row>
    <row r="146" spans="1:96" x14ac:dyDescent="0.2">
      <c r="A146" s="41"/>
      <c r="B146" s="116"/>
      <c r="C146" s="24"/>
      <c r="D146" s="256"/>
      <c r="E146" s="26"/>
      <c r="F146" s="116"/>
      <c r="G146" s="15"/>
      <c r="H146" s="96">
        <v>148300</v>
      </c>
      <c r="I146" s="15" t="s">
        <v>14435</v>
      </c>
      <c r="J146" s="31"/>
      <c r="K146" s="24"/>
      <c r="L146" s="30"/>
      <c r="M146" s="15"/>
      <c r="N146" s="30">
        <v>295000</v>
      </c>
      <c r="O146" s="15" t="s">
        <v>14688</v>
      </c>
      <c r="P146" s="30">
        <v>1995</v>
      </c>
      <c r="Q146" s="15" t="s">
        <v>14717</v>
      </c>
      <c r="R146" s="31"/>
      <c r="S146" s="15"/>
      <c r="T146" s="256"/>
      <c r="U146" s="15"/>
      <c r="V146" s="30"/>
      <c r="W146" s="15"/>
      <c r="X146" s="30"/>
      <c r="Y146" s="15"/>
      <c r="Z146" s="96">
        <v>174686.69</v>
      </c>
      <c r="AA146" s="15" t="s">
        <v>14873</v>
      </c>
      <c r="AB146" s="30"/>
      <c r="AC146" s="15"/>
      <c r="AD146" s="30"/>
      <c r="AE146" s="15"/>
      <c r="AF146" s="302"/>
      <c r="AG146" s="18"/>
      <c r="AH146" s="31">
        <v>70000</v>
      </c>
      <c r="AI146" s="85" t="s">
        <v>15021</v>
      </c>
      <c r="AJ146" s="29">
        <v>3946</v>
      </c>
      <c r="AK146" s="24" t="s">
        <v>15095</v>
      </c>
      <c r="AL146" s="30">
        <v>50224.17</v>
      </c>
      <c r="AM146" s="15" t="s">
        <v>15179</v>
      </c>
      <c r="AN146" s="292">
        <v>2500</v>
      </c>
      <c r="AO146" s="15" t="s">
        <v>15230</v>
      </c>
      <c r="AP146" s="30">
        <v>1331.8</v>
      </c>
      <c r="AQ146" s="24" t="s">
        <v>15304</v>
      </c>
      <c r="AR146" s="100">
        <f>SUM(AR132:AR145)</f>
        <v>1065367.25</v>
      </c>
      <c r="AS146" s="185"/>
      <c r="AT146" s="30">
        <v>149000</v>
      </c>
      <c r="AU146" s="15" t="s">
        <v>15458</v>
      </c>
      <c r="AV146" s="94"/>
      <c r="AW146" s="85"/>
      <c r="AX146" s="30">
        <v>10982</v>
      </c>
      <c r="AY146" s="108" t="s">
        <v>15517</v>
      </c>
      <c r="AZ146" s="100">
        <f>SUM(AZ144:AZ145)</f>
        <v>15615.01</v>
      </c>
      <c r="BA146" s="106"/>
      <c r="BB146" s="31">
        <v>617.28</v>
      </c>
      <c r="BC146" s="15"/>
      <c r="BD146" s="72"/>
      <c r="BE146" s="15"/>
      <c r="BF146" s="9"/>
      <c r="BG146" s="15"/>
      <c r="BH146" s="9"/>
      <c r="BI146" s="15"/>
      <c r="BJ146" s="75"/>
      <c r="BK146" s="75"/>
      <c r="BL146" s="72"/>
      <c r="BM146" s="15"/>
      <c r="BN146" s="9"/>
      <c r="BO146" s="15"/>
      <c r="BP146" s="9"/>
      <c r="BQ146" s="15"/>
      <c r="BR146" s="9"/>
      <c r="BS146" s="15"/>
      <c r="BT146" s="9"/>
      <c r="BU146" s="15"/>
      <c r="BV146" s="9"/>
      <c r="BW146" s="15"/>
      <c r="BX146" s="9"/>
      <c r="BY146" s="15"/>
      <c r="BZ146" s="9"/>
      <c r="CA146" s="15"/>
      <c r="CB146" s="9"/>
      <c r="CC146" s="15"/>
      <c r="CD146" s="9"/>
      <c r="CE146" s="15"/>
      <c r="CF146" s="9"/>
      <c r="CG146" s="15"/>
      <c r="CH146" s="9"/>
      <c r="CI146" s="15"/>
      <c r="CJ146" s="9"/>
      <c r="CK146" s="15"/>
      <c r="CL146" s="9"/>
      <c r="CM146" s="15"/>
      <c r="CN146" s="9"/>
      <c r="CO146" s="15"/>
      <c r="CP146" s="9"/>
      <c r="CQ146" s="15"/>
      <c r="CR146" s="9"/>
    </row>
    <row r="147" spans="1:96" x14ac:dyDescent="0.2">
      <c r="A147" s="50"/>
      <c r="B147" s="104"/>
      <c r="C147" s="24"/>
      <c r="D147" s="32"/>
      <c r="E147" s="57"/>
      <c r="F147" s="165"/>
      <c r="G147" s="57"/>
      <c r="H147" s="31">
        <v>100000</v>
      </c>
      <c r="I147" s="24" t="s">
        <v>14440</v>
      </c>
      <c r="J147" s="264"/>
      <c r="K147" s="24"/>
      <c r="L147" s="104">
        <v>30000</v>
      </c>
      <c r="M147" s="57" t="s">
        <v>14537</v>
      </c>
      <c r="N147" s="29">
        <v>155000</v>
      </c>
      <c r="O147" s="57" t="s">
        <v>14689</v>
      </c>
      <c r="P147" s="101">
        <v>5640</v>
      </c>
      <c r="Q147" s="57" t="s">
        <v>14718</v>
      </c>
      <c r="R147" s="101"/>
      <c r="S147" s="57"/>
      <c r="T147" s="165"/>
      <c r="U147" s="57"/>
      <c r="V147" s="101"/>
      <c r="W147" s="57"/>
      <c r="X147" s="63"/>
      <c r="Y147" s="57"/>
      <c r="Z147" s="165">
        <v>1970</v>
      </c>
      <c r="AA147" s="57" t="s">
        <v>14879</v>
      </c>
      <c r="AB147" s="101">
        <v>15515.96</v>
      </c>
      <c r="AC147" s="57" t="s">
        <v>14923</v>
      </c>
      <c r="AD147" s="101"/>
      <c r="AE147" s="57"/>
      <c r="AF147" s="302"/>
      <c r="AG147" s="85"/>
      <c r="AH147" s="104">
        <v>4600</v>
      </c>
      <c r="AI147" s="24" t="s">
        <v>15022</v>
      </c>
      <c r="AJ147" s="290">
        <v>2864.99</v>
      </c>
      <c r="AK147" s="15" t="s">
        <v>15103</v>
      </c>
      <c r="AL147" s="169">
        <f>SUM(AL142:AL146)</f>
        <v>77552.429999999993</v>
      </c>
      <c r="AM147" s="57"/>
      <c r="AN147" s="292">
        <v>450000</v>
      </c>
      <c r="AO147" s="57" t="s">
        <v>15231</v>
      </c>
      <c r="AP147" s="29">
        <v>195000</v>
      </c>
      <c r="AQ147" s="57" t="s">
        <v>15305</v>
      </c>
      <c r="AR147" s="63"/>
      <c r="AS147" s="186"/>
      <c r="AT147" s="101">
        <v>138000</v>
      </c>
      <c r="AU147" s="57" t="s">
        <v>15459</v>
      </c>
      <c r="AV147" s="98"/>
      <c r="AW147" s="86"/>
      <c r="AX147" s="29">
        <v>3250</v>
      </c>
      <c r="AY147" s="108" t="s">
        <v>15518</v>
      </c>
      <c r="AZ147" s="94"/>
      <c r="BA147" s="108"/>
      <c r="BB147" s="242">
        <f>SUM(BB132:BB146)</f>
        <v>444796.93000000005</v>
      </c>
      <c r="BC147" s="26"/>
      <c r="BD147" s="73"/>
      <c r="BE147" s="57"/>
      <c r="BF147" s="73"/>
      <c r="BG147" s="57"/>
      <c r="BH147" s="73"/>
      <c r="BI147" s="57"/>
      <c r="BJ147" s="75"/>
      <c r="BK147" s="75"/>
      <c r="BL147" s="73"/>
      <c r="BM147" s="57"/>
      <c r="BN147" s="73"/>
      <c r="BO147" s="57"/>
      <c r="BP147" s="57"/>
      <c r="BQ147" s="57"/>
      <c r="BR147" s="73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</row>
    <row r="148" spans="1:96" x14ac:dyDescent="0.2">
      <c r="A148" s="46"/>
      <c r="B148" s="114"/>
      <c r="C148" s="13"/>
      <c r="D148" s="31"/>
      <c r="E148" s="24"/>
      <c r="F148" s="104"/>
      <c r="G148" s="24"/>
      <c r="H148" s="31">
        <v>1169</v>
      </c>
      <c r="I148" s="24" t="s">
        <v>14450</v>
      </c>
      <c r="J148" s="31"/>
      <c r="K148" s="24"/>
      <c r="L148" s="104">
        <v>1995</v>
      </c>
      <c r="M148" s="24" t="s">
        <v>14544</v>
      </c>
      <c r="N148" s="31">
        <v>100000</v>
      </c>
      <c r="O148" s="24" t="s">
        <v>14690</v>
      </c>
      <c r="P148" s="148">
        <f>+SUM(P141:P147)</f>
        <v>120437</v>
      </c>
      <c r="Q148" s="24"/>
      <c r="R148" s="31"/>
      <c r="S148" s="24"/>
      <c r="T148" s="116"/>
      <c r="U148" s="24"/>
      <c r="V148" s="31"/>
      <c r="W148" s="24"/>
      <c r="X148" s="31"/>
      <c r="Y148" s="24"/>
      <c r="Z148" s="115">
        <f>SUM(Z138:Z147)</f>
        <v>1809611.4</v>
      </c>
      <c r="AA148" s="24"/>
      <c r="AB148" s="31">
        <v>411000</v>
      </c>
      <c r="AC148" s="24" t="s">
        <v>14924</v>
      </c>
      <c r="AD148" s="31"/>
      <c r="AE148" s="24"/>
      <c r="AF148" s="302"/>
      <c r="AG148" s="85"/>
      <c r="AH148" s="104">
        <v>3064.99</v>
      </c>
      <c r="AI148" s="86" t="s">
        <v>15036</v>
      </c>
      <c r="AJ148" s="32">
        <f>SUM(AJ138:AJ147)</f>
        <v>2076230.92</v>
      </c>
      <c r="AK148" s="24"/>
      <c r="AL148" s="31"/>
      <c r="AM148" s="24"/>
      <c r="AN148" s="292">
        <v>3250</v>
      </c>
      <c r="AO148" s="24" t="s">
        <v>15232</v>
      </c>
      <c r="AP148" s="148">
        <f>SUM(AP132:AP147)</f>
        <v>1411937.3800000001</v>
      </c>
      <c r="AQ148" s="24"/>
      <c r="AR148" s="31"/>
      <c r="AS148" s="184"/>
      <c r="AT148" s="31">
        <v>292000</v>
      </c>
      <c r="AU148" s="24" t="s">
        <v>15460</v>
      </c>
      <c r="AV148" s="30"/>
      <c r="AW148" s="85"/>
      <c r="AX148" s="78">
        <v>210000</v>
      </c>
      <c r="AY148" s="106" t="s">
        <v>15519</v>
      </c>
      <c r="AZ148" s="78"/>
      <c r="BA148" s="106"/>
      <c r="BB148" s="31"/>
      <c r="BC148" s="24"/>
      <c r="BD148" s="72"/>
      <c r="BE148" s="24"/>
      <c r="BF148" s="72"/>
      <c r="BG148" s="24"/>
      <c r="BH148" s="72"/>
      <c r="BI148" s="24"/>
      <c r="BJ148" s="75"/>
      <c r="BK148" s="75"/>
      <c r="BL148" s="72"/>
      <c r="BM148" s="24"/>
      <c r="BN148" s="72"/>
      <c r="BO148" s="24"/>
      <c r="BP148" s="72"/>
      <c r="BQ148" s="24"/>
      <c r="BR148" s="72"/>
      <c r="BS148" s="24"/>
      <c r="BT148" s="72"/>
      <c r="BU148" s="24"/>
      <c r="BV148" s="72"/>
      <c r="BW148" s="24"/>
      <c r="BX148" s="72"/>
      <c r="BY148" s="24"/>
      <c r="BZ148" s="72"/>
      <c r="CA148" s="24"/>
      <c r="CB148" s="72"/>
      <c r="CC148" s="24"/>
      <c r="CD148" s="72"/>
      <c r="CE148" s="24"/>
      <c r="CF148" s="72"/>
      <c r="CG148" s="24"/>
      <c r="CH148" s="72"/>
      <c r="CI148" s="24"/>
      <c r="CJ148" s="72"/>
      <c r="CK148" s="24"/>
      <c r="CL148" s="72"/>
      <c r="CM148" s="24"/>
      <c r="CN148" s="72"/>
      <c r="CO148" s="24"/>
      <c r="CP148" s="72"/>
      <c r="CQ148" s="24"/>
      <c r="CR148" s="72"/>
    </row>
    <row r="149" spans="1:96" x14ac:dyDescent="0.2">
      <c r="A149" s="46"/>
      <c r="B149" s="96"/>
      <c r="C149" s="15"/>
      <c r="D149" s="31"/>
      <c r="E149" s="24"/>
      <c r="F149" s="104"/>
      <c r="G149" s="24"/>
      <c r="H149" s="148">
        <f>+SUM(H144:H148)</f>
        <v>315122.03000000003</v>
      </c>
      <c r="I149" s="24"/>
      <c r="J149" s="104"/>
      <c r="K149" s="24"/>
      <c r="L149" s="104">
        <v>2625</v>
      </c>
      <c r="M149" s="24" t="s">
        <v>14545</v>
      </c>
      <c r="N149" s="115">
        <f>+SUM(N145:N148)</f>
        <v>860126.27</v>
      </c>
      <c r="O149" s="24"/>
      <c r="P149" s="104"/>
      <c r="Q149" s="24"/>
      <c r="R149" s="31"/>
      <c r="S149" s="24"/>
      <c r="T149" s="96"/>
      <c r="U149" s="15"/>
      <c r="V149" s="31"/>
      <c r="W149" s="24"/>
      <c r="X149" s="31"/>
      <c r="Y149" s="24"/>
      <c r="Z149" s="116"/>
      <c r="AA149" s="24"/>
      <c r="AB149" s="31">
        <v>400000</v>
      </c>
      <c r="AC149" s="24" t="s">
        <v>14927</v>
      </c>
      <c r="AD149" s="104"/>
      <c r="AE149" s="24"/>
      <c r="AF149" s="302"/>
      <c r="AG149" s="85"/>
      <c r="AH149" s="308"/>
      <c r="AI149" s="75"/>
      <c r="AJ149" s="32"/>
      <c r="AK149" s="24"/>
      <c r="AL149" s="32"/>
      <c r="AM149" s="24"/>
      <c r="AN149" s="293">
        <v>2145</v>
      </c>
      <c r="AO149" s="24" t="s">
        <v>15233</v>
      </c>
      <c r="AP149" s="31"/>
      <c r="AQ149" s="24"/>
      <c r="AR149" s="104"/>
      <c r="AS149" s="185"/>
      <c r="AT149" s="31">
        <v>20000</v>
      </c>
      <c r="AU149" s="24" t="s">
        <v>15461</v>
      </c>
      <c r="AV149" s="104"/>
      <c r="AW149" s="88"/>
      <c r="AX149" s="344">
        <f>SUM(AX139:AX148)</f>
        <v>430578</v>
      </c>
      <c r="AY149" s="106"/>
      <c r="AZ149" s="78"/>
      <c r="BA149" s="106"/>
      <c r="BB149" s="348"/>
      <c r="BC149" s="24"/>
      <c r="BD149" s="72"/>
      <c r="BE149" s="24"/>
      <c r="BF149" s="72"/>
      <c r="BG149" s="24"/>
      <c r="BH149" s="24"/>
      <c r="BI149" s="24"/>
      <c r="BJ149" s="75"/>
      <c r="BK149" s="75"/>
      <c r="BL149" s="72"/>
      <c r="BM149" s="24"/>
      <c r="BN149" s="72"/>
      <c r="BO149" s="24"/>
      <c r="BP149" s="72"/>
      <c r="BQ149" s="24"/>
      <c r="BR149" s="72"/>
      <c r="BS149" s="24"/>
      <c r="BT149" s="72"/>
      <c r="BU149" s="24"/>
      <c r="BV149" s="72"/>
      <c r="BW149" s="24"/>
      <c r="BX149" s="72"/>
      <c r="BY149" s="24"/>
      <c r="BZ149" s="72"/>
      <c r="CA149" s="24"/>
      <c r="CB149" s="72"/>
      <c r="CC149" s="24"/>
      <c r="CD149" s="72"/>
      <c r="CE149" s="24"/>
      <c r="CF149" s="72"/>
      <c r="CG149" s="24"/>
      <c r="CH149" s="72"/>
      <c r="CI149" s="24"/>
      <c r="CJ149" s="72"/>
      <c r="CK149" s="24"/>
      <c r="CL149" s="72"/>
      <c r="CM149" s="24"/>
      <c r="CN149" s="72"/>
      <c r="CO149" s="24"/>
      <c r="CP149" s="72"/>
      <c r="CQ149" s="24"/>
      <c r="CR149" s="72"/>
    </row>
    <row r="150" spans="1:96" x14ac:dyDescent="0.2">
      <c r="B150" s="24"/>
      <c r="C150" s="24"/>
      <c r="D150" s="75"/>
      <c r="E150" s="75"/>
      <c r="F150" s="297"/>
      <c r="G150" s="24"/>
      <c r="H150" s="75"/>
      <c r="I150" s="75"/>
      <c r="J150" s="297"/>
      <c r="K150" s="24"/>
      <c r="L150" s="304">
        <v>1970</v>
      </c>
      <c r="M150" s="24" t="s">
        <v>14561</v>
      </c>
      <c r="N150" s="304"/>
      <c r="O150" s="24"/>
      <c r="P150" s="304"/>
      <c r="Q150" s="24"/>
      <c r="R150" s="304"/>
      <c r="S150" s="24"/>
      <c r="T150" s="309"/>
      <c r="U150" s="24"/>
      <c r="V150" s="302"/>
      <c r="W150" s="24"/>
      <c r="X150" s="18"/>
      <c r="Y150" s="18"/>
      <c r="Z150" s="310"/>
      <c r="AA150" s="18" t="s">
        <v>3594</v>
      </c>
      <c r="AB150" s="302">
        <v>4137.93</v>
      </c>
      <c r="AC150" s="24" t="s">
        <v>14928</v>
      </c>
      <c r="AD150" s="104"/>
      <c r="AE150" s="24"/>
      <c r="AF150" s="302"/>
      <c r="AG150" s="85"/>
      <c r="AH150" s="104"/>
      <c r="AI150" s="24"/>
      <c r="AJ150" s="96"/>
      <c r="AK150" s="75"/>
      <c r="AL150" s="18"/>
      <c r="AM150" s="18"/>
      <c r="AN150" s="294">
        <v>20000</v>
      </c>
      <c r="AO150" s="24" t="s">
        <v>15234</v>
      </c>
      <c r="AP150" s="304">
        <v>196000</v>
      </c>
      <c r="AQ150" s="24"/>
      <c r="AR150" s="256"/>
      <c r="AS150" s="189"/>
      <c r="AT150" s="30">
        <v>224500</v>
      </c>
      <c r="AU150" s="24" t="s">
        <v>15462</v>
      </c>
      <c r="AV150" s="96"/>
      <c r="AW150" s="326"/>
      <c r="AX150" s="304"/>
      <c r="AY150" s="106"/>
      <c r="AZ150" s="296"/>
      <c r="BA150" s="106"/>
      <c r="BB150" s="96"/>
      <c r="BC150" s="26"/>
      <c r="BD150" s="75"/>
      <c r="BE150" s="24"/>
      <c r="BF150" s="312"/>
      <c r="BG150" s="24"/>
      <c r="BH150" s="298"/>
      <c r="BI150" s="24"/>
      <c r="BJ150" s="75"/>
      <c r="BK150" s="75"/>
      <c r="BL150" s="75"/>
      <c r="BM150" s="24"/>
      <c r="BN150" s="75"/>
      <c r="BO150" s="24"/>
      <c r="BP150" s="75"/>
      <c r="BQ150" s="75"/>
      <c r="BR150" s="311"/>
      <c r="BS150" s="75"/>
    </row>
    <row r="151" spans="1:96" x14ac:dyDescent="0.2">
      <c r="B151" s="24"/>
      <c r="C151" s="24"/>
      <c r="D151" s="75"/>
      <c r="E151" s="75"/>
      <c r="F151" s="311"/>
      <c r="G151" s="75"/>
      <c r="H151" s="75"/>
      <c r="I151" s="312"/>
      <c r="J151" s="9"/>
      <c r="K151" s="15"/>
      <c r="L151" s="302">
        <v>1995</v>
      </c>
      <c r="M151" s="24" t="s">
        <v>14562</v>
      </c>
      <c r="N151" s="302"/>
      <c r="O151" s="24"/>
      <c r="P151" s="304"/>
      <c r="Q151" s="24"/>
      <c r="R151" s="302"/>
      <c r="S151" s="24"/>
      <c r="T151" s="114"/>
      <c r="U151" s="24"/>
      <c r="V151" s="302"/>
      <c r="W151" s="24"/>
      <c r="X151" s="18"/>
      <c r="Y151" s="18"/>
      <c r="Z151" s="18"/>
      <c r="AA151" s="18"/>
      <c r="AB151" s="313">
        <v>47300</v>
      </c>
      <c r="AC151" s="24" t="s">
        <v>14935</v>
      </c>
      <c r="AD151" s="104"/>
      <c r="AE151" s="24"/>
      <c r="AF151" s="307"/>
      <c r="AG151" s="18"/>
      <c r="AH151" s="114"/>
      <c r="AI151" s="24"/>
      <c r="AJ151" s="314"/>
      <c r="AK151" s="75"/>
      <c r="AL151" s="18"/>
      <c r="AM151" s="18"/>
      <c r="AN151" s="294">
        <v>567200</v>
      </c>
      <c r="AO151" s="24" t="s">
        <v>15235</v>
      </c>
      <c r="AP151" s="304">
        <v>168200</v>
      </c>
      <c r="AQ151" s="24"/>
      <c r="AR151" s="302"/>
      <c r="AS151" s="189"/>
      <c r="AT151" s="30">
        <v>110261.45</v>
      </c>
      <c r="AU151" s="24" t="s">
        <v>15463</v>
      </c>
      <c r="AV151" s="295"/>
      <c r="AW151" s="326"/>
      <c r="AX151" s="297"/>
      <c r="AY151" s="106"/>
      <c r="AZ151" s="302"/>
      <c r="BA151" s="106"/>
      <c r="BB151" s="304"/>
      <c r="BC151" s="15"/>
      <c r="BD151" s="75"/>
      <c r="BE151" s="24"/>
      <c r="BF151" s="75"/>
      <c r="BG151" s="24"/>
      <c r="BH151" s="300"/>
      <c r="BI151" s="24"/>
      <c r="BJ151" s="75"/>
      <c r="BK151" s="75"/>
      <c r="BL151" s="9"/>
      <c r="BM151" s="15"/>
      <c r="BN151" s="75"/>
      <c r="BO151" s="24"/>
      <c r="BP151" s="75"/>
      <c r="BQ151" s="75"/>
      <c r="BR151" s="75"/>
      <c r="BS151" s="75"/>
    </row>
    <row r="152" spans="1:96" x14ac:dyDescent="0.2">
      <c r="B152" s="24"/>
      <c r="C152" s="24"/>
      <c r="D152" s="75"/>
      <c r="E152" s="75"/>
      <c r="F152" s="75"/>
      <c r="G152" s="75"/>
      <c r="H152" s="75"/>
      <c r="I152" s="75"/>
      <c r="J152" s="311"/>
      <c r="K152" s="75"/>
      <c r="L152" s="302">
        <v>3169</v>
      </c>
      <c r="M152" s="24" t="s">
        <v>14563</v>
      </c>
      <c r="N152" s="302"/>
      <c r="O152" s="24"/>
      <c r="P152" s="295"/>
      <c r="Q152" s="24"/>
      <c r="R152" s="297"/>
      <c r="S152" s="24"/>
      <c r="T152" s="308"/>
      <c r="U152" s="24"/>
      <c r="V152" s="297"/>
      <c r="W152" s="24"/>
      <c r="X152" s="18"/>
      <c r="Y152" s="18"/>
      <c r="Z152" s="18"/>
      <c r="AA152" s="18"/>
      <c r="AB152" s="315">
        <f>SUM(AB147:AB151)</f>
        <v>877953.89</v>
      </c>
      <c r="AC152" s="24"/>
      <c r="AD152" s="96"/>
      <c r="AE152" s="15"/>
      <c r="AF152" s="75"/>
      <c r="AG152" s="75"/>
      <c r="AH152" s="114"/>
      <c r="AI152" s="24"/>
      <c r="AJ152" s="302"/>
      <c r="AK152" s="18"/>
      <c r="AL152" s="18"/>
      <c r="AM152" s="18"/>
      <c r="AN152" s="294">
        <v>198400</v>
      </c>
      <c r="AO152" s="24" t="s">
        <v>15236</v>
      </c>
      <c r="AP152" s="304">
        <v>579900</v>
      </c>
      <c r="AQ152" s="24"/>
      <c r="AR152" s="302"/>
      <c r="AS152" s="189"/>
      <c r="AT152" s="31">
        <v>50813.15</v>
      </c>
      <c r="AU152" s="25" t="s">
        <v>15464</v>
      </c>
      <c r="AV152" s="296"/>
      <c r="AW152" s="326"/>
      <c r="AX152" s="304"/>
      <c r="AY152" s="106"/>
      <c r="AZ152" s="297"/>
      <c r="BA152" s="18"/>
      <c r="BB152" s="96"/>
      <c r="BC152" s="15"/>
      <c r="BD152" s="75"/>
      <c r="BE152" s="24"/>
      <c r="BF152" s="75"/>
      <c r="BG152" s="24"/>
      <c r="BH152" s="75"/>
      <c r="BI152" s="24"/>
      <c r="BJ152" s="75"/>
      <c r="BK152" s="25"/>
      <c r="BL152" s="311"/>
      <c r="BM152" s="75"/>
      <c r="BN152" s="75"/>
      <c r="BO152" s="24"/>
      <c r="BP152" s="75"/>
      <c r="BQ152" s="75"/>
      <c r="BR152" s="75"/>
      <c r="BS152" s="75"/>
    </row>
    <row r="153" spans="1:96" x14ac:dyDescent="0.2">
      <c r="B153" s="24"/>
      <c r="C153" s="24"/>
      <c r="D153" s="75"/>
      <c r="E153" s="75"/>
      <c r="F153" s="75"/>
      <c r="G153" s="75"/>
      <c r="H153" s="75"/>
      <c r="I153" s="75"/>
      <c r="J153" s="75"/>
      <c r="K153" s="75"/>
      <c r="L153" s="306">
        <f>+SUM(L147:L152)</f>
        <v>41754</v>
      </c>
      <c r="M153" s="75"/>
      <c r="N153" s="302"/>
      <c r="O153" s="24"/>
      <c r="P153" s="302"/>
      <c r="Q153" s="24"/>
      <c r="R153" s="96"/>
      <c r="S153" s="15"/>
      <c r="T153" s="114"/>
      <c r="U153" s="24"/>
      <c r="V153" s="297"/>
      <c r="W153" s="24"/>
      <c r="X153" s="18"/>
      <c r="Y153" s="18"/>
      <c r="Z153" s="18"/>
      <c r="AA153" s="18"/>
      <c r="AB153" s="304"/>
      <c r="AC153" s="24"/>
      <c r="AD153" s="116"/>
      <c r="AE153" s="24"/>
      <c r="AF153" s="75"/>
      <c r="AG153" s="75"/>
      <c r="AH153" s="114"/>
      <c r="AI153" s="24"/>
      <c r="AJ153" s="302"/>
      <c r="AK153" s="75"/>
      <c r="AL153" s="18"/>
      <c r="AM153" s="18"/>
      <c r="AN153" s="316">
        <f>SUM(AN145:AN152)</f>
        <v>1257015.1299999999</v>
      </c>
      <c r="AO153" s="24"/>
      <c r="AP153" s="304">
        <v>1099</v>
      </c>
      <c r="AQ153" s="24"/>
      <c r="AR153" s="297"/>
      <c r="AS153" s="189"/>
      <c r="AT153" s="302">
        <v>50000</v>
      </c>
      <c r="AU153" s="25" t="s">
        <v>15465</v>
      </c>
      <c r="AV153" s="297"/>
      <c r="AW153" s="326"/>
      <c r="AX153" s="302"/>
      <c r="AY153" s="106"/>
      <c r="AZ153" s="18"/>
      <c r="BA153" s="18"/>
      <c r="BB153" s="96"/>
      <c r="BC153" s="15"/>
      <c r="BD153" s="312"/>
      <c r="BE153" s="312"/>
      <c r="BF153" s="75"/>
      <c r="BG153" s="24"/>
      <c r="BH153" s="75"/>
      <c r="BI153" s="24"/>
      <c r="BJ153" s="312"/>
      <c r="BK153" s="75"/>
      <c r="BL153" s="75"/>
      <c r="BM153" s="75"/>
      <c r="BN153" s="75"/>
      <c r="BO153" s="24"/>
      <c r="BP153" s="75"/>
      <c r="BQ153" s="75"/>
      <c r="BR153" s="75"/>
      <c r="BS153" s="75"/>
    </row>
    <row r="154" spans="1:96" x14ac:dyDescent="0.2">
      <c r="B154" s="72"/>
      <c r="C154" s="24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302"/>
      <c r="O154" s="24"/>
      <c r="P154" s="302"/>
      <c r="Q154" s="24"/>
      <c r="R154" s="297"/>
      <c r="S154" s="18"/>
      <c r="T154" s="309"/>
      <c r="U154" s="18"/>
      <c r="V154" s="302"/>
      <c r="W154" s="24"/>
      <c r="X154" s="18"/>
      <c r="Y154" s="18"/>
      <c r="Z154" s="18"/>
      <c r="AA154" s="18"/>
      <c r="AB154" s="302"/>
      <c r="AC154" s="24"/>
      <c r="AD154" s="104"/>
      <c r="AE154" s="24"/>
      <c r="AF154" s="75"/>
      <c r="AG154" s="75"/>
      <c r="AH154" s="114"/>
      <c r="AI154" s="24"/>
      <c r="AJ154" s="297"/>
      <c r="AK154" s="18"/>
      <c r="AL154" s="18"/>
      <c r="AM154" s="18"/>
      <c r="AN154" s="302"/>
      <c r="AO154" s="24"/>
      <c r="AP154" s="306">
        <f>SUM(AP150:AP153)</f>
        <v>945199</v>
      </c>
      <c r="AQ154" s="24"/>
      <c r="AR154" s="297"/>
      <c r="AS154" s="75"/>
      <c r="AT154" s="302">
        <v>342900</v>
      </c>
      <c r="AU154" s="25" t="s">
        <v>15466</v>
      </c>
      <c r="AV154" s="18"/>
      <c r="AW154" s="326"/>
      <c r="AX154" s="297"/>
      <c r="AY154" s="106"/>
      <c r="AZ154" s="18"/>
      <c r="BA154" s="18"/>
      <c r="BB154" s="304"/>
      <c r="BC154" s="15"/>
      <c r="BD154" s="75"/>
      <c r="BE154" s="24"/>
      <c r="BF154" s="75"/>
      <c r="BG154" s="24"/>
      <c r="BH154" s="75"/>
      <c r="BI154" s="24"/>
      <c r="BJ154" s="75"/>
      <c r="BK154" s="75"/>
      <c r="BL154" s="75"/>
      <c r="BM154" s="75"/>
      <c r="BN154" s="9"/>
      <c r="BO154" s="15"/>
      <c r="BP154" s="75"/>
      <c r="BQ154" s="75"/>
      <c r="BR154" s="75"/>
      <c r="BS154" s="75"/>
    </row>
    <row r="155" spans="1:96" x14ac:dyDescent="0.2">
      <c r="B155" s="54"/>
      <c r="C155" s="54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24"/>
      <c r="P155" s="75"/>
      <c r="Q155" s="24"/>
      <c r="R155" s="75"/>
      <c r="S155" s="18"/>
      <c r="T155" s="18"/>
      <c r="U155" s="18"/>
      <c r="V155" s="18"/>
      <c r="W155" s="18"/>
      <c r="X155" s="18"/>
      <c r="Y155" s="18"/>
      <c r="Z155" s="18"/>
      <c r="AA155" s="18"/>
      <c r="AB155" s="15"/>
      <c r="AC155" s="15"/>
      <c r="AD155" s="104"/>
      <c r="AE155" s="24"/>
      <c r="AF155" s="75"/>
      <c r="AG155" s="75"/>
      <c r="AH155" s="114"/>
      <c r="AI155" s="24"/>
      <c r="AJ155" s="302"/>
      <c r="AK155" s="18"/>
      <c r="AL155" s="18"/>
      <c r="AM155" s="18"/>
      <c r="AN155" s="302"/>
      <c r="AO155" s="24"/>
      <c r="AP155" s="302"/>
      <c r="AQ155" s="24"/>
      <c r="AR155" s="302"/>
      <c r="AS155" s="18"/>
      <c r="AT155" s="302">
        <v>202000</v>
      </c>
      <c r="AU155" s="25" t="s">
        <v>15467</v>
      </c>
      <c r="AV155" s="18"/>
      <c r="AW155" s="326"/>
      <c r="AX155" s="18"/>
      <c r="AY155" s="106"/>
      <c r="AZ155" s="18"/>
      <c r="BA155" s="18"/>
      <c r="BB155" s="302"/>
      <c r="BC155" s="15"/>
      <c r="BD155" s="75"/>
      <c r="BE155" s="24"/>
      <c r="BF155" s="75"/>
      <c r="BG155" s="24"/>
      <c r="BH155" s="312"/>
      <c r="BI155" s="75"/>
      <c r="BJ155" s="25"/>
      <c r="BK155" s="75"/>
      <c r="BL155" s="75"/>
      <c r="BM155" s="75"/>
      <c r="BN155" s="300"/>
      <c r="BO155" s="75"/>
      <c r="BP155" s="75"/>
      <c r="BQ155" s="75"/>
      <c r="BR155" s="75"/>
      <c r="BS155" s="75"/>
    </row>
    <row r="156" spans="1:96" x14ac:dyDescent="0.2">
      <c r="B156" s="72"/>
      <c r="C156" s="24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24"/>
      <c r="P156" s="75"/>
      <c r="Q156" s="24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311"/>
      <c r="AC156" s="75"/>
      <c r="AD156" s="297"/>
      <c r="AE156" s="75"/>
      <c r="AF156" s="75"/>
      <c r="AG156" s="75"/>
      <c r="AH156" s="114"/>
      <c r="AI156" s="24"/>
      <c r="AJ156" s="18"/>
      <c r="AK156" s="18"/>
      <c r="AL156" s="18"/>
      <c r="AM156" s="18"/>
      <c r="AN156" s="295"/>
      <c r="AO156" s="18"/>
      <c r="AP156" s="297"/>
      <c r="AQ156" s="24"/>
      <c r="AR156" s="18"/>
      <c r="AS156" s="18"/>
      <c r="AT156" s="305">
        <f>SUM(AT141:AT155)</f>
        <v>1839322.18</v>
      </c>
      <c r="AU156" s="75"/>
      <c r="AV156" s="18"/>
      <c r="AW156" s="326"/>
      <c r="AX156" s="75"/>
      <c r="AY156" s="106"/>
      <c r="AZ156" s="18"/>
      <c r="BA156" s="75"/>
      <c r="BB156" s="75"/>
      <c r="BC156" s="15"/>
      <c r="BD156" s="75"/>
      <c r="BE156" s="24"/>
      <c r="BF156" s="312"/>
      <c r="BG156" s="24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</row>
    <row r="157" spans="1:96" x14ac:dyDescent="0.2">
      <c r="B157" s="72"/>
      <c r="C157" s="24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24"/>
      <c r="P157" s="9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75"/>
      <c r="AC157" s="75"/>
      <c r="AD157" s="75"/>
      <c r="AE157" s="75"/>
      <c r="AF157" s="75"/>
      <c r="AG157" s="75"/>
      <c r="AH157" s="346"/>
      <c r="AI157" s="24"/>
      <c r="AJ157" s="75"/>
      <c r="AK157" s="75"/>
      <c r="AL157" s="18"/>
      <c r="AM157" s="18"/>
      <c r="AN157" s="18"/>
      <c r="AO157" s="18"/>
      <c r="AP157" s="18"/>
      <c r="AQ157" s="18"/>
      <c r="AR157" s="18"/>
      <c r="AS157" s="18"/>
      <c r="AT157" s="18"/>
      <c r="AU157" s="75"/>
      <c r="AV157" s="18"/>
      <c r="AW157" s="326"/>
      <c r="AX157" s="75"/>
      <c r="AY157" s="106"/>
      <c r="AZ157" s="18"/>
      <c r="BA157" s="75"/>
      <c r="BB157" s="312"/>
      <c r="BC157" s="15"/>
      <c r="BD157" s="312"/>
      <c r="BE157" s="24"/>
      <c r="BF157" s="312"/>
      <c r="BG157" s="24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</row>
    <row r="158" spans="1:96" x14ac:dyDescent="0.2">
      <c r="B158" s="72"/>
      <c r="C158" s="24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24"/>
      <c r="P158" s="311"/>
      <c r="Q158" s="7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75"/>
      <c r="AC158" s="75"/>
      <c r="AD158" s="75"/>
      <c r="AE158" s="75"/>
      <c r="AF158" s="75"/>
      <c r="AG158" s="75"/>
      <c r="AH158" s="11"/>
      <c r="AI158" s="24"/>
      <c r="AJ158" s="75"/>
      <c r="AK158" s="75"/>
      <c r="AL158" s="18"/>
      <c r="AM158" s="18"/>
      <c r="AN158" s="18"/>
      <c r="AO158" s="18"/>
      <c r="AP158" s="18"/>
      <c r="AQ158" s="18"/>
      <c r="AR158" s="18"/>
      <c r="AS158" s="18"/>
      <c r="AT158" s="18"/>
      <c r="AU158" s="298"/>
      <c r="AV158" s="18"/>
      <c r="AW158" s="326"/>
      <c r="AX158" s="75"/>
      <c r="AY158" s="106"/>
      <c r="AZ158" s="18"/>
      <c r="BA158" s="75"/>
      <c r="BB158" s="75"/>
      <c r="BC158" s="15"/>
      <c r="BD158" s="311"/>
      <c r="BE158" s="75"/>
      <c r="BF158" s="72"/>
      <c r="BG158" s="15"/>
      <c r="BH158" s="9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</row>
    <row r="159" spans="1:96" x14ac:dyDescent="0.2">
      <c r="B159" s="74"/>
      <c r="C159" s="58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24"/>
      <c r="P159" s="75"/>
      <c r="Q159" s="7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75"/>
      <c r="AC159" s="75"/>
      <c r="AD159" s="75"/>
      <c r="AE159" s="75"/>
      <c r="AF159" s="75"/>
      <c r="AG159" s="75"/>
      <c r="AH159" s="11"/>
      <c r="AI159" s="24"/>
      <c r="AJ159" s="75"/>
      <c r="AK159" s="75"/>
      <c r="AL159" s="18"/>
      <c r="AM159" s="18"/>
      <c r="AN159" s="18"/>
      <c r="AO159" s="18"/>
      <c r="AP159" s="18"/>
      <c r="AQ159" s="18"/>
      <c r="AR159" s="18"/>
      <c r="AS159" s="18"/>
      <c r="AT159" s="18"/>
      <c r="AU159" s="75"/>
      <c r="AV159" s="18"/>
      <c r="AW159" s="326"/>
      <c r="AX159" s="75"/>
      <c r="AY159" s="106"/>
      <c r="AZ159" s="18"/>
      <c r="BA159" s="75"/>
      <c r="BB159" s="75"/>
      <c r="BC159" s="15"/>
      <c r="BD159" s="75"/>
      <c r="BE159" s="75"/>
      <c r="BF159" s="72"/>
      <c r="BG159" s="24"/>
      <c r="BH159" s="75"/>
      <c r="BI159" s="75"/>
      <c r="BJ159" s="75"/>
      <c r="BK159" s="75"/>
      <c r="BL159" s="75"/>
      <c r="BM159" s="75"/>
      <c r="BN159" s="298"/>
      <c r="BO159" s="75"/>
      <c r="BP159" s="75"/>
      <c r="BQ159" s="75"/>
      <c r="BR159" s="75"/>
      <c r="BS159" s="75"/>
    </row>
    <row r="160" spans="1:96" x14ac:dyDescent="0.2">
      <c r="B160" s="72"/>
      <c r="C160" s="24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24"/>
      <c r="P160" s="75"/>
      <c r="Q160" s="7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75"/>
      <c r="AF160" s="75"/>
      <c r="AG160" s="75"/>
      <c r="AH160" s="11"/>
      <c r="AI160" s="24"/>
      <c r="AJ160" s="75"/>
      <c r="AK160" s="75"/>
      <c r="AL160" s="18"/>
      <c r="AM160" s="18"/>
      <c r="AN160" s="18"/>
      <c r="AO160" s="18"/>
      <c r="AP160" s="18"/>
      <c r="AQ160" s="18"/>
      <c r="AR160" s="18"/>
      <c r="AS160" s="18"/>
      <c r="AT160" s="18"/>
      <c r="AU160" s="75"/>
      <c r="AV160" s="18"/>
      <c r="AW160" s="326"/>
      <c r="AX160" s="317"/>
      <c r="AY160" s="18"/>
      <c r="AZ160" s="18"/>
      <c r="BA160" s="75"/>
      <c r="BB160" s="75"/>
      <c r="BC160" s="15"/>
      <c r="BD160" s="75"/>
      <c r="BE160" s="75"/>
      <c r="BF160" s="311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</row>
    <row r="161" spans="2:91" x14ac:dyDescent="0.2">
      <c r="B161" s="11"/>
      <c r="C161" s="13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24"/>
      <c r="P161" s="75"/>
      <c r="Q161" s="7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75"/>
      <c r="AH161" s="11"/>
      <c r="AI161" s="24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75"/>
      <c r="AV161" s="18"/>
      <c r="AW161" s="326"/>
      <c r="AX161" s="18"/>
      <c r="AY161" s="18"/>
      <c r="AZ161" s="18"/>
      <c r="BA161" s="75"/>
      <c r="BB161" s="311"/>
      <c r="BC161" s="75"/>
      <c r="BD161" s="75"/>
      <c r="BE161" s="75"/>
      <c r="BF161" s="312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</row>
    <row r="162" spans="2:91" x14ac:dyDescent="0.2"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75"/>
      <c r="N162" s="311"/>
      <c r="O162" s="75"/>
      <c r="P162" s="75"/>
      <c r="Q162" s="7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75"/>
      <c r="AH162" s="11"/>
      <c r="AI162" s="24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75"/>
      <c r="AV162" s="18"/>
      <c r="AW162" s="326"/>
      <c r="AX162" s="18"/>
      <c r="AY162" s="18"/>
      <c r="AZ162" s="18"/>
      <c r="BA162" s="75"/>
      <c r="BB162" s="75"/>
      <c r="BC162" s="75"/>
      <c r="BD162" s="75"/>
      <c r="BE162" s="75"/>
      <c r="BF162" s="312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</row>
    <row r="163" spans="2:91" x14ac:dyDescent="0.2"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75"/>
      <c r="AH163" s="11"/>
      <c r="AI163" s="24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326"/>
      <c r="AX163" s="18"/>
      <c r="AY163" s="18"/>
      <c r="AZ163" s="18"/>
      <c r="BA163" s="18"/>
      <c r="BB163" s="310"/>
      <c r="BC163" s="18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</row>
    <row r="164" spans="2:91" x14ac:dyDescent="0.2"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75"/>
      <c r="AH164" s="11"/>
      <c r="AI164" s="24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326"/>
      <c r="AX164" s="18"/>
      <c r="AY164" s="18"/>
      <c r="AZ164" s="18"/>
      <c r="BA164" s="18"/>
      <c r="BB164" s="18"/>
      <c r="BC164" s="18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</row>
    <row r="165" spans="2:91" x14ac:dyDescent="0.2"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75"/>
      <c r="AH165" s="13"/>
      <c r="AI165" s="75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326"/>
      <c r="AX165" s="18"/>
      <c r="AY165" s="18"/>
      <c r="AZ165" s="18"/>
      <c r="BA165" s="18"/>
      <c r="BB165" s="18"/>
      <c r="BC165" s="18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</row>
    <row r="166" spans="2:91" x14ac:dyDescent="0.2"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75"/>
      <c r="AH166" s="75"/>
      <c r="AI166" s="75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326"/>
      <c r="AX166" s="18"/>
      <c r="AY166" s="18"/>
      <c r="AZ166" s="18"/>
      <c r="BA166" s="18"/>
      <c r="BB166" s="18"/>
      <c r="BC166" s="18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</row>
    <row r="167" spans="2:91" x14ac:dyDescent="0.2"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326"/>
      <c r="AX167" s="18"/>
      <c r="AY167" s="18"/>
      <c r="AZ167" s="18"/>
      <c r="BA167" s="18"/>
      <c r="BB167" s="18"/>
      <c r="BC167" s="18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</row>
    <row r="168" spans="2:91" x14ac:dyDescent="0.2"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326"/>
      <c r="AX168" s="18"/>
      <c r="AY168" s="18"/>
      <c r="AZ168" s="18"/>
      <c r="BA168" s="18"/>
      <c r="BB168" s="18"/>
      <c r="BC168" s="18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</row>
    <row r="169" spans="2:91" x14ac:dyDescent="0.2"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326"/>
      <c r="AX169" s="18"/>
      <c r="AY169" s="18"/>
      <c r="AZ169" s="18"/>
      <c r="BA169" s="18"/>
      <c r="BB169" s="18"/>
      <c r="BC169" s="18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</row>
    <row r="170" spans="2:91" x14ac:dyDescent="0.2"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326"/>
      <c r="AX170" s="18"/>
      <c r="AY170" s="18"/>
      <c r="AZ170" s="18"/>
      <c r="BA170" s="18"/>
      <c r="BB170" s="18"/>
      <c r="BC170" s="18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</row>
    <row r="171" spans="2:91" x14ac:dyDescent="0.2"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326"/>
      <c r="AX171" s="18"/>
      <c r="AY171" s="18"/>
      <c r="AZ171" s="18"/>
      <c r="BA171" s="18"/>
      <c r="BB171" s="18"/>
      <c r="BC171" s="18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</row>
    <row r="172" spans="2:91" x14ac:dyDescent="0.2"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326"/>
      <c r="AX172" s="18"/>
      <c r="AY172" s="18"/>
      <c r="AZ172" s="18"/>
      <c r="BA172" s="18"/>
      <c r="BB172" s="18"/>
      <c r="BC172" s="18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</row>
    <row r="173" spans="2:91" x14ac:dyDescent="0.2"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326"/>
      <c r="AX173" s="18"/>
      <c r="AY173" s="18"/>
      <c r="AZ173" s="18"/>
      <c r="BA173" s="18"/>
      <c r="BB173" s="18"/>
      <c r="BC173" s="18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</row>
    <row r="174" spans="2:91" x14ac:dyDescent="0.2"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326"/>
      <c r="AX174" s="18"/>
      <c r="AY174" s="18"/>
      <c r="AZ174" s="18"/>
      <c r="BA174" s="18"/>
      <c r="BB174" s="18"/>
      <c r="BC174" s="18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</row>
    <row r="175" spans="2:91" x14ac:dyDescent="0.2"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326"/>
      <c r="AX175" s="18"/>
      <c r="AY175" s="18"/>
      <c r="AZ175" s="18"/>
      <c r="BA175" s="18"/>
      <c r="BB175" s="18"/>
      <c r="BC175" s="18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</row>
    <row r="176" spans="2:91" x14ac:dyDescent="0.2"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326"/>
      <c r="AX176" s="18"/>
      <c r="AY176" s="18"/>
      <c r="AZ176" s="18"/>
      <c r="BA176" s="18"/>
      <c r="BB176" s="18"/>
      <c r="BC176" s="18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CJ176" s="347"/>
      <c r="CK176" s="347"/>
      <c r="CL176" s="347"/>
      <c r="CM176" s="347"/>
    </row>
    <row r="177" spans="2:91" x14ac:dyDescent="0.2"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326"/>
      <c r="AX177" s="18"/>
      <c r="AY177" s="18"/>
      <c r="CJ177" s="347"/>
      <c r="CK177" s="347"/>
      <c r="CL177" s="347"/>
      <c r="CM177" s="347"/>
    </row>
    <row r="178" spans="2:91" x14ac:dyDescent="0.2"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326"/>
      <c r="AX178" s="18"/>
      <c r="AY178" s="18"/>
      <c r="CJ178" s="347"/>
      <c r="CK178" s="347"/>
      <c r="CL178" s="347"/>
      <c r="CM178" s="347"/>
    </row>
    <row r="179" spans="2:91" x14ac:dyDescent="0.2"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326"/>
      <c r="AX179" s="18"/>
      <c r="AY179" s="18"/>
      <c r="CJ179" s="347"/>
      <c r="CK179" s="347"/>
      <c r="CL179" s="347"/>
      <c r="CM179" s="347"/>
    </row>
    <row r="180" spans="2:91" x14ac:dyDescent="0.2"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326"/>
      <c r="AX180" s="18"/>
      <c r="AY180" s="18"/>
      <c r="CJ180" s="347"/>
      <c r="CK180" s="347"/>
      <c r="CL180" s="347"/>
      <c r="CM180" s="347"/>
    </row>
    <row r="181" spans="2:91" x14ac:dyDescent="0.2"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326"/>
      <c r="AX181" s="18"/>
      <c r="AY181" s="18"/>
      <c r="CJ181" s="347"/>
      <c r="CK181" s="347"/>
      <c r="CL181" s="347"/>
      <c r="CM181" s="347"/>
    </row>
    <row r="182" spans="2:91" x14ac:dyDescent="0.2"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326"/>
      <c r="AX182" s="18"/>
      <c r="AY182" s="18"/>
      <c r="CJ182" s="347"/>
      <c r="CK182" s="347"/>
      <c r="CM182" s="347"/>
    </row>
    <row r="183" spans="2:91" x14ac:dyDescent="0.2"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326"/>
      <c r="AX183" s="18"/>
      <c r="AY183" s="18"/>
      <c r="CJ183" s="347"/>
      <c r="CK183" s="347"/>
      <c r="CL183" s="347"/>
      <c r="CM183" s="347"/>
    </row>
    <row r="184" spans="2:91" x14ac:dyDescent="0.2"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326"/>
      <c r="AX184" s="18"/>
      <c r="AY184" s="18"/>
      <c r="CJ184" s="347"/>
      <c r="CK184" s="347"/>
      <c r="CL184" s="347"/>
      <c r="CM184" s="347"/>
    </row>
    <row r="185" spans="2:91" x14ac:dyDescent="0.2"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326"/>
      <c r="AX185" s="18"/>
      <c r="AY185" s="18"/>
      <c r="CJ185" s="347"/>
      <c r="CK185" s="347"/>
      <c r="CL185" s="347"/>
      <c r="CM185" s="347"/>
    </row>
    <row r="186" spans="2:91" x14ac:dyDescent="0.2"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326"/>
      <c r="AX186" s="18"/>
      <c r="AY186" s="18"/>
      <c r="CJ186" s="347"/>
      <c r="CK186" s="347"/>
      <c r="CL186" s="347"/>
      <c r="CM186" s="347"/>
    </row>
    <row r="187" spans="2:91" x14ac:dyDescent="0.2"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326"/>
      <c r="AX187" s="18"/>
      <c r="AY187" s="18"/>
      <c r="CJ187" s="347"/>
      <c r="CK187" s="347"/>
      <c r="CL187" s="347"/>
      <c r="CM187" s="347"/>
    </row>
    <row r="188" spans="2:91" x14ac:dyDescent="0.2">
      <c r="CJ188" s="347"/>
      <c r="CK188" s="347"/>
      <c r="CL188" s="347"/>
      <c r="CM188" s="34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86"/>
  <sheetViews>
    <sheetView zoomScale="80" zoomScaleNormal="80" workbookViewId="0">
      <pane xSplit="1" ySplit="1" topLeftCell="AR2" activePane="bottomRight" state="frozen"/>
      <selection pane="topRight" activeCell="B1" sqref="B1"/>
      <selection pane="bottomLeft" activeCell="A2" sqref="A2"/>
      <selection pane="bottomRight" activeCell="J17" sqref="J17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2" bestFit="1" customWidth="1"/>
    <col min="8" max="8" width="11.5703125" bestFit="1" customWidth="1"/>
    <col min="12" max="12" width="12.7109375" bestFit="1" customWidth="1"/>
    <col min="14" max="14" width="13.140625" bestFit="1" customWidth="1"/>
    <col min="16" max="16" width="12.7109375" bestFit="1" customWidth="1"/>
    <col min="18" max="18" width="12.140625" customWidth="1"/>
    <col min="20" max="20" width="12.5703125" customWidth="1"/>
    <col min="24" max="24" width="12.5703125" customWidth="1"/>
    <col min="28" max="28" width="12.140625" customWidth="1"/>
    <col min="30" max="30" width="12.28515625" customWidth="1"/>
    <col min="32" max="32" width="12.7109375" customWidth="1"/>
    <col min="38" max="38" width="12.140625" customWidth="1"/>
    <col min="40" max="40" width="12.7109375" customWidth="1"/>
    <col min="42" max="42" width="13.7109375" customWidth="1"/>
    <col min="44" max="44" width="12" customWidth="1"/>
    <col min="46" max="46" width="11.5703125" bestFit="1" customWidth="1"/>
    <col min="48" max="48" width="12.28515625" bestFit="1" customWidth="1"/>
    <col min="52" max="52" width="13.85546875" bestFit="1" customWidth="1"/>
    <col min="54" max="54" width="13.85546875" bestFit="1" customWidth="1"/>
  </cols>
  <sheetData>
    <row r="1" spans="1:92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spans="1:92" x14ac:dyDescent="0.25">
      <c r="A2" s="47"/>
      <c r="B2" s="2">
        <v>42767</v>
      </c>
      <c r="C2" s="55"/>
      <c r="D2" s="2">
        <v>42768</v>
      </c>
      <c r="E2" s="55"/>
      <c r="F2" s="2">
        <v>42797</v>
      </c>
      <c r="G2" s="55"/>
      <c r="H2" s="2">
        <v>42771</v>
      </c>
      <c r="I2" s="55"/>
      <c r="J2" s="2">
        <v>42772</v>
      </c>
      <c r="K2" s="55"/>
      <c r="L2" s="2">
        <v>42773</v>
      </c>
      <c r="M2" s="55"/>
      <c r="N2" s="2">
        <v>42774</v>
      </c>
      <c r="O2" s="55"/>
      <c r="P2" s="2">
        <v>42775</v>
      </c>
      <c r="Q2" s="55"/>
      <c r="R2" s="2">
        <v>42776</v>
      </c>
      <c r="S2" s="55"/>
      <c r="T2" s="2">
        <v>42411</v>
      </c>
      <c r="U2" s="55"/>
      <c r="V2" s="2">
        <v>42778</v>
      </c>
      <c r="W2" s="55"/>
      <c r="X2" s="2">
        <v>42779</v>
      </c>
      <c r="Y2" s="55"/>
      <c r="Z2" s="2">
        <v>42780</v>
      </c>
      <c r="AA2" s="55"/>
      <c r="AB2" s="2">
        <v>42781</v>
      </c>
      <c r="AC2" s="55"/>
      <c r="AD2" s="2">
        <v>42782</v>
      </c>
      <c r="AE2" s="55"/>
      <c r="AF2" s="2">
        <v>42783</v>
      </c>
      <c r="AG2" s="55"/>
      <c r="AH2" s="2">
        <v>42784</v>
      </c>
      <c r="AI2" s="55"/>
      <c r="AJ2" s="2">
        <v>42785</v>
      </c>
      <c r="AK2" s="55"/>
      <c r="AL2" s="2">
        <v>42786</v>
      </c>
      <c r="AM2" s="55"/>
      <c r="AN2" s="2">
        <v>42421</v>
      </c>
      <c r="AO2" s="55"/>
      <c r="AP2" s="2">
        <v>42788</v>
      </c>
      <c r="AQ2" s="55"/>
      <c r="AR2" s="2">
        <v>42789</v>
      </c>
      <c r="AS2" s="55"/>
      <c r="AT2" s="2">
        <v>42790</v>
      </c>
      <c r="AU2" s="55"/>
      <c r="AV2" s="2">
        <v>42791</v>
      </c>
      <c r="AW2" s="55"/>
      <c r="AX2" s="2">
        <v>42792</v>
      </c>
      <c r="AY2" s="55"/>
      <c r="AZ2" s="2">
        <v>42793</v>
      </c>
      <c r="BA2" s="55"/>
      <c r="BB2" s="2">
        <v>42794</v>
      </c>
      <c r="BC2" s="55"/>
      <c r="BD2" s="2"/>
      <c r="BE2" s="55"/>
      <c r="BF2" s="2"/>
      <c r="BG2" s="55"/>
      <c r="BH2" s="2"/>
      <c r="BI2" s="55"/>
      <c r="BJ2" s="2"/>
      <c r="BK2" s="55"/>
      <c r="BL2" s="2"/>
      <c r="BM2" s="55"/>
      <c r="BN2" s="2"/>
      <c r="BO2" s="55"/>
      <c r="BP2" s="2"/>
      <c r="BQ2" s="55"/>
      <c r="BR2" s="2"/>
      <c r="BS2" s="55"/>
      <c r="BT2" s="2"/>
      <c r="BU2" s="55"/>
      <c r="BV2" s="2"/>
      <c r="BW2" s="55"/>
      <c r="BX2" s="2"/>
      <c r="BY2" s="55"/>
      <c r="BZ2" s="2"/>
      <c r="CA2" s="55"/>
      <c r="CB2" s="2"/>
      <c r="CC2" s="55"/>
      <c r="CD2" s="2"/>
      <c r="CE2" s="55"/>
      <c r="CF2" s="2"/>
      <c r="CG2" s="55"/>
      <c r="CH2" s="2"/>
      <c r="CI2" s="55"/>
      <c r="CJ2" s="2"/>
      <c r="CK2" s="55"/>
      <c r="CL2" s="2"/>
      <c r="CM2" s="55"/>
      <c r="CN2" s="2"/>
    </row>
    <row r="3" spans="1:92" x14ac:dyDescent="0.25">
      <c r="A3" s="38" t="s">
        <v>0</v>
      </c>
      <c r="B3" s="3">
        <v>36700.33</v>
      </c>
      <c r="C3" s="60"/>
      <c r="D3" s="3">
        <v>54396.61</v>
      </c>
      <c r="E3" s="60"/>
      <c r="F3" s="3">
        <v>175108.05</v>
      </c>
      <c r="G3" s="60"/>
      <c r="H3" s="3">
        <v>78000</v>
      </c>
      <c r="I3" s="60"/>
      <c r="J3" s="3"/>
      <c r="K3" s="60"/>
      <c r="L3" s="3">
        <v>72899.02</v>
      </c>
      <c r="M3" s="60"/>
      <c r="N3" s="3">
        <v>106858.42</v>
      </c>
      <c r="O3" s="60"/>
      <c r="P3" s="3">
        <v>38725.96</v>
      </c>
      <c r="Q3" s="60"/>
      <c r="R3" s="3">
        <v>148524.23000000001</v>
      </c>
      <c r="S3" s="60"/>
      <c r="T3" s="3">
        <v>279160.58</v>
      </c>
      <c r="U3" s="60"/>
      <c r="V3" s="3">
        <v>42800</v>
      </c>
      <c r="W3" s="60"/>
      <c r="X3" s="3">
        <v>20868.29</v>
      </c>
      <c r="Y3" s="60"/>
      <c r="Z3" s="3">
        <v>5634.75</v>
      </c>
      <c r="AA3" s="60"/>
      <c r="AB3" s="3">
        <v>120041.21</v>
      </c>
      <c r="AC3" s="60"/>
      <c r="AD3" s="3">
        <v>35781.980000000003</v>
      </c>
      <c r="AE3" s="60"/>
      <c r="AF3" s="3">
        <v>18554.98</v>
      </c>
      <c r="AG3" s="60"/>
      <c r="AH3" s="3">
        <v>154532.24</v>
      </c>
      <c r="AI3" s="60"/>
      <c r="AJ3" s="3">
        <v>10000</v>
      </c>
      <c r="AK3" s="60"/>
      <c r="AL3" s="3">
        <v>119952.54</v>
      </c>
      <c r="AM3" s="60"/>
      <c r="AN3" s="3">
        <v>19421.71</v>
      </c>
      <c r="AO3" s="60"/>
      <c r="AP3" s="3">
        <v>24620.68</v>
      </c>
      <c r="AQ3" s="60"/>
      <c r="AR3" s="3">
        <v>101680.55</v>
      </c>
      <c r="AS3" s="60"/>
      <c r="AT3" s="3">
        <v>28514.82</v>
      </c>
      <c r="AU3" s="60"/>
      <c r="AV3" s="3">
        <v>205409.94</v>
      </c>
      <c r="AW3" s="60"/>
      <c r="AX3" s="3"/>
      <c r="AY3" s="60"/>
      <c r="AZ3" s="3">
        <v>131951.06</v>
      </c>
      <c r="BA3" s="60"/>
      <c r="BB3" s="3">
        <v>391137.77</v>
      </c>
      <c r="BC3" s="60"/>
      <c r="BD3" s="3"/>
      <c r="BE3" s="60"/>
      <c r="BF3" s="3"/>
      <c r="BG3" s="60"/>
      <c r="BH3" s="3"/>
      <c r="BI3" s="60"/>
      <c r="BJ3" s="3"/>
      <c r="BK3" s="60"/>
      <c r="BL3" s="3"/>
      <c r="BM3" s="60"/>
      <c r="BN3" s="3"/>
      <c r="BO3" s="60"/>
      <c r="BP3" s="3"/>
      <c r="BQ3" s="60"/>
      <c r="BR3" s="3"/>
      <c r="BS3" s="60"/>
      <c r="BT3" s="3"/>
      <c r="BU3" s="60"/>
      <c r="BV3" s="3"/>
      <c r="BW3" s="60"/>
      <c r="BX3" s="3"/>
      <c r="BY3" s="60"/>
      <c r="BZ3" s="3"/>
      <c r="CA3" s="60"/>
      <c r="CB3" s="3"/>
      <c r="CC3" s="60"/>
      <c r="CD3" s="3"/>
      <c r="CE3" s="60"/>
      <c r="CF3" s="3"/>
      <c r="CG3" s="60"/>
      <c r="CH3" s="3"/>
      <c r="CI3" s="60"/>
      <c r="CJ3" s="3"/>
      <c r="CK3" s="60"/>
      <c r="CL3" s="3"/>
      <c r="CM3" s="60"/>
      <c r="CN3" s="3"/>
    </row>
    <row r="4" spans="1:92" x14ac:dyDescent="0.25">
      <c r="A4" s="39"/>
      <c r="B4" s="5"/>
      <c r="C4" s="60"/>
      <c r="D4" s="5"/>
      <c r="E4" s="60"/>
      <c r="F4" s="5"/>
      <c r="G4" s="60"/>
      <c r="H4" s="5"/>
      <c r="I4" s="60"/>
      <c r="J4" s="5"/>
      <c r="K4" s="60"/>
      <c r="L4" s="5"/>
      <c r="M4" s="60"/>
      <c r="N4" s="5">
        <v>8695.76</v>
      </c>
      <c r="O4" s="60"/>
      <c r="P4" s="5">
        <v>17815.73</v>
      </c>
      <c r="Q4" s="60"/>
      <c r="R4" s="5">
        <v>9047.39</v>
      </c>
      <c r="S4" s="60"/>
      <c r="T4" s="5"/>
      <c r="U4" s="60"/>
      <c r="V4" s="5"/>
      <c r="W4" s="60"/>
      <c r="X4" s="5">
        <v>114052.85</v>
      </c>
      <c r="Y4" s="60"/>
      <c r="Z4" s="5">
        <v>41687.71</v>
      </c>
      <c r="AA4" s="60"/>
      <c r="AB4" s="5">
        <v>164111.75</v>
      </c>
      <c r="AC4" s="60"/>
      <c r="AD4" s="5">
        <v>53261.69</v>
      </c>
      <c r="AE4" s="60"/>
      <c r="AF4" s="5">
        <v>12236.99</v>
      </c>
      <c r="AG4" s="60"/>
      <c r="AH4" s="5"/>
      <c r="AI4" s="60"/>
      <c r="AJ4" s="5"/>
      <c r="AK4" s="60"/>
      <c r="AL4" s="5">
        <v>15465.77</v>
      </c>
      <c r="AM4" s="60"/>
      <c r="AN4" s="5">
        <v>436277.72</v>
      </c>
      <c r="AO4" s="60"/>
      <c r="AP4" s="5">
        <v>7838.99</v>
      </c>
      <c r="AQ4" s="60"/>
      <c r="AR4" s="5">
        <v>133574.48000000001</v>
      </c>
      <c r="AS4" s="60"/>
      <c r="AT4" s="5"/>
      <c r="AU4" s="60"/>
      <c r="AV4" s="5"/>
      <c r="AW4" s="60"/>
      <c r="AX4" s="5"/>
      <c r="AY4" s="60"/>
      <c r="AZ4" s="5"/>
      <c r="BA4" s="60"/>
      <c r="BB4" s="5"/>
      <c r="BC4" s="60"/>
      <c r="BD4" s="5"/>
      <c r="BE4" s="60"/>
      <c r="BF4" s="5"/>
      <c r="BG4" s="60"/>
      <c r="BH4" s="5"/>
      <c r="BI4" s="60"/>
      <c r="BJ4" s="5"/>
      <c r="BK4" s="60"/>
      <c r="BL4" s="5"/>
      <c r="BM4" s="60"/>
      <c r="BN4" s="5"/>
      <c r="BO4" s="60"/>
      <c r="BP4" s="5"/>
      <c r="BQ4" s="60"/>
      <c r="BR4" s="5"/>
      <c r="BS4" s="60"/>
      <c r="BT4" s="5"/>
      <c r="BU4" s="60"/>
      <c r="BV4" s="5"/>
      <c r="BW4" s="60"/>
      <c r="BX4" s="5"/>
      <c r="BY4" s="60"/>
      <c r="BZ4" s="5"/>
      <c r="CA4" s="60"/>
      <c r="CB4" s="5"/>
      <c r="CC4" s="60"/>
      <c r="CD4" s="5"/>
      <c r="CE4" s="60"/>
      <c r="CF4" s="5"/>
      <c r="CG4" s="60"/>
      <c r="CH4" s="5"/>
      <c r="CI4" s="60"/>
      <c r="CJ4" s="5"/>
      <c r="CK4" s="60"/>
      <c r="CL4" s="5"/>
      <c r="CM4" s="60"/>
      <c r="CN4" s="5"/>
    </row>
    <row r="5" spans="1:92" x14ac:dyDescent="0.25">
      <c r="A5" s="48"/>
      <c r="B5" s="6"/>
      <c r="C5" s="56"/>
      <c r="D5" s="6"/>
      <c r="E5" s="56"/>
      <c r="F5" s="6"/>
      <c r="G5" s="56"/>
      <c r="H5" s="6"/>
      <c r="I5" s="56"/>
      <c r="J5" s="6"/>
      <c r="K5" s="56"/>
      <c r="L5" s="6"/>
      <c r="M5" s="56"/>
      <c r="N5" s="6"/>
      <c r="O5" s="56"/>
      <c r="P5" s="6"/>
      <c r="Q5" s="56"/>
      <c r="R5" s="6"/>
      <c r="S5" s="56"/>
      <c r="T5" s="6"/>
      <c r="U5" s="56"/>
      <c r="V5" s="6"/>
      <c r="W5" s="56"/>
      <c r="X5" s="6"/>
      <c r="Y5" s="56"/>
      <c r="Z5" s="6"/>
      <c r="AA5" s="56"/>
      <c r="AB5" s="6"/>
      <c r="AC5" s="56"/>
      <c r="AD5" s="6"/>
      <c r="AE5" s="56"/>
      <c r="AF5" s="6"/>
      <c r="AG5" s="56"/>
      <c r="AH5" s="6"/>
      <c r="AI5" s="56"/>
      <c r="AJ5" s="6"/>
      <c r="AK5" s="56"/>
      <c r="AL5" s="6"/>
      <c r="AM5" s="56"/>
      <c r="AN5" s="6"/>
      <c r="AO5" s="56"/>
      <c r="AP5" s="6"/>
      <c r="AQ5" s="56"/>
      <c r="AR5" s="6"/>
      <c r="AS5" s="56"/>
      <c r="AT5" s="6"/>
      <c r="AU5" s="56"/>
      <c r="AV5" s="6"/>
      <c r="AW5" s="56"/>
      <c r="AX5" s="6"/>
      <c r="AY5" s="56"/>
      <c r="AZ5" s="6"/>
      <c r="BA5" s="56"/>
      <c r="BB5" s="6"/>
      <c r="BC5" s="56"/>
      <c r="BD5" s="6"/>
      <c r="BE5" s="56"/>
      <c r="BF5" s="6"/>
      <c r="BG5" s="56"/>
      <c r="BH5" s="6"/>
      <c r="BI5" s="56"/>
      <c r="BJ5" s="6"/>
      <c r="BK5" s="56"/>
      <c r="BL5" s="6"/>
      <c r="BM5" s="56"/>
      <c r="BN5" s="6"/>
      <c r="BO5" s="56"/>
      <c r="BP5" s="6"/>
      <c r="BQ5" s="56"/>
      <c r="BR5" s="6"/>
      <c r="BS5" s="56"/>
      <c r="BT5" s="6"/>
      <c r="BU5" s="56"/>
      <c r="BV5" s="6"/>
      <c r="BW5" s="56"/>
      <c r="BX5" s="6"/>
      <c r="BY5" s="56"/>
      <c r="BZ5" s="6"/>
      <c r="CA5" s="56"/>
      <c r="CB5" s="6"/>
      <c r="CC5" s="56"/>
      <c r="CD5" s="6"/>
      <c r="CE5" s="56"/>
      <c r="CF5" s="6"/>
      <c r="CG5" s="56"/>
      <c r="CH5" s="6"/>
      <c r="CI5" s="56"/>
      <c r="CJ5" s="6"/>
      <c r="CK5" s="56"/>
      <c r="CL5" s="6"/>
      <c r="CM5" s="56"/>
      <c r="CN5" s="6"/>
    </row>
    <row r="6" spans="1:92" x14ac:dyDescent="0.25">
      <c r="A6" s="41"/>
      <c r="B6" s="9"/>
      <c r="C6" s="15"/>
      <c r="D6" s="9"/>
      <c r="E6" s="15"/>
      <c r="F6" s="9"/>
      <c r="G6" s="15"/>
      <c r="H6" s="9"/>
      <c r="I6" s="15"/>
      <c r="J6" s="9"/>
      <c r="K6" s="15"/>
      <c r="L6" s="9"/>
      <c r="M6" s="15"/>
      <c r="N6" s="9"/>
      <c r="O6" s="15"/>
      <c r="P6" s="9"/>
      <c r="Q6" s="15"/>
      <c r="R6" s="9"/>
      <c r="S6" s="15"/>
      <c r="T6" s="9"/>
      <c r="U6" s="15"/>
      <c r="V6" s="9"/>
      <c r="W6" s="15"/>
      <c r="X6" s="9"/>
      <c r="Y6" s="15"/>
      <c r="Z6" s="9"/>
      <c r="AA6" s="15"/>
      <c r="AB6" s="72"/>
      <c r="AC6" s="86"/>
      <c r="AD6" s="72"/>
      <c r="AE6" s="15"/>
      <c r="AF6" s="9"/>
      <c r="AG6" s="15"/>
      <c r="AH6" s="72"/>
      <c r="AI6" s="15"/>
      <c r="AJ6" s="9"/>
      <c r="AK6" s="15"/>
      <c r="AL6" s="9"/>
      <c r="AM6" s="15"/>
      <c r="AN6" s="9"/>
      <c r="AO6" s="15"/>
      <c r="AP6" s="9"/>
      <c r="AQ6" s="15"/>
      <c r="AR6" s="72"/>
      <c r="AS6" s="24"/>
      <c r="AT6" s="9"/>
      <c r="AU6" s="15"/>
      <c r="AV6" s="9"/>
      <c r="AW6" s="15"/>
      <c r="AX6" s="9"/>
      <c r="AY6" s="15"/>
      <c r="AZ6" s="9"/>
      <c r="BA6" s="15"/>
      <c r="BB6" s="9"/>
      <c r="BC6" s="15"/>
      <c r="BD6" s="9"/>
      <c r="BE6" s="15"/>
      <c r="BF6" s="9"/>
      <c r="BG6" s="15"/>
      <c r="BH6" s="9"/>
      <c r="BI6" s="15"/>
      <c r="BJ6" s="9"/>
      <c r="BK6" s="15"/>
      <c r="BL6" s="9"/>
      <c r="BM6" s="15"/>
      <c r="BN6" s="9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</row>
    <row r="7" spans="1:92" x14ac:dyDescent="0.25">
      <c r="A7" s="41"/>
      <c r="B7" s="7">
        <v>1693.32</v>
      </c>
      <c r="C7" s="26" t="s">
        <v>1361</v>
      </c>
      <c r="D7" s="7">
        <v>5000</v>
      </c>
      <c r="E7" s="26" t="s">
        <v>1481</v>
      </c>
      <c r="F7" s="7">
        <v>18500</v>
      </c>
      <c r="G7" s="26" t="s">
        <v>1517</v>
      </c>
      <c r="H7" s="7">
        <v>78000</v>
      </c>
      <c r="I7" s="26" t="s">
        <v>1593</v>
      </c>
      <c r="J7" s="7"/>
      <c r="K7" s="26"/>
      <c r="L7" s="7">
        <v>40000</v>
      </c>
      <c r="M7" s="26" t="s">
        <v>1598</v>
      </c>
      <c r="N7" s="7">
        <v>80000</v>
      </c>
      <c r="O7" s="26" t="s">
        <v>1642</v>
      </c>
      <c r="P7" s="7">
        <v>5500</v>
      </c>
      <c r="Q7" s="26" t="s">
        <v>1693</v>
      </c>
      <c r="R7" s="7">
        <v>40000</v>
      </c>
      <c r="S7" s="26" t="s">
        <v>1725</v>
      </c>
      <c r="T7" s="7">
        <v>256000</v>
      </c>
      <c r="U7" s="26" t="s">
        <v>1764</v>
      </c>
      <c r="V7" s="7">
        <v>42800</v>
      </c>
      <c r="W7" s="26" t="s">
        <v>1810</v>
      </c>
      <c r="X7" s="7">
        <v>1500</v>
      </c>
      <c r="Y7" s="26" t="s">
        <v>1818</v>
      </c>
      <c r="Z7" s="7">
        <v>1387.3</v>
      </c>
      <c r="AA7" s="26" t="s">
        <v>1880</v>
      </c>
      <c r="AB7" s="87">
        <v>39134.97</v>
      </c>
      <c r="AC7" s="88" t="s">
        <v>1941</v>
      </c>
      <c r="AD7" s="87">
        <v>2000</v>
      </c>
      <c r="AE7" s="26" t="s">
        <v>1995</v>
      </c>
      <c r="AF7" s="7">
        <v>969</v>
      </c>
      <c r="AG7" s="26" t="s">
        <v>2044</v>
      </c>
      <c r="AH7" s="87">
        <v>142000</v>
      </c>
      <c r="AI7" s="26" t="s">
        <v>2100</v>
      </c>
      <c r="AJ7" s="7">
        <v>10000</v>
      </c>
      <c r="AK7" s="26" t="s">
        <v>2132</v>
      </c>
      <c r="AL7" s="7">
        <v>137.25</v>
      </c>
      <c r="AM7" s="26" t="s">
        <v>2133</v>
      </c>
      <c r="AN7" s="7">
        <v>4929.5200000000004</v>
      </c>
      <c r="AO7" s="26" t="s">
        <v>2192</v>
      </c>
      <c r="AP7" s="7">
        <v>666.84</v>
      </c>
      <c r="AQ7" s="26" t="s">
        <v>2242</v>
      </c>
      <c r="AR7" s="72">
        <v>4454.6400000000003</v>
      </c>
      <c r="AS7" s="24" t="s">
        <v>2296</v>
      </c>
      <c r="AT7" s="7">
        <v>10000</v>
      </c>
      <c r="AU7" s="26" t="s">
        <v>2319</v>
      </c>
      <c r="AV7" s="7">
        <v>1048.49</v>
      </c>
      <c r="AW7" s="26" t="s">
        <v>2362</v>
      </c>
      <c r="AX7" s="7"/>
      <c r="AY7" s="26"/>
      <c r="AZ7" s="7">
        <v>111.39</v>
      </c>
      <c r="BA7" s="26" t="s">
        <v>2440</v>
      </c>
      <c r="BB7" s="9">
        <v>2</v>
      </c>
      <c r="BC7" s="26" t="s">
        <v>2505</v>
      </c>
      <c r="BD7" s="9"/>
      <c r="BE7" s="26"/>
      <c r="BF7" s="7"/>
      <c r="BG7" s="26"/>
      <c r="BH7" s="7"/>
      <c r="BI7" s="26"/>
      <c r="BJ7" s="7"/>
      <c r="BK7" s="26"/>
      <c r="BL7" s="7"/>
      <c r="BM7" s="26"/>
      <c r="BN7" s="7"/>
      <c r="BO7" s="26"/>
      <c r="BP7" s="7"/>
      <c r="BQ7" s="26"/>
      <c r="BR7" s="7"/>
      <c r="BS7" s="26"/>
      <c r="BT7" s="7"/>
      <c r="BU7" s="26"/>
      <c r="BV7" s="7"/>
      <c r="BW7" s="26"/>
      <c r="BX7" s="7"/>
      <c r="BY7" s="26"/>
      <c r="BZ7" s="7"/>
      <c r="CA7" s="26"/>
      <c r="CB7" s="7"/>
      <c r="CC7" s="26"/>
      <c r="CD7" s="7"/>
      <c r="CE7" s="26"/>
      <c r="CF7" s="7"/>
      <c r="CG7" s="26"/>
      <c r="CH7" s="7"/>
      <c r="CI7" s="26"/>
      <c r="CJ7" s="7"/>
      <c r="CK7" s="26"/>
      <c r="CL7" s="7"/>
      <c r="CM7" s="26"/>
      <c r="CN7" s="7"/>
    </row>
    <row r="8" spans="1:92" x14ac:dyDescent="0.25">
      <c r="A8" s="41"/>
      <c r="B8" s="7">
        <v>6000</v>
      </c>
      <c r="C8" s="26" t="s">
        <v>1368</v>
      </c>
      <c r="D8" s="7">
        <v>258.39999999999998</v>
      </c>
      <c r="E8" s="26" t="s">
        <v>1484</v>
      </c>
      <c r="F8" s="7">
        <v>47832.959999999999</v>
      </c>
      <c r="G8" s="26" t="s">
        <v>1518</v>
      </c>
      <c r="H8" s="7"/>
      <c r="I8" s="26"/>
      <c r="J8" s="7"/>
      <c r="K8" s="26"/>
      <c r="L8" s="7">
        <v>4815.24</v>
      </c>
      <c r="M8" s="26" t="s">
        <v>1600</v>
      </c>
      <c r="N8" s="7">
        <v>69.48</v>
      </c>
      <c r="O8" s="26" t="s">
        <v>1647</v>
      </c>
      <c r="P8" s="7">
        <v>9334.7900000000009</v>
      </c>
      <c r="Q8" s="26" t="s">
        <v>1694</v>
      </c>
      <c r="R8" s="7">
        <v>1099.01</v>
      </c>
      <c r="S8" s="26" t="s">
        <v>1726</v>
      </c>
      <c r="T8" s="7">
        <v>788</v>
      </c>
      <c r="U8" s="26" t="s">
        <v>1766</v>
      </c>
      <c r="V8" s="7"/>
      <c r="W8" s="26"/>
      <c r="X8" s="7">
        <v>387.01</v>
      </c>
      <c r="Y8" s="26" t="s">
        <v>1823</v>
      </c>
      <c r="Z8" s="7">
        <v>1969.99</v>
      </c>
      <c r="AA8" s="26" t="s">
        <v>1881</v>
      </c>
      <c r="AB8" s="87">
        <v>207.29</v>
      </c>
      <c r="AC8" s="12" t="s">
        <v>1943</v>
      </c>
      <c r="AD8">
        <v>239</v>
      </c>
      <c r="AE8" t="s">
        <v>1998</v>
      </c>
      <c r="AF8" s="7">
        <v>3200</v>
      </c>
      <c r="AG8" s="26" t="s">
        <v>2053</v>
      </c>
      <c r="AH8" s="87">
        <v>6060.84</v>
      </c>
      <c r="AI8" s="26" t="s">
        <v>2104</v>
      </c>
      <c r="AJ8" s="7"/>
      <c r="AK8" s="26"/>
      <c r="AL8" s="7">
        <v>9.7100000000000009</v>
      </c>
      <c r="AM8" s="26" t="s">
        <v>2135</v>
      </c>
      <c r="AN8" s="7">
        <v>2900</v>
      </c>
      <c r="AO8" s="26" t="s">
        <v>2193</v>
      </c>
      <c r="AP8" s="7">
        <v>904.37</v>
      </c>
      <c r="AQ8" s="26" t="s">
        <v>2247</v>
      </c>
      <c r="AR8" s="7">
        <v>94047.58</v>
      </c>
      <c r="AS8" s="26" t="s">
        <v>2299</v>
      </c>
      <c r="AT8" s="7">
        <v>111.39</v>
      </c>
      <c r="AU8" s="26" t="s">
        <v>2321</v>
      </c>
      <c r="AV8" s="7">
        <v>10000</v>
      </c>
      <c r="AW8" s="26" t="s">
        <v>2363</v>
      </c>
      <c r="AX8" s="7"/>
      <c r="AY8" s="26"/>
      <c r="AZ8" s="7">
        <v>1279.33</v>
      </c>
      <c r="BA8" s="26" t="s">
        <v>2442</v>
      </c>
      <c r="BB8" s="9">
        <v>2719.61</v>
      </c>
      <c r="BC8" s="26" t="s">
        <v>2508</v>
      </c>
      <c r="BD8" s="9"/>
      <c r="BE8" s="26"/>
      <c r="BF8" s="7"/>
      <c r="BG8" s="26"/>
      <c r="BH8" s="7"/>
      <c r="BI8" s="26"/>
      <c r="BJ8" s="7"/>
      <c r="BK8" s="26"/>
      <c r="BL8" s="7"/>
      <c r="BM8" s="26"/>
      <c r="BN8" s="7"/>
      <c r="BO8" s="26"/>
      <c r="BP8" s="7"/>
      <c r="BQ8" s="26"/>
      <c r="BR8" s="7"/>
      <c r="BS8" s="26"/>
      <c r="BT8" s="7"/>
      <c r="BU8" s="26"/>
      <c r="BV8" s="7"/>
      <c r="BW8" s="26"/>
      <c r="BX8" s="7"/>
      <c r="BY8" s="26"/>
      <c r="BZ8" s="7"/>
      <c r="CA8" s="26"/>
      <c r="CB8" s="7"/>
      <c r="CC8" s="26"/>
      <c r="CD8" s="7"/>
      <c r="CE8" s="26"/>
      <c r="CF8" s="7"/>
      <c r="CG8" s="26"/>
      <c r="CH8" s="7"/>
      <c r="CI8" s="26"/>
      <c r="CJ8" s="7"/>
      <c r="CK8" s="26"/>
      <c r="CL8" s="7"/>
      <c r="CM8" s="26"/>
      <c r="CN8" s="7"/>
    </row>
    <row r="9" spans="1:92" x14ac:dyDescent="0.25">
      <c r="A9" s="41"/>
      <c r="B9" s="9">
        <v>1099.01</v>
      </c>
      <c r="C9" s="15" t="s">
        <v>1378</v>
      </c>
      <c r="D9" s="9">
        <v>600</v>
      </c>
      <c r="E9" s="15" t="s">
        <v>1485</v>
      </c>
      <c r="F9" s="9">
        <v>50000</v>
      </c>
      <c r="G9" s="15" t="s">
        <v>1519</v>
      </c>
      <c r="H9" s="9"/>
      <c r="I9" s="15"/>
      <c r="J9" s="9"/>
      <c r="K9" s="15"/>
      <c r="L9" s="9">
        <v>5000</v>
      </c>
      <c r="M9" s="15" t="s">
        <v>1603</v>
      </c>
      <c r="N9" s="9">
        <v>3500</v>
      </c>
      <c r="O9" s="15" t="s">
        <v>1649</v>
      </c>
      <c r="P9" s="9">
        <v>37.909999999999997</v>
      </c>
      <c r="Q9" s="15" t="s">
        <v>1695</v>
      </c>
      <c r="R9" s="9">
        <v>769.09</v>
      </c>
      <c r="S9" s="15" t="s">
        <v>1727</v>
      </c>
      <c r="T9" s="9">
        <v>2877.89</v>
      </c>
      <c r="U9" s="9" t="s">
        <v>1768</v>
      </c>
      <c r="V9" s="9"/>
      <c r="W9" s="15"/>
      <c r="X9" s="9">
        <v>497.45</v>
      </c>
      <c r="Y9" s="15" t="s">
        <v>1824</v>
      </c>
      <c r="Z9" s="9">
        <v>1099.01</v>
      </c>
      <c r="AA9" s="15" t="s">
        <v>1882</v>
      </c>
      <c r="AB9" s="72">
        <v>2950.24</v>
      </c>
      <c r="AC9" s="86" t="s">
        <v>1948</v>
      </c>
      <c r="AD9" s="72">
        <v>7124.64</v>
      </c>
      <c r="AE9" s="15" t="s">
        <v>1999</v>
      </c>
      <c r="AF9" s="9">
        <v>54.36</v>
      </c>
      <c r="AG9" s="15" t="s">
        <v>2057</v>
      </c>
      <c r="AH9" s="72">
        <v>29.49</v>
      </c>
      <c r="AI9" s="15" t="s">
        <v>2106</v>
      </c>
      <c r="AJ9" s="9"/>
      <c r="AK9" s="15"/>
      <c r="AL9" s="9">
        <v>1</v>
      </c>
      <c r="AM9" s="15" t="s">
        <v>2136</v>
      </c>
      <c r="AN9" s="9">
        <v>200</v>
      </c>
      <c r="AO9" s="15" t="s">
        <v>2195</v>
      </c>
      <c r="AP9" s="9">
        <v>1301.52</v>
      </c>
      <c r="AQ9" s="15" t="s">
        <v>2248</v>
      </c>
      <c r="AR9" s="9">
        <v>100</v>
      </c>
      <c r="AS9" s="15" t="s">
        <v>2300</v>
      </c>
      <c r="AT9" s="9">
        <v>5000</v>
      </c>
      <c r="AU9" s="15" t="s">
        <v>2322</v>
      </c>
      <c r="AV9" s="9">
        <v>3674.11</v>
      </c>
      <c r="AW9" s="15" t="s">
        <v>2364</v>
      </c>
      <c r="AX9" s="9"/>
      <c r="AY9" s="15"/>
      <c r="AZ9" s="9">
        <v>1968.74</v>
      </c>
      <c r="BA9" s="15" t="s">
        <v>2443</v>
      </c>
      <c r="BB9" s="72">
        <v>256000</v>
      </c>
      <c r="BC9" s="24" t="s">
        <v>2517</v>
      </c>
      <c r="BD9" s="9"/>
      <c r="BE9" s="15"/>
      <c r="BF9" s="9"/>
      <c r="BG9" s="15"/>
      <c r="BH9" s="9"/>
      <c r="BI9" s="15"/>
      <c r="BJ9" s="9"/>
      <c r="BK9" s="15"/>
      <c r="BL9" s="9"/>
      <c r="BM9" s="15"/>
      <c r="BN9" s="9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</row>
    <row r="10" spans="1:92" x14ac:dyDescent="0.25">
      <c r="A10" s="41"/>
      <c r="B10" s="7">
        <v>1970</v>
      </c>
      <c r="C10" s="26" t="s">
        <v>1379</v>
      </c>
      <c r="D10" s="7">
        <v>10000</v>
      </c>
      <c r="E10" s="26" t="s">
        <v>1486</v>
      </c>
      <c r="F10" s="7">
        <v>217.43</v>
      </c>
      <c r="G10" s="26" t="s">
        <v>1523</v>
      </c>
      <c r="H10" s="7"/>
      <c r="I10" s="26"/>
      <c r="J10" s="7"/>
      <c r="K10" s="26"/>
      <c r="L10" s="7">
        <v>175</v>
      </c>
      <c r="M10" s="26" t="s">
        <v>1604</v>
      </c>
      <c r="N10" s="7">
        <v>232</v>
      </c>
      <c r="O10" s="26" t="s">
        <v>1655</v>
      </c>
      <c r="P10" s="7">
        <v>5000</v>
      </c>
      <c r="Q10" s="26" t="s">
        <v>1696</v>
      </c>
      <c r="R10" s="7">
        <v>100000</v>
      </c>
      <c r="S10" s="26" t="s">
        <v>1728</v>
      </c>
      <c r="T10" s="7">
        <v>170</v>
      </c>
      <c r="U10" s="26" t="s">
        <v>1770</v>
      </c>
      <c r="V10" s="7"/>
      <c r="W10" s="26"/>
      <c r="X10" s="7">
        <v>1780.6</v>
      </c>
      <c r="Y10" s="26" t="s">
        <v>1827</v>
      </c>
      <c r="Z10" s="7">
        <v>1099.01</v>
      </c>
      <c r="AA10" s="26" t="s">
        <v>1884</v>
      </c>
      <c r="AB10" s="87">
        <v>118.29</v>
      </c>
      <c r="AC10" s="88" t="s">
        <v>1950</v>
      </c>
      <c r="AD10" s="87">
        <v>1576.37</v>
      </c>
      <c r="AE10" s="26" t="s">
        <v>2001</v>
      </c>
      <c r="AF10" s="7">
        <v>163.66</v>
      </c>
      <c r="AG10" s="26" t="s">
        <v>2058</v>
      </c>
      <c r="AH10" s="87">
        <v>200.59</v>
      </c>
      <c r="AI10" s="26" t="s">
        <v>2107</v>
      </c>
      <c r="AJ10" s="7"/>
      <c r="AK10" s="26"/>
      <c r="AL10" s="7">
        <v>55000</v>
      </c>
      <c r="AM10" s="26" t="s">
        <v>2137</v>
      </c>
      <c r="AN10" s="7">
        <v>243.86</v>
      </c>
      <c r="AO10" s="26" t="s">
        <v>2198</v>
      </c>
      <c r="AP10" s="7">
        <v>4064.59</v>
      </c>
      <c r="AQ10" s="26" t="s">
        <v>2251</v>
      </c>
      <c r="AR10" s="7">
        <v>1099.01</v>
      </c>
      <c r="AS10" s="26" t="s">
        <v>2307</v>
      </c>
      <c r="AT10" s="7">
        <v>1099</v>
      </c>
      <c r="AU10" s="26" t="s">
        <v>2335</v>
      </c>
      <c r="AV10" s="7">
        <v>5000</v>
      </c>
      <c r="AW10" s="26" t="s">
        <v>2365</v>
      </c>
      <c r="AX10" s="7"/>
      <c r="AY10" s="26"/>
      <c r="AZ10" s="7">
        <v>7900</v>
      </c>
      <c r="BA10" s="26" t="s">
        <v>2448</v>
      </c>
      <c r="BB10" s="9">
        <v>45000</v>
      </c>
      <c r="BC10" s="26" t="s">
        <v>2519</v>
      </c>
      <c r="BD10" s="9"/>
      <c r="BE10" s="26"/>
      <c r="BF10" s="7"/>
      <c r="BG10" s="26"/>
      <c r="BH10" s="7"/>
      <c r="BI10" s="26"/>
      <c r="BJ10" s="7"/>
      <c r="BK10" s="26"/>
      <c r="BL10" s="7"/>
      <c r="BM10" s="26"/>
      <c r="BN10" s="7"/>
      <c r="BO10" s="26"/>
      <c r="BP10" s="7"/>
      <c r="BQ10" s="26"/>
      <c r="BR10" s="7"/>
      <c r="BS10" s="26"/>
      <c r="BT10" s="7"/>
      <c r="BU10" s="26"/>
      <c r="BV10" s="7"/>
      <c r="BW10" s="26"/>
      <c r="BX10" s="7"/>
      <c r="BY10" s="26"/>
      <c r="BZ10" s="7"/>
      <c r="CA10" s="26"/>
      <c r="CB10" s="7"/>
      <c r="CC10" s="26"/>
      <c r="CD10" s="7"/>
      <c r="CE10" s="26"/>
      <c r="CF10" s="7"/>
      <c r="CG10" s="26"/>
      <c r="CH10" s="7"/>
      <c r="CI10" s="26"/>
      <c r="CJ10" s="7"/>
      <c r="CK10" s="26"/>
      <c r="CL10" s="7"/>
      <c r="CM10" s="26"/>
      <c r="CN10" s="7"/>
    </row>
    <row r="11" spans="1:92" x14ac:dyDescent="0.25">
      <c r="A11" s="41"/>
      <c r="B11" s="7">
        <v>700</v>
      </c>
      <c r="C11" s="26" t="s">
        <v>1380</v>
      </c>
      <c r="D11" s="7">
        <v>15000</v>
      </c>
      <c r="E11" s="7" t="s">
        <v>1487</v>
      </c>
      <c r="F11" s="7">
        <v>459.36</v>
      </c>
      <c r="G11" s="26" t="s">
        <v>1525</v>
      </c>
      <c r="H11" s="7"/>
      <c r="I11" s="26"/>
      <c r="J11" s="7"/>
      <c r="K11" s="26"/>
      <c r="L11" s="7">
        <v>470.46</v>
      </c>
      <c r="M11" s="26" t="s">
        <v>1605</v>
      </c>
      <c r="N11" s="7">
        <v>1099.01</v>
      </c>
      <c r="O11" s="26" t="s">
        <v>1656</v>
      </c>
      <c r="P11" s="7">
        <v>1099.01</v>
      </c>
      <c r="Q11" s="26" t="s">
        <v>1702</v>
      </c>
      <c r="R11" s="7">
        <v>928</v>
      </c>
      <c r="S11" s="26" t="s">
        <v>1735</v>
      </c>
      <c r="T11" s="7">
        <v>1343.44</v>
      </c>
      <c r="U11" s="26" t="s">
        <v>1771</v>
      </c>
      <c r="V11" s="7"/>
      <c r="W11" s="26"/>
      <c r="X11" s="7">
        <v>900</v>
      </c>
      <c r="Y11" s="26" t="s">
        <v>1829</v>
      </c>
      <c r="Z11" s="7">
        <v>79.44</v>
      </c>
      <c r="AA11" s="26" t="s">
        <v>1887</v>
      </c>
      <c r="AB11" s="87">
        <v>5000</v>
      </c>
      <c r="AC11" s="86" t="s">
        <v>1952</v>
      </c>
      <c r="AD11" s="87">
        <v>7091.58</v>
      </c>
      <c r="AE11" s="26" t="s">
        <v>2003</v>
      </c>
      <c r="AF11" s="7">
        <v>1970</v>
      </c>
      <c r="AG11" s="26" t="s">
        <v>2069</v>
      </c>
      <c r="AH11" s="87">
        <v>208.8</v>
      </c>
      <c r="AI11" s="26" t="s">
        <v>2108</v>
      </c>
      <c r="AJ11" s="7"/>
      <c r="AK11" s="26"/>
      <c r="AL11" s="7">
        <v>1099</v>
      </c>
      <c r="AM11" s="26" t="s">
        <v>2144</v>
      </c>
      <c r="AN11" s="7">
        <v>250</v>
      </c>
      <c r="AO11" s="26" t="s">
        <v>2202</v>
      </c>
      <c r="AP11" s="9">
        <v>1099.01</v>
      </c>
      <c r="AQ11" s="15" t="s">
        <v>2253</v>
      </c>
      <c r="AR11" s="7">
        <v>1099.01</v>
      </c>
      <c r="AS11" s="26" t="s">
        <v>2309</v>
      </c>
      <c r="AT11" s="7">
        <v>1970</v>
      </c>
      <c r="AU11" s="26" t="s">
        <v>2337</v>
      </c>
      <c r="AV11" s="7">
        <v>160000</v>
      </c>
      <c r="AW11" s="26" t="s">
        <v>2366</v>
      </c>
      <c r="AX11" s="7"/>
      <c r="AY11" s="26"/>
      <c r="AZ11" s="9">
        <v>49.79</v>
      </c>
      <c r="BA11" s="15" t="s">
        <v>2452</v>
      </c>
      <c r="BB11" s="9">
        <v>45000</v>
      </c>
      <c r="BC11" s="26" t="s">
        <v>2522</v>
      </c>
      <c r="BD11" s="9"/>
      <c r="BE11" s="26"/>
      <c r="BF11" s="7"/>
      <c r="BG11" s="26"/>
      <c r="BH11" s="7"/>
      <c r="BI11" s="26"/>
      <c r="BJ11" s="7"/>
      <c r="BK11" s="26"/>
      <c r="BL11" s="7"/>
      <c r="BM11" s="26"/>
      <c r="BN11" s="7"/>
      <c r="BO11" s="26"/>
      <c r="BP11" s="7"/>
      <c r="BQ11" s="26"/>
      <c r="BR11" s="7"/>
      <c r="BS11" s="26"/>
      <c r="BT11" s="7"/>
      <c r="BU11" s="26"/>
      <c r="BV11" s="7"/>
      <c r="BW11" s="26"/>
      <c r="BX11" s="7"/>
      <c r="BY11" s="26"/>
      <c r="BZ11" s="7"/>
      <c r="CA11" s="26"/>
      <c r="CB11" s="7"/>
      <c r="CC11" s="26"/>
      <c r="CD11" s="7"/>
      <c r="CE11" s="26"/>
      <c r="CF11" s="7"/>
      <c r="CG11" s="26"/>
      <c r="CH11" s="7"/>
      <c r="CI11" s="26"/>
      <c r="CJ11" s="7"/>
      <c r="CK11" s="26"/>
      <c r="CL11" s="7"/>
      <c r="CM11" s="26"/>
      <c r="CN11" s="7"/>
    </row>
    <row r="12" spans="1:92" x14ac:dyDescent="0.25">
      <c r="A12" s="41"/>
      <c r="B12" s="9">
        <v>1699.01</v>
      </c>
      <c r="C12" s="15" t="s">
        <v>1383</v>
      </c>
      <c r="D12" s="9">
        <v>3422.99</v>
      </c>
      <c r="E12" s="15" t="s">
        <v>1491</v>
      </c>
      <c r="F12" s="9">
        <v>394.48</v>
      </c>
      <c r="G12" s="15" t="s">
        <v>1526</v>
      </c>
      <c r="H12" s="9"/>
      <c r="I12" s="15"/>
      <c r="J12" s="9"/>
      <c r="K12" s="15"/>
      <c r="L12" s="9">
        <v>11464.95</v>
      </c>
      <c r="M12" s="15" t="s">
        <v>1606</v>
      </c>
      <c r="N12" s="9">
        <v>1969.99</v>
      </c>
      <c r="O12" s="15" t="s">
        <v>1659</v>
      </c>
      <c r="P12" s="9">
        <v>52.2</v>
      </c>
      <c r="Q12" s="15" t="s">
        <v>1704</v>
      </c>
      <c r="R12" s="9">
        <v>1995</v>
      </c>
      <c r="S12" s="15" t="s">
        <v>1738</v>
      </c>
      <c r="T12" s="9">
        <v>741.16</v>
      </c>
      <c r="U12" s="15" t="s">
        <v>1777</v>
      </c>
      <c r="V12" s="9"/>
      <c r="W12" s="15"/>
      <c r="X12" s="9">
        <v>345.48</v>
      </c>
      <c r="Y12" s="15" t="s">
        <v>1833</v>
      </c>
      <c r="AB12" s="72">
        <v>7500</v>
      </c>
      <c r="AC12" s="88" t="s">
        <v>1953</v>
      </c>
      <c r="AD12" s="72">
        <v>3739.96</v>
      </c>
      <c r="AE12" s="15" t="s">
        <v>2004</v>
      </c>
      <c r="AF12" s="9">
        <v>3250</v>
      </c>
      <c r="AG12" s="15" t="s">
        <v>2075</v>
      </c>
      <c r="AH12" s="72">
        <f>1303.29-839.29</f>
        <v>464</v>
      </c>
      <c r="AI12" s="15" t="s">
        <v>2112</v>
      </c>
      <c r="AJ12" s="9"/>
      <c r="AK12" s="15"/>
      <c r="AL12" s="9">
        <v>500</v>
      </c>
      <c r="AM12" s="15" t="s">
        <v>2146</v>
      </c>
      <c r="AN12" s="9">
        <v>4395.01</v>
      </c>
      <c r="AO12" s="15" t="s">
        <v>2203</v>
      </c>
      <c r="AP12" s="9">
        <v>1969.99</v>
      </c>
      <c r="AQ12" s="15" t="s">
        <v>2259</v>
      </c>
      <c r="AR12" s="9">
        <v>102.4</v>
      </c>
      <c r="AS12" s="15" t="s">
        <v>2311</v>
      </c>
      <c r="AT12" s="9">
        <v>504.99</v>
      </c>
      <c r="AU12" s="15" t="s">
        <v>2340</v>
      </c>
      <c r="AV12" s="9">
        <v>7977.75</v>
      </c>
      <c r="AW12" s="15" t="s">
        <v>2371</v>
      </c>
      <c r="AX12" s="9"/>
      <c r="AY12" s="15"/>
      <c r="AZ12" s="9">
        <v>100</v>
      </c>
      <c r="BA12" s="15" t="s">
        <v>2454</v>
      </c>
      <c r="BB12" s="9">
        <v>13264.12</v>
      </c>
      <c r="BC12" s="15" t="s">
        <v>2533</v>
      </c>
      <c r="BD12" s="9"/>
      <c r="BE12" s="15"/>
      <c r="BF12" s="9"/>
      <c r="BG12" s="15"/>
      <c r="BH12" s="9"/>
      <c r="BI12" s="15"/>
      <c r="BJ12" s="9"/>
      <c r="BK12" s="15"/>
      <c r="BL12" s="9"/>
      <c r="BM12" s="15"/>
      <c r="BN12" s="9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</row>
    <row r="13" spans="1:92" x14ac:dyDescent="0.25">
      <c r="A13" s="41"/>
      <c r="B13" s="9">
        <v>1099.01</v>
      </c>
      <c r="C13" s="15" t="s">
        <v>1384</v>
      </c>
      <c r="D13" s="9">
        <v>5229.63</v>
      </c>
      <c r="E13" s="15" t="s">
        <v>1492</v>
      </c>
      <c r="F13" s="9">
        <v>322.7</v>
      </c>
      <c r="G13" s="15" t="s">
        <v>1533</v>
      </c>
      <c r="H13" s="9"/>
      <c r="I13" s="15"/>
      <c r="J13" s="9"/>
      <c r="K13" s="15"/>
      <c r="L13" s="9">
        <v>586.65</v>
      </c>
      <c r="M13" s="15" t="s">
        <v>1608</v>
      </c>
      <c r="N13" s="9">
        <v>1099.01</v>
      </c>
      <c r="O13" s="15" t="s">
        <v>1660</v>
      </c>
      <c r="P13" s="9">
        <v>3250</v>
      </c>
      <c r="Q13" s="15" t="s">
        <v>1705</v>
      </c>
      <c r="R13" s="9">
        <v>1099.01</v>
      </c>
      <c r="S13" s="15" t="s">
        <v>1740</v>
      </c>
      <c r="T13" s="9">
        <v>1970</v>
      </c>
      <c r="U13" s="15" t="s">
        <v>1778</v>
      </c>
      <c r="V13" s="9"/>
      <c r="W13" s="15"/>
      <c r="X13" s="9">
        <v>2282.0700000000002</v>
      </c>
      <c r="Y13" s="15" t="s">
        <v>1834</v>
      </c>
      <c r="Z13" s="9"/>
      <c r="AA13" s="15"/>
      <c r="AB13" s="72">
        <v>50000</v>
      </c>
      <c r="AC13" s="86" t="s">
        <v>1955</v>
      </c>
      <c r="AD13" s="72">
        <v>233.97</v>
      </c>
      <c r="AE13" s="15" t="s">
        <v>2010</v>
      </c>
      <c r="AF13" s="9">
        <v>1969.99</v>
      </c>
      <c r="AG13" s="15" t="s">
        <v>2079</v>
      </c>
      <c r="AH13" s="72">
        <v>52.2</v>
      </c>
      <c r="AI13" s="15" t="s">
        <v>2113</v>
      </c>
      <c r="AJ13" s="9"/>
      <c r="AK13" s="15"/>
      <c r="AL13" s="9">
        <v>50000</v>
      </c>
      <c r="AM13" s="15" t="s">
        <v>2147</v>
      </c>
      <c r="AN13" s="9">
        <v>1099.01</v>
      </c>
      <c r="AO13" s="15" t="s">
        <v>2199</v>
      </c>
      <c r="AP13" s="7">
        <v>1967.01</v>
      </c>
      <c r="AQ13" s="26" t="s">
        <v>2263</v>
      </c>
      <c r="AR13" s="9">
        <v>777.91</v>
      </c>
      <c r="AS13" s="15" t="s">
        <v>2314</v>
      </c>
      <c r="AT13" s="9">
        <v>1099.01</v>
      </c>
      <c r="AU13" s="15" t="s">
        <v>2341</v>
      </c>
      <c r="AV13" s="9">
        <v>4395.01</v>
      </c>
      <c r="AW13" s="15" t="s">
        <v>2374</v>
      </c>
      <c r="AX13" s="9"/>
      <c r="AY13" s="15"/>
      <c r="AZ13" s="9">
        <v>10526.3</v>
      </c>
      <c r="BA13" s="15" t="s">
        <v>2456</v>
      </c>
      <c r="BB13" s="9">
        <v>4395.01</v>
      </c>
      <c r="BC13" s="15" t="s">
        <v>2535</v>
      </c>
      <c r="BD13" s="9"/>
      <c r="BE13" s="15"/>
      <c r="BF13" s="9"/>
      <c r="BG13" s="15"/>
      <c r="BH13" s="9"/>
      <c r="BI13" s="15"/>
      <c r="BJ13" s="9"/>
      <c r="BK13" s="15"/>
      <c r="BL13" s="9"/>
      <c r="BM13" s="15"/>
      <c r="BN13" s="9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</row>
    <row r="14" spans="1:92" x14ac:dyDescent="0.25">
      <c r="A14" s="41"/>
      <c r="B14" s="7">
        <v>4640</v>
      </c>
      <c r="C14" s="26" t="s">
        <v>1386</v>
      </c>
      <c r="D14" s="7">
        <v>52.2</v>
      </c>
      <c r="E14" s="26" t="s">
        <v>1493</v>
      </c>
      <c r="F14" s="7">
        <v>839.29</v>
      </c>
      <c r="G14" s="26" t="s">
        <v>1534</v>
      </c>
      <c r="H14" s="7"/>
      <c r="I14" s="26"/>
      <c r="J14" s="7"/>
      <c r="K14" s="26"/>
      <c r="L14" s="7">
        <v>1099.01</v>
      </c>
      <c r="M14" s="26" t="s">
        <v>1615</v>
      </c>
      <c r="N14" s="7">
        <v>5065</v>
      </c>
      <c r="O14" s="26" t="s">
        <v>1663</v>
      </c>
      <c r="P14" s="7">
        <v>3250</v>
      </c>
      <c r="Q14" s="26" t="s">
        <v>1706</v>
      </c>
      <c r="R14" s="7">
        <v>1099.01</v>
      </c>
      <c r="S14" s="26" t="s">
        <v>1741</v>
      </c>
      <c r="T14" s="7">
        <v>1099</v>
      </c>
      <c r="U14" s="26" t="s">
        <v>1783</v>
      </c>
      <c r="V14" s="7"/>
      <c r="W14" s="26"/>
      <c r="X14" s="7">
        <v>1479.01</v>
      </c>
      <c r="Y14" s="26" t="s">
        <v>1839</v>
      </c>
      <c r="Z14" s="9">
        <v>20000</v>
      </c>
      <c r="AA14" s="15" t="s">
        <v>1905</v>
      </c>
      <c r="AB14" s="87">
        <v>3200</v>
      </c>
      <c r="AC14" s="86" t="s">
        <v>1956</v>
      </c>
      <c r="AD14" s="87">
        <v>4695.01</v>
      </c>
      <c r="AE14" s="26" t="s">
        <v>2014</v>
      </c>
      <c r="AF14" s="7">
        <v>4395</v>
      </c>
      <c r="AG14" s="26" t="s">
        <v>2081</v>
      </c>
      <c r="AH14" s="87">
        <v>4146</v>
      </c>
      <c r="AI14" s="26" t="s">
        <v>2122</v>
      </c>
      <c r="AJ14" s="7"/>
      <c r="AK14" s="26"/>
      <c r="AL14" s="7">
        <v>367.87</v>
      </c>
      <c r="AM14" s="26" t="s">
        <v>2149</v>
      </c>
      <c r="AN14" s="7">
        <v>2560.65</v>
      </c>
      <c r="AO14" s="26" t="s">
        <v>2197</v>
      </c>
      <c r="AP14" s="7">
        <v>2765</v>
      </c>
      <c r="AQ14" s="26" t="s">
        <v>2264</v>
      </c>
      <c r="AR14" s="7"/>
      <c r="AS14" s="26"/>
      <c r="AT14" s="7">
        <v>1099.01</v>
      </c>
      <c r="AU14" s="26" t="s">
        <v>2345</v>
      </c>
      <c r="AV14" s="7">
        <v>1099.01</v>
      </c>
      <c r="AW14" s="26" t="s">
        <v>2377</v>
      </c>
      <c r="AX14" s="7"/>
      <c r="AY14" s="26"/>
      <c r="AZ14" s="9">
        <v>3500</v>
      </c>
      <c r="BA14" s="15" t="s">
        <v>2457</v>
      </c>
      <c r="BB14" s="9">
        <v>208.8</v>
      </c>
      <c r="BC14" s="26" t="s">
        <v>2538</v>
      </c>
      <c r="BD14" s="9"/>
      <c r="BE14" s="26"/>
      <c r="BF14" s="7"/>
      <c r="BG14" s="26"/>
      <c r="BH14" s="7"/>
      <c r="BI14" s="26"/>
      <c r="BJ14" s="7"/>
      <c r="BK14" s="26"/>
      <c r="BL14" s="7"/>
      <c r="BM14" s="26"/>
      <c r="BN14" s="7"/>
      <c r="BO14" s="26"/>
      <c r="BP14" s="7"/>
      <c r="BQ14" s="26"/>
      <c r="BR14" s="7"/>
      <c r="BS14" s="26"/>
      <c r="BT14" s="7"/>
      <c r="BU14" s="26"/>
      <c r="BV14" s="7"/>
      <c r="BW14" s="26"/>
      <c r="BX14" s="7"/>
      <c r="BY14" s="26"/>
      <c r="BZ14" s="7"/>
      <c r="CA14" s="26"/>
      <c r="CB14" s="7"/>
      <c r="CC14" s="26"/>
      <c r="CD14" s="7"/>
      <c r="CE14" s="26"/>
      <c r="CF14" s="7"/>
      <c r="CG14" s="26"/>
      <c r="CH14" s="7"/>
      <c r="CI14" s="26"/>
      <c r="CJ14" s="7"/>
      <c r="CK14" s="26"/>
      <c r="CL14" s="7"/>
      <c r="CM14" s="26"/>
      <c r="CN14" s="7"/>
    </row>
    <row r="15" spans="1:92" x14ac:dyDescent="0.25">
      <c r="A15" s="41"/>
      <c r="B15" s="7">
        <v>2350</v>
      </c>
      <c r="C15" s="26" t="s">
        <v>1388</v>
      </c>
      <c r="D15" s="7">
        <v>1970</v>
      </c>
      <c r="E15" s="26" t="s">
        <v>1496</v>
      </c>
      <c r="F15" s="7">
        <v>887</v>
      </c>
      <c r="G15" s="26" t="s">
        <v>1535</v>
      </c>
      <c r="H15" s="7"/>
      <c r="I15" s="26"/>
      <c r="J15" s="7"/>
      <c r="K15" s="26"/>
      <c r="L15" s="7">
        <v>1969.99</v>
      </c>
      <c r="M15" s="26" t="s">
        <v>1616</v>
      </c>
      <c r="N15" s="7">
        <v>3250</v>
      </c>
      <c r="O15" s="26" t="s">
        <v>1665</v>
      </c>
      <c r="P15" s="7">
        <v>1099.01</v>
      </c>
      <c r="Q15" s="26" t="s">
        <v>1708</v>
      </c>
      <c r="R15" s="7">
        <v>961.59</v>
      </c>
      <c r="S15" s="26" t="s">
        <v>1744</v>
      </c>
      <c r="T15" s="7">
        <v>1796</v>
      </c>
      <c r="U15" s="26" t="s">
        <v>1788</v>
      </c>
      <c r="V15" s="7"/>
      <c r="W15" s="26"/>
      <c r="X15" s="7">
        <v>4360.01</v>
      </c>
      <c r="Y15" s="26" t="s">
        <v>1840</v>
      </c>
      <c r="Z15" s="9">
        <v>5000</v>
      </c>
      <c r="AA15" s="15" t="s">
        <v>1912</v>
      </c>
      <c r="AB15" s="87">
        <v>332.85</v>
      </c>
      <c r="AC15" s="88" t="s">
        <v>1961</v>
      </c>
      <c r="AD15" s="87">
        <v>1995</v>
      </c>
      <c r="AE15" s="26" t="s">
        <v>2015</v>
      </c>
      <c r="AF15" s="7">
        <v>1399.01</v>
      </c>
      <c r="AG15" s="26" t="s">
        <v>2082</v>
      </c>
      <c r="AH15" s="87">
        <v>82.93</v>
      </c>
      <c r="AI15" s="26" t="s">
        <v>2128</v>
      </c>
      <c r="AJ15" s="7"/>
      <c r="AK15" s="26"/>
      <c r="AL15" s="7">
        <v>1994.99</v>
      </c>
      <c r="AM15" s="26" t="s">
        <v>2153</v>
      </c>
      <c r="AN15" s="7">
        <v>593.66</v>
      </c>
      <c r="AO15" s="26" t="s">
        <v>2200</v>
      </c>
      <c r="AP15" s="7">
        <v>1099.01</v>
      </c>
      <c r="AQ15" s="26" t="s">
        <v>2246</v>
      </c>
      <c r="AR15" s="7"/>
      <c r="AS15" s="26"/>
      <c r="AT15" s="7">
        <v>1970</v>
      </c>
      <c r="AU15" s="26" t="s">
        <v>2349</v>
      </c>
      <c r="AV15" s="7">
        <v>575.36</v>
      </c>
      <c r="AW15" s="26" t="s">
        <v>2378</v>
      </c>
      <c r="AX15" s="7"/>
      <c r="AY15" s="26"/>
      <c r="AZ15" s="9">
        <v>20000</v>
      </c>
      <c r="BA15" s="15" t="s">
        <v>2459</v>
      </c>
      <c r="BB15" s="9">
        <v>1099.01</v>
      </c>
      <c r="BC15" s="26" t="s">
        <v>2539</v>
      </c>
      <c r="BD15" s="9"/>
      <c r="BE15" s="26"/>
      <c r="BF15" s="7"/>
      <c r="BG15" s="26"/>
      <c r="BH15" s="7"/>
      <c r="BI15" s="26"/>
      <c r="BJ15" s="7"/>
      <c r="BK15" s="26"/>
      <c r="BL15" s="7"/>
      <c r="BM15" s="26"/>
      <c r="BN15" s="7"/>
      <c r="BO15" s="26"/>
      <c r="BP15" s="7"/>
      <c r="BQ15" s="26"/>
      <c r="BR15" s="7"/>
      <c r="BS15" s="26"/>
      <c r="BT15" s="7"/>
      <c r="BU15" s="26"/>
      <c r="BV15" s="7"/>
      <c r="BW15" s="26"/>
      <c r="BX15" s="7"/>
      <c r="BY15" s="26"/>
      <c r="BZ15" s="7"/>
      <c r="CA15" s="26"/>
      <c r="CB15" s="7"/>
      <c r="CC15" s="26"/>
      <c r="CD15" s="7"/>
      <c r="CE15" s="26"/>
      <c r="CF15" s="7"/>
      <c r="CG15" s="26"/>
      <c r="CH15" s="7"/>
      <c r="CI15" s="26"/>
      <c r="CJ15" s="7"/>
      <c r="CK15" s="26"/>
      <c r="CL15" s="7"/>
      <c r="CM15" s="26"/>
      <c r="CN15" s="7"/>
    </row>
    <row r="16" spans="1:92" x14ac:dyDescent="0.25">
      <c r="A16" s="41"/>
      <c r="B16" s="7">
        <v>2320</v>
      </c>
      <c r="C16" s="26" t="s">
        <v>1389</v>
      </c>
      <c r="D16" s="7">
        <v>3250</v>
      </c>
      <c r="E16" s="26" t="s">
        <v>1499</v>
      </c>
      <c r="F16" s="7">
        <v>4226</v>
      </c>
      <c r="G16" s="26" t="s">
        <v>1536</v>
      </c>
      <c r="H16" s="7"/>
      <c r="I16" s="26"/>
      <c r="J16" s="7"/>
      <c r="K16" s="26"/>
      <c r="L16" s="7">
        <v>1479</v>
      </c>
      <c r="M16" s="26" t="s">
        <v>1619</v>
      </c>
      <c r="N16" s="7">
        <v>2376.83</v>
      </c>
      <c r="O16" s="26" t="s">
        <v>1666</v>
      </c>
      <c r="P16" s="7">
        <v>1099.01</v>
      </c>
      <c r="Q16" s="26" t="s">
        <v>1709</v>
      </c>
      <c r="R16" s="7">
        <v>494.08</v>
      </c>
      <c r="S16" s="26" t="s">
        <v>1745</v>
      </c>
      <c r="T16" s="7">
        <v>1099.01</v>
      </c>
      <c r="U16" s="26" t="s">
        <v>1791</v>
      </c>
      <c r="V16" s="7"/>
      <c r="W16" s="26"/>
      <c r="X16" s="7">
        <v>1587.01</v>
      </c>
      <c r="Y16" s="26" t="s">
        <v>1848</v>
      </c>
      <c r="Z16" s="9">
        <v>2514.04</v>
      </c>
      <c r="AA16" s="15" t="s">
        <v>1913</v>
      </c>
      <c r="AB16" s="87">
        <v>1099.01</v>
      </c>
      <c r="AC16" s="88" t="s">
        <v>1962</v>
      </c>
      <c r="AD16" s="87">
        <v>1099.01</v>
      </c>
      <c r="AE16" s="26" t="s">
        <v>2016</v>
      </c>
      <c r="AF16" s="7">
        <v>504.99</v>
      </c>
      <c r="AG16" s="26" t="s">
        <v>2083</v>
      </c>
      <c r="AH16" s="87">
        <v>1287.3900000000001</v>
      </c>
      <c r="AI16" s="9" t="s">
        <v>2130</v>
      </c>
      <c r="AJ16" s="7"/>
      <c r="AK16" s="26"/>
      <c r="AL16" s="7">
        <v>1099.01</v>
      </c>
      <c r="AM16" s="26" t="s">
        <v>2161</v>
      </c>
      <c r="AN16" s="10">
        <v>2250.0100000000002</v>
      </c>
      <c r="AO16" s="12" t="s">
        <v>2201</v>
      </c>
      <c r="AP16" s="7">
        <v>1479.01</v>
      </c>
      <c r="AQ16" s="7" t="s">
        <v>2269</v>
      </c>
      <c r="AR16" s="7">
        <v>1464.29</v>
      </c>
      <c r="AS16" s="26" t="s">
        <v>2135</v>
      </c>
      <c r="AT16" s="7">
        <v>4395</v>
      </c>
      <c r="AU16" s="26" t="s">
        <v>2355</v>
      </c>
      <c r="AV16" s="7">
        <v>7363.38</v>
      </c>
      <c r="AW16" s="26" t="s">
        <v>2379</v>
      </c>
      <c r="AX16" s="7"/>
      <c r="AY16" s="26"/>
      <c r="AZ16" s="9">
        <v>500</v>
      </c>
      <c r="BA16" s="15" t="s">
        <v>2461</v>
      </c>
      <c r="BB16" s="9">
        <v>1099.01</v>
      </c>
      <c r="BC16" s="26" t="s">
        <v>2544</v>
      </c>
      <c r="BD16" s="9"/>
      <c r="BE16" s="26"/>
      <c r="BF16" s="7"/>
      <c r="BG16" s="26"/>
      <c r="BH16" s="7"/>
      <c r="BI16" s="26"/>
      <c r="BJ16" s="7"/>
      <c r="BK16" s="26"/>
      <c r="BL16" s="7"/>
      <c r="BM16" s="26"/>
      <c r="BN16" s="7"/>
      <c r="BO16" s="26"/>
      <c r="BP16" s="7"/>
      <c r="BQ16" s="26"/>
      <c r="BR16" s="7"/>
      <c r="BS16" s="26"/>
      <c r="BT16" s="7"/>
      <c r="BU16" s="26"/>
      <c r="BV16" s="7"/>
      <c r="BW16" s="26"/>
      <c r="BX16" s="7"/>
      <c r="BY16" s="26"/>
      <c r="BZ16" s="7"/>
      <c r="CA16" s="26"/>
      <c r="CB16" s="7"/>
      <c r="CC16" s="26"/>
      <c r="CD16" s="7"/>
      <c r="CE16" s="26"/>
      <c r="CF16" s="7"/>
      <c r="CG16" s="26"/>
      <c r="CH16" s="7"/>
      <c r="CI16" s="26"/>
      <c r="CJ16" s="7"/>
      <c r="CK16" s="26"/>
      <c r="CL16" s="7"/>
      <c r="CM16" s="26"/>
      <c r="CN16" s="7"/>
    </row>
    <row r="17" spans="1:92" x14ac:dyDescent="0.25">
      <c r="A17" s="41"/>
      <c r="B17" s="7">
        <v>1099.01</v>
      </c>
      <c r="C17" s="26" t="s">
        <v>1391</v>
      </c>
      <c r="D17" s="7">
        <v>1686.25</v>
      </c>
      <c r="E17" s="26" t="s">
        <v>1501</v>
      </c>
      <c r="F17" s="7">
        <v>2724.77</v>
      </c>
      <c r="G17" s="26" t="s">
        <v>1537</v>
      </c>
      <c r="H17" s="7"/>
      <c r="I17" s="26"/>
      <c r="J17" s="7"/>
      <c r="K17" s="26"/>
      <c r="L17" s="7">
        <v>1392</v>
      </c>
      <c r="M17" s="26" t="s">
        <v>1622</v>
      </c>
      <c r="N17" s="7">
        <v>1970</v>
      </c>
      <c r="O17" s="26" t="s">
        <v>1669</v>
      </c>
      <c r="P17" s="7">
        <v>1099</v>
      </c>
      <c r="Q17" s="26" t="s">
        <v>1710</v>
      </c>
      <c r="R17" s="7">
        <v>79.44</v>
      </c>
      <c r="S17" s="26" t="s">
        <v>1746</v>
      </c>
      <c r="T17" s="7">
        <v>1970</v>
      </c>
      <c r="U17" s="26" t="s">
        <v>1792</v>
      </c>
      <c r="V17" s="7"/>
      <c r="W17" s="26"/>
      <c r="X17" s="7">
        <v>1099.01</v>
      </c>
      <c r="Y17" s="26" t="s">
        <v>1849</v>
      </c>
      <c r="Z17" s="7">
        <v>1000</v>
      </c>
      <c r="AA17" s="26" t="s">
        <v>1914</v>
      </c>
      <c r="AB17" s="87">
        <v>1099.01</v>
      </c>
      <c r="AC17" s="88" t="s">
        <v>1963</v>
      </c>
      <c r="AD17" s="87">
        <v>1099.01</v>
      </c>
      <c r="AE17" s="26" t="s">
        <v>2017</v>
      </c>
      <c r="AF17" s="7">
        <v>82.93</v>
      </c>
      <c r="AG17" s="26" t="s">
        <v>2085</v>
      </c>
      <c r="AH17" s="87"/>
      <c r="AI17" s="26"/>
      <c r="AJ17" s="7"/>
      <c r="AK17" s="26"/>
      <c r="AL17" s="7">
        <v>5015.9399999999996</v>
      </c>
      <c r="AM17" s="26" t="s">
        <v>2168</v>
      </c>
      <c r="AN17" s="7"/>
      <c r="AO17" s="26"/>
      <c r="AP17" s="7">
        <v>1399.1</v>
      </c>
      <c r="AQ17" s="26" t="s">
        <v>2270</v>
      </c>
      <c r="AR17" s="7">
        <v>600</v>
      </c>
      <c r="AS17" s="26" t="s">
        <v>2398</v>
      </c>
      <c r="AT17" s="7">
        <v>494.08</v>
      </c>
      <c r="AU17" s="26" t="s">
        <v>2356</v>
      </c>
      <c r="AV17" s="7">
        <v>580.41</v>
      </c>
      <c r="AW17" s="26" t="s">
        <v>2380</v>
      </c>
      <c r="AX17" s="7"/>
      <c r="AY17" s="26"/>
      <c r="AZ17" s="9">
        <v>60000</v>
      </c>
      <c r="BA17" s="15" t="s">
        <v>2463</v>
      </c>
      <c r="BB17" s="9">
        <v>1970</v>
      </c>
      <c r="BC17" s="26" t="s">
        <v>2545</v>
      </c>
      <c r="BD17" s="9"/>
      <c r="BE17" s="26"/>
      <c r="BF17" s="7"/>
      <c r="BG17" s="26"/>
      <c r="BH17" s="7"/>
      <c r="BI17" s="26"/>
      <c r="BJ17" s="7"/>
      <c r="BK17" s="26"/>
      <c r="BL17" s="7"/>
      <c r="BM17" s="26"/>
      <c r="BN17" s="7"/>
      <c r="BO17" s="26"/>
      <c r="BP17" s="7"/>
      <c r="BQ17" s="26"/>
      <c r="BR17" s="7"/>
      <c r="BS17" s="26"/>
      <c r="BT17" s="7"/>
      <c r="BU17" s="26"/>
      <c r="BV17" s="7"/>
      <c r="BW17" s="26"/>
      <c r="BX17" s="7"/>
      <c r="BY17" s="26"/>
      <c r="BZ17" s="7"/>
      <c r="CA17" s="26"/>
      <c r="CB17" s="7"/>
      <c r="CC17" s="26"/>
      <c r="CD17" s="7"/>
      <c r="CE17" s="26"/>
      <c r="CF17" s="7"/>
      <c r="CG17" s="26"/>
      <c r="CH17" s="7"/>
      <c r="CI17" s="26"/>
      <c r="CJ17" s="7"/>
      <c r="CK17" s="26"/>
      <c r="CL17" s="7"/>
      <c r="CM17" s="26"/>
      <c r="CN17" s="7"/>
    </row>
    <row r="18" spans="1:92" x14ac:dyDescent="0.25">
      <c r="A18" s="41"/>
      <c r="B18" s="7">
        <v>250</v>
      </c>
      <c r="C18" s="26" t="s">
        <v>1393</v>
      </c>
      <c r="D18" s="7">
        <v>1967.01</v>
      </c>
      <c r="E18" s="26" t="s">
        <v>1502</v>
      </c>
      <c r="F18" s="7">
        <v>9052.66</v>
      </c>
      <c r="G18" s="26" t="s">
        <v>1538</v>
      </c>
      <c r="H18" s="7"/>
      <c r="I18" s="26"/>
      <c r="J18" s="7"/>
      <c r="K18" s="26"/>
      <c r="L18" s="7">
        <v>1099.01</v>
      </c>
      <c r="M18" s="26" t="s">
        <v>1623</v>
      </c>
      <c r="N18" s="7">
        <v>5091</v>
      </c>
      <c r="O18" s="26" t="s">
        <v>1672</v>
      </c>
      <c r="P18" s="7">
        <v>3278.01</v>
      </c>
      <c r="Q18" s="26" t="s">
        <v>1711</v>
      </c>
      <c r="R18" s="7"/>
      <c r="S18" s="26"/>
      <c r="T18" s="7">
        <v>1099.01</v>
      </c>
      <c r="U18" s="26" t="s">
        <v>1795</v>
      </c>
      <c r="V18" s="7"/>
      <c r="W18" s="26"/>
      <c r="X18" s="7">
        <v>1099.01</v>
      </c>
      <c r="Y18" s="26" t="s">
        <v>1851</v>
      </c>
      <c r="Z18" s="7">
        <v>1099.01</v>
      </c>
      <c r="AA18" s="26" t="s">
        <v>1916</v>
      </c>
      <c r="AB18" s="87">
        <v>62.64</v>
      </c>
      <c r="AC18" s="88" t="s">
        <v>1971</v>
      </c>
      <c r="AD18" s="87">
        <v>3250</v>
      </c>
      <c r="AE18" s="26" t="s">
        <v>2024</v>
      </c>
      <c r="AF18" s="7">
        <v>600</v>
      </c>
      <c r="AG18" s="26" t="s">
        <v>2086</v>
      </c>
      <c r="AH18" s="87"/>
      <c r="AI18" s="26"/>
      <c r="AJ18" s="7"/>
      <c r="AK18" s="26"/>
      <c r="AL18" s="7">
        <v>3250</v>
      </c>
      <c r="AM18" s="26" t="s">
        <v>2169</v>
      </c>
      <c r="AN18" s="7"/>
      <c r="AO18" s="26"/>
      <c r="AP18" s="7">
        <v>1995</v>
      </c>
      <c r="AQ18" s="26" t="s">
        <v>2271</v>
      </c>
      <c r="AR18" s="7">
        <v>5000</v>
      </c>
      <c r="AS18" s="26" t="s">
        <v>2399</v>
      </c>
      <c r="AT18" s="7">
        <v>95.75</v>
      </c>
      <c r="AU18" s="26" t="s">
        <v>2357</v>
      </c>
      <c r="AV18" s="7">
        <v>1969.99</v>
      </c>
      <c r="AW18" s="26" t="s">
        <v>2386</v>
      </c>
      <c r="AX18" s="7"/>
      <c r="AY18" s="26"/>
      <c r="AZ18" s="9">
        <v>2562.36</v>
      </c>
      <c r="BA18" s="15" t="s">
        <v>2465</v>
      </c>
      <c r="BB18" s="9">
        <v>1099.01</v>
      </c>
      <c r="BC18" s="26" t="s">
        <v>2547</v>
      </c>
      <c r="BD18" s="9"/>
      <c r="BE18" s="26"/>
      <c r="BF18" s="7"/>
      <c r="BG18" s="26"/>
      <c r="BH18" s="7"/>
      <c r="BI18" s="26"/>
      <c r="BJ18" s="7"/>
      <c r="BK18" s="26"/>
      <c r="BL18" s="7"/>
      <c r="BM18" s="26"/>
      <c r="BN18" s="7"/>
      <c r="BO18" s="26"/>
      <c r="BP18" s="7"/>
      <c r="BQ18" s="26"/>
      <c r="BR18" s="7"/>
      <c r="BS18" s="26"/>
      <c r="BT18" s="7"/>
      <c r="BU18" s="26"/>
      <c r="BV18" s="7"/>
      <c r="BW18" s="26"/>
      <c r="BX18" s="7"/>
      <c r="BY18" s="26"/>
      <c r="BZ18" s="7"/>
      <c r="CA18" s="26"/>
      <c r="CB18" s="7"/>
      <c r="CC18" s="26"/>
      <c r="CD18" s="7"/>
      <c r="CE18" s="26"/>
      <c r="CF18" s="7"/>
      <c r="CG18" s="26"/>
      <c r="CH18" s="7"/>
      <c r="CI18" s="26"/>
      <c r="CJ18" s="7"/>
      <c r="CK18" s="26"/>
      <c r="CL18" s="7"/>
      <c r="CM18" s="26"/>
      <c r="CN18" s="7"/>
    </row>
    <row r="19" spans="1:92" x14ac:dyDescent="0.25">
      <c r="A19" s="41"/>
      <c r="B19" s="7">
        <v>1099.01</v>
      </c>
      <c r="C19" s="26" t="s">
        <v>1395</v>
      </c>
      <c r="D19" s="7">
        <v>1000</v>
      </c>
      <c r="E19" s="26" t="s">
        <v>1504</v>
      </c>
      <c r="F19" s="7">
        <v>28.72</v>
      </c>
      <c r="G19" s="26" t="s">
        <v>1539</v>
      </c>
      <c r="H19" s="7"/>
      <c r="I19" s="26"/>
      <c r="J19" s="7"/>
      <c r="K19" s="26"/>
      <c r="L19" s="7">
        <v>1099.01</v>
      </c>
      <c r="M19" s="26" t="s">
        <v>1625</v>
      </c>
      <c r="N19" s="7">
        <v>916.37</v>
      </c>
      <c r="O19" s="26" t="s">
        <v>1675</v>
      </c>
      <c r="P19" s="7">
        <v>1720</v>
      </c>
      <c r="Q19" s="26" t="s">
        <v>1715</v>
      </c>
      <c r="R19" s="7"/>
      <c r="S19" s="26"/>
      <c r="T19" s="7">
        <v>3414.01</v>
      </c>
      <c r="U19" s="26" t="s">
        <v>1798</v>
      </c>
      <c r="V19" s="7"/>
      <c r="W19" s="26"/>
      <c r="X19" s="7">
        <v>1587</v>
      </c>
      <c r="Y19" s="26" t="s">
        <v>1858</v>
      </c>
      <c r="Z19" s="7">
        <v>1519.97</v>
      </c>
      <c r="AA19" s="26" t="s">
        <v>1929</v>
      </c>
      <c r="AB19" s="87">
        <v>1099.01</v>
      </c>
      <c r="AC19" s="88" t="s">
        <v>1973</v>
      </c>
      <c r="AD19" s="87">
        <v>232</v>
      </c>
      <c r="AE19" s="26" t="s">
        <v>2026</v>
      </c>
      <c r="AH19" s="87"/>
      <c r="AI19" s="26"/>
      <c r="AJ19" s="7"/>
      <c r="AK19" s="26"/>
      <c r="AL19" s="7">
        <v>320.44</v>
      </c>
      <c r="AM19" s="26" t="s">
        <v>2171</v>
      </c>
      <c r="AN19" s="7">
        <v>612</v>
      </c>
      <c r="AO19" s="26" t="s">
        <v>2206</v>
      </c>
      <c r="AP19" s="7">
        <v>1099.01</v>
      </c>
      <c r="AQ19" s="26" t="s">
        <v>2272</v>
      </c>
      <c r="AR19" s="7">
        <v>117.02</v>
      </c>
      <c r="AS19" s="26" t="s">
        <v>2401</v>
      </c>
      <c r="AT19" s="7">
        <v>96.09</v>
      </c>
      <c r="AU19" s="26" t="s">
        <v>2359</v>
      </c>
      <c r="AV19" s="7">
        <v>1099.01</v>
      </c>
      <c r="AW19" s="26" t="s">
        <v>2387</v>
      </c>
      <c r="AX19" s="7"/>
      <c r="AY19" s="26"/>
      <c r="AZ19" s="9">
        <v>2755.21</v>
      </c>
      <c r="BA19" s="15" t="s">
        <v>2469</v>
      </c>
      <c r="BB19" s="9">
        <v>1969.99</v>
      </c>
      <c r="BC19" s="26" t="s">
        <v>2557</v>
      </c>
      <c r="BD19" s="9"/>
      <c r="BE19" s="26"/>
      <c r="BF19" s="7"/>
      <c r="BG19" s="26"/>
      <c r="BH19" s="7"/>
      <c r="BI19" s="26"/>
      <c r="BJ19" s="7"/>
      <c r="BK19" s="26"/>
      <c r="BL19" s="7"/>
      <c r="BM19" s="26"/>
      <c r="BN19" s="7"/>
      <c r="BO19" s="26"/>
      <c r="BP19" s="7"/>
      <c r="BQ19" s="26"/>
      <c r="BR19" s="7"/>
      <c r="BS19" s="26"/>
      <c r="BT19" s="7"/>
      <c r="BU19" s="26"/>
      <c r="BV19" s="7"/>
      <c r="BW19" s="26"/>
      <c r="BX19" s="7"/>
      <c r="BY19" s="26"/>
      <c r="BZ19" s="7"/>
      <c r="CA19" s="26"/>
      <c r="CB19" s="7"/>
      <c r="CC19" s="26"/>
      <c r="CD19" s="7"/>
      <c r="CE19" s="26"/>
      <c r="CF19" s="7"/>
      <c r="CG19" s="26"/>
      <c r="CH19" s="7"/>
      <c r="CI19" s="26"/>
      <c r="CJ19" s="7"/>
      <c r="CK19" s="26"/>
      <c r="CL19" s="7"/>
      <c r="CM19" s="26"/>
      <c r="CN19" s="7"/>
    </row>
    <row r="20" spans="1:92" x14ac:dyDescent="0.25">
      <c r="A20" s="41"/>
      <c r="B20" s="7">
        <v>1099.01</v>
      </c>
      <c r="C20" s="26" t="s">
        <v>1398</v>
      </c>
      <c r="D20" s="7">
        <v>464</v>
      </c>
      <c r="E20" s="26" t="s">
        <v>1505</v>
      </c>
      <c r="F20" s="7">
        <v>1099.01</v>
      </c>
      <c r="G20" s="26" t="s">
        <v>1541</v>
      </c>
      <c r="H20" s="7"/>
      <c r="I20" s="26"/>
      <c r="J20" s="7"/>
      <c r="K20" s="26"/>
      <c r="L20" s="9">
        <f>1244.3-1200</f>
        <v>44.299999999999955</v>
      </c>
      <c r="M20" s="15" t="s">
        <v>1635</v>
      </c>
      <c r="N20" s="7">
        <v>219.73</v>
      </c>
      <c r="O20" s="26" t="s">
        <v>1674</v>
      </c>
      <c r="P20" s="7">
        <v>2457.9899999999998</v>
      </c>
      <c r="Q20" s="26" t="s">
        <v>1719</v>
      </c>
      <c r="R20" s="7">
        <v>2043</v>
      </c>
      <c r="S20" s="26" t="s">
        <v>1754</v>
      </c>
      <c r="T20" s="7">
        <v>52.2</v>
      </c>
      <c r="U20" s="26" t="s">
        <v>1802</v>
      </c>
      <c r="V20" s="7"/>
      <c r="W20" s="26"/>
      <c r="X20" s="7">
        <v>497.57</v>
      </c>
      <c r="Y20" s="26" t="s">
        <v>1860</v>
      </c>
      <c r="Z20" s="7">
        <v>3479.01</v>
      </c>
      <c r="AA20" s="26" t="s">
        <v>1930</v>
      </c>
      <c r="AB20" s="87">
        <v>1969.99</v>
      </c>
      <c r="AC20" s="88" t="s">
        <v>1974</v>
      </c>
      <c r="AD20" s="87">
        <v>765.83</v>
      </c>
      <c r="AE20" s="26" t="s">
        <v>1951</v>
      </c>
      <c r="AH20" s="87"/>
      <c r="AI20" s="26"/>
      <c r="AJ20" s="7"/>
      <c r="AK20" s="26"/>
      <c r="AL20" s="7">
        <v>903.92</v>
      </c>
      <c r="AM20" s="26" t="s">
        <v>2172</v>
      </c>
      <c r="AN20" s="7">
        <v>9455.66</v>
      </c>
      <c r="AO20" s="26" t="s">
        <v>2207</v>
      </c>
      <c r="AP20" s="7">
        <v>277.91000000000003</v>
      </c>
      <c r="AQ20" s="26" t="s">
        <v>2274</v>
      </c>
      <c r="AR20" s="7">
        <v>640.88</v>
      </c>
      <c r="AS20" s="26" t="s">
        <v>2403</v>
      </c>
      <c r="AT20" s="7">
        <v>580.5</v>
      </c>
      <c r="AU20" s="26" t="s">
        <v>2360</v>
      </c>
      <c r="AV20" s="7">
        <v>627.41999999999996</v>
      </c>
      <c r="AW20" s="26" t="s">
        <v>2389</v>
      </c>
      <c r="AX20" s="7"/>
      <c r="AY20" s="26"/>
      <c r="AZ20" s="9">
        <f>1368.37-904.37</f>
        <v>463.99999999999989</v>
      </c>
      <c r="BA20" s="15" t="s">
        <v>2475</v>
      </c>
      <c r="BB20" s="9">
        <v>720</v>
      </c>
      <c r="BC20" s="26" t="s">
        <v>2558</v>
      </c>
      <c r="BD20" s="9"/>
      <c r="BE20" s="26"/>
      <c r="BF20" s="7"/>
      <c r="BG20" s="26"/>
      <c r="BH20" s="7"/>
      <c r="BI20" s="26"/>
      <c r="BJ20" s="7"/>
      <c r="BK20" s="26"/>
      <c r="BL20" s="7"/>
      <c r="BM20" s="26"/>
      <c r="BN20" s="7"/>
      <c r="BO20" s="26"/>
      <c r="BP20" s="7"/>
      <c r="BQ20" s="26"/>
      <c r="BR20" s="7"/>
      <c r="BS20" s="26"/>
      <c r="BT20" s="7"/>
      <c r="BU20" s="26"/>
      <c r="BV20" s="7"/>
      <c r="BW20" s="26"/>
      <c r="BX20" s="7"/>
      <c r="BY20" s="26"/>
      <c r="BZ20" s="7"/>
      <c r="CA20" s="26"/>
      <c r="CB20" s="7"/>
      <c r="CC20" s="26"/>
      <c r="CD20" s="7"/>
      <c r="CE20" s="26"/>
      <c r="CF20" s="7"/>
      <c r="CG20" s="26"/>
      <c r="CH20" s="7"/>
      <c r="CI20" s="26"/>
      <c r="CJ20" s="7"/>
      <c r="CK20" s="26"/>
      <c r="CL20" s="7"/>
      <c r="CM20" s="26"/>
      <c r="CN20" s="7"/>
    </row>
    <row r="21" spans="1:92" x14ac:dyDescent="0.25">
      <c r="A21" s="41"/>
      <c r="B21" s="7">
        <v>2295</v>
      </c>
      <c r="C21" s="26" t="s">
        <v>1401</v>
      </c>
      <c r="D21" s="7">
        <v>1995</v>
      </c>
      <c r="E21" s="26" t="s">
        <v>1507</v>
      </c>
      <c r="F21" s="7">
        <v>1970</v>
      </c>
      <c r="G21" s="26" t="s">
        <v>1542</v>
      </c>
      <c r="H21" s="7"/>
      <c r="I21" s="26"/>
      <c r="J21" s="7"/>
      <c r="K21" s="26"/>
      <c r="L21" s="7">
        <v>212</v>
      </c>
      <c r="M21" s="26" t="s">
        <v>1637</v>
      </c>
      <c r="N21" s="7"/>
      <c r="O21" s="26"/>
      <c r="P21" s="7">
        <v>449.02</v>
      </c>
      <c r="Q21" s="26" t="s">
        <v>1722</v>
      </c>
      <c r="R21" s="7">
        <v>1099.01</v>
      </c>
      <c r="S21" s="26" t="s">
        <v>1757</v>
      </c>
      <c r="T21" s="7">
        <v>3992.02</v>
      </c>
      <c r="U21" s="26" t="s">
        <v>1803</v>
      </c>
      <c r="V21" s="7"/>
      <c r="W21" s="26"/>
      <c r="X21" s="9">
        <v>1307.8</v>
      </c>
      <c r="Y21" s="9" t="s">
        <v>1861</v>
      </c>
      <c r="Z21" s="7">
        <v>4385.01</v>
      </c>
      <c r="AA21" s="26" t="s">
        <v>1931</v>
      </c>
      <c r="AB21" s="87">
        <v>1099.01</v>
      </c>
      <c r="AC21" s="88" t="s">
        <v>1976</v>
      </c>
      <c r="AD21" s="87">
        <v>510.74</v>
      </c>
      <c r="AE21" s="26" t="s">
        <v>2029</v>
      </c>
      <c r="AF21" s="7">
        <v>1099</v>
      </c>
      <c r="AG21" s="26" t="s">
        <v>2094</v>
      </c>
      <c r="AH21" s="87"/>
      <c r="AI21" s="26"/>
      <c r="AJ21" s="7"/>
      <c r="AK21" s="26"/>
      <c r="AL21" s="7">
        <v>253.41</v>
      </c>
      <c r="AM21" s="26" t="s">
        <v>2174</v>
      </c>
      <c r="AN21" s="7">
        <v>3500</v>
      </c>
      <c r="AO21" s="26" t="s">
        <v>2208</v>
      </c>
      <c r="AP21" s="72">
        <v>2457.9899999999998</v>
      </c>
      <c r="AQ21" s="24" t="s">
        <v>2255</v>
      </c>
      <c r="AR21" s="7">
        <v>2500</v>
      </c>
      <c r="AS21" s="26" t="s">
        <v>2404</v>
      </c>
      <c r="AT21" s="7"/>
      <c r="AU21" s="26"/>
      <c r="AV21" s="7"/>
      <c r="AW21" s="26"/>
      <c r="AX21" s="7"/>
      <c r="AY21" s="26"/>
      <c r="AZ21" s="9">
        <v>1.1599999999999999</v>
      </c>
      <c r="BA21" s="15" t="s">
        <v>2478</v>
      </c>
      <c r="BB21" s="9">
        <v>417.46</v>
      </c>
      <c r="BC21" s="26" t="s">
        <v>2561</v>
      </c>
      <c r="BD21" s="9"/>
      <c r="BE21" s="26"/>
      <c r="BF21" s="7"/>
      <c r="BG21" s="26"/>
      <c r="BH21" s="7"/>
      <c r="BI21" s="26"/>
      <c r="BJ21" s="7"/>
      <c r="BK21" s="26"/>
      <c r="BL21" s="7"/>
      <c r="BM21" s="26"/>
      <c r="BN21" s="7"/>
      <c r="BO21" s="26"/>
      <c r="BP21" s="7"/>
      <c r="BQ21" s="26"/>
      <c r="BR21" s="7"/>
      <c r="BS21" s="26"/>
      <c r="BT21" s="7"/>
      <c r="BU21" s="26"/>
      <c r="BV21" s="7"/>
      <c r="BW21" s="26"/>
      <c r="BX21" s="7"/>
      <c r="BY21" s="26"/>
      <c r="BZ21" s="7"/>
      <c r="CA21" s="26"/>
      <c r="CB21" s="7"/>
      <c r="CC21" s="26"/>
      <c r="CD21" s="7"/>
      <c r="CE21" s="26"/>
      <c r="CF21" s="7"/>
      <c r="CG21" s="26"/>
      <c r="CH21" s="7"/>
      <c r="CI21" s="26"/>
      <c r="CJ21" s="7"/>
      <c r="CK21" s="26"/>
      <c r="CL21" s="7"/>
      <c r="CM21" s="26"/>
      <c r="CN21" s="7"/>
    </row>
    <row r="22" spans="1:92" x14ac:dyDescent="0.25">
      <c r="A22" s="41"/>
      <c r="B22" s="7">
        <v>4395.01</v>
      </c>
      <c r="C22" s="26" t="s">
        <v>1402</v>
      </c>
      <c r="D22" s="7">
        <v>820.87</v>
      </c>
      <c r="E22" s="26" t="s">
        <v>1512</v>
      </c>
      <c r="F22" s="7">
        <v>3250</v>
      </c>
      <c r="G22" s="26" t="s">
        <v>1544</v>
      </c>
      <c r="H22" s="7"/>
      <c r="I22" s="26"/>
      <c r="J22" s="7"/>
      <c r="K22" s="26"/>
      <c r="L22" s="7">
        <v>627.04999999999995</v>
      </c>
      <c r="M22" s="26" t="s">
        <v>1638</v>
      </c>
      <c r="N22" s="7">
        <v>1001.53</v>
      </c>
      <c r="O22" s="26" t="s">
        <v>1678</v>
      </c>
      <c r="P22" s="7"/>
      <c r="Q22" s="26"/>
      <c r="R22" s="7">
        <v>635</v>
      </c>
      <c r="S22" s="26" t="s">
        <v>1758</v>
      </c>
      <c r="T22" s="7">
        <v>374.42</v>
      </c>
      <c r="U22" s="26" t="s">
        <v>1804</v>
      </c>
      <c r="V22" s="7"/>
      <c r="W22" s="26"/>
      <c r="X22" s="7">
        <v>79.44</v>
      </c>
      <c r="Y22" s="26" t="s">
        <v>1862</v>
      </c>
      <c r="Z22" s="7">
        <v>1099.01</v>
      </c>
      <c r="AA22" s="26" t="s">
        <v>1937</v>
      </c>
      <c r="AB22" s="87">
        <v>1099.01</v>
      </c>
      <c r="AC22" s="88" t="s">
        <v>1977</v>
      </c>
      <c r="AD22" s="9">
        <v>130.15</v>
      </c>
      <c r="AE22" s="86" t="s">
        <v>1972</v>
      </c>
      <c r="AF22" s="7">
        <v>6087.99</v>
      </c>
      <c r="AG22" s="26" t="s">
        <v>2008</v>
      </c>
      <c r="AH22" s="87"/>
      <c r="AI22" s="26"/>
      <c r="AJ22" s="7"/>
      <c r="AK22" s="26"/>
      <c r="AL22" s="7"/>
      <c r="AM22" s="26"/>
      <c r="AN22" s="7">
        <v>219200</v>
      </c>
      <c r="AO22" s="26" t="s">
        <v>2214</v>
      </c>
      <c r="AR22" s="7">
        <v>4500</v>
      </c>
      <c r="AS22" s="26" t="s">
        <v>2408</v>
      </c>
      <c r="AT22" s="7"/>
      <c r="AU22" s="26"/>
      <c r="AV22" s="7"/>
      <c r="AW22" s="26"/>
      <c r="AX22" s="7"/>
      <c r="AY22" s="26"/>
      <c r="AZ22" s="9">
        <v>1187.1600000000001</v>
      </c>
      <c r="BA22" s="15" t="s">
        <v>2479</v>
      </c>
      <c r="BB22" s="9">
        <v>510.74</v>
      </c>
      <c r="BC22" s="26" t="s">
        <v>2562</v>
      </c>
      <c r="BD22" s="9"/>
      <c r="BE22" s="26"/>
      <c r="BF22" s="7"/>
      <c r="BG22" s="26"/>
      <c r="BH22" s="7"/>
      <c r="BI22" s="26"/>
      <c r="BJ22" s="7"/>
      <c r="BK22" s="26"/>
      <c r="BL22" s="7"/>
      <c r="BM22" s="26"/>
      <c r="BN22" s="7"/>
      <c r="BO22" s="26"/>
      <c r="BP22" s="7"/>
      <c r="BQ22" s="26"/>
      <c r="BR22" s="7"/>
      <c r="BS22" s="26"/>
      <c r="BT22" s="7"/>
      <c r="BU22" s="26"/>
      <c r="BV22" s="7"/>
      <c r="BW22" s="26"/>
      <c r="BX22" s="7"/>
      <c r="BY22" s="26"/>
      <c r="BZ22" s="7"/>
      <c r="CA22" s="26"/>
      <c r="CB22" s="7"/>
      <c r="CC22" s="26"/>
      <c r="CD22" s="7"/>
      <c r="CE22" s="26"/>
      <c r="CF22" s="7"/>
      <c r="CG22" s="26"/>
      <c r="CH22" s="7"/>
      <c r="CI22" s="26"/>
      <c r="CJ22" s="7"/>
      <c r="CK22" s="26"/>
      <c r="CL22" s="7"/>
      <c r="CM22" s="26"/>
      <c r="CN22" s="7"/>
    </row>
    <row r="23" spans="1:92" x14ac:dyDescent="0.25">
      <c r="A23" s="41"/>
      <c r="B23" s="7">
        <v>1216.57</v>
      </c>
      <c r="C23" s="26" t="s">
        <v>1408</v>
      </c>
      <c r="D23" s="7">
        <v>152.15</v>
      </c>
      <c r="E23" s="26" t="s">
        <v>1513</v>
      </c>
      <c r="F23" s="7">
        <v>1970</v>
      </c>
      <c r="G23" s="26" t="s">
        <v>1545</v>
      </c>
      <c r="H23" s="7"/>
      <c r="I23" s="26"/>
      <c r="J23" s="9"/>
      <c r="K23" s="15"/>
      <c r="L23" s="9">
        <v>510.74</v>
      </c>
      <c r="M23" s="15" t="s">
        <v>1639</v>
      </c>
      <c r="N23" s="9">
        <v>1000</v>
      </c>
      <c r="O23" s="15" t="s">
        <v>1679</v>
      </c>
      <c r="P23" s="9">
        <v>357.5</v>
      </c>
      <c r="Q23" s="15" t="s">
        <v>1891</v>
      </c>
      <c r="R23" s="9">
        <v>1384</v>
      </c>
      <c r="S23" s="15" t="s">
        <v>1759</v>
      </c>
      <c r="T23" s="9">
        <v>374.42</v>
      </c>
      <c r="U23" s="15" t="s">
        <v>1805</v>
      </c>
      <c r="V23" s="9"/>
      <c r="W23" s="15"/>
      <c r="X23" s="9">
        <v>79.819999999999993</v>
      </c>
      <c r="Y23" s="15" t="s">
        <v>1859</v>
      </c>
      <c r="Z23" s="9">
        <v>600.01</v>
      </c>
      <c r="AA23" s="15" t="s">
        <v>1938</v>
      </c>
      <c r="AB23" s="87">
        <v>1970</v>
      </c>
      <c r="AC23" s="88" t="s">
        <v>1978</v>
      </c>
      <c r="AD23" s="87"/>
      <c r="AE23" s="26"/>
      <c r="AF23" s="15">
        <v>5050</v>
      </c>
      <c r="AG23" s="15" t="s">
        <v>2091</v>
      </c>
      <c r="AH23" s="87"/>
      <c r="AI23" s="26"/>
      <c r="AJ23" s="7"/>
      <c r="AK23" s="26"/>
      <c r="AL23" s="7"/>
      <c r="AM23" s="26"/>
      <c r="AN23" s="7">
        <v>10000</v>
      </c>
      <c r="AO23" s="26" t="s">
        <v>2220</v>
      </c>
      <c r="AR23" s="7">
        <v>300</v>
      </c>
      <c r="AS23" s="26" t="s">
        <v>2411</v>
      </c>
      <c r="AT23" s="7"/>
      <c r="AU23" s="26"/>
      <c r="AV23" s="7"/>
      <c r="AW23" s="26"/>
      <c r="AX23" s="7"/>
      <c r="AY23" s="26"/>
      <c r="AZ23" s="9">
        <v>1099.01</v>
      </c>
      <c r="BA23" s="15" t="s">
        <v>2480</v>
      </c>
      <c r="BB23" s="9">
        <v>5000</v>
      </c>
      <c r="BC23" s="26" t="s">
        <v>2564</v>
      </c>
      <c r="BD23" s="9"/>
      <c r="BE23" s="26"/>
      <c r="BF23" s="7"/>
      <c r="BG23" s="26"/>
      <c r="BH23" s="7"/>
      <c r="BI23" s="26"/>
      <c r="BJ23" s="7"/>
      <c r="BK23" s="26"/>
      <c r="BL23" s="7"/>
      <c r="BM23" s="26"/>
      <c r="BN23" s="7"/>
      <c r="BO23" s="26"/>
      <c r="BP23" s="7"/>
      <c r="BQ23" s="26"/>
      <c r="BR23" s="7"/>
      <c r="BS23" s="26"/>
      <c r="BT23" s="7"/>
      <c r="BU23" s="26"/>
      <c r="BV23" s="7"/>
      <c r="BW23" s="26"/>
      <c r="BX23" s="7"/>
      <c r="BY23" s="26"/>
      <c r="BZ23" s="7"/>
      <c r="CA23" s="26"/>
      <c r="CB23" s="7"/>
      <c r="CC23" s="26"/>
      <c r="CD23" s="7"/>
      <c r="CE23" s="26"/>
      <c r="CF23" s="7"/>
      <c r="CG23" s="26"/>
      <c r="CH23" s="7"/>
      <c r="CI23" s="26"/>
      <c r="CJ23" s="7"/>
      <c r="CK23" s="26"/>
      <c r="CL23" s="7"/>
      <c r="CM23" s="26"/>
      <c r="CN23" s="7"/>
    </row>
    <row r="24" spans="1:92" x14ac:dyDescent="0.25">
      <c r="A24" s="41"/>
      <c r="B24" s="7">
        <v>1216.57</v>
      </c>
      <c r="C24" s="26" t="s">
        <v>1409</v>
      </c>
      <c r="D24" s="7">
        <v>79.44</v>
      </c>
      <c r="E24" s="26" t="s">
        <v>1514</v>
      </c>
      <c r="F24" s="7">
        <v>1513.01</v>
      </c>
      <c r="G24" s="26" t="s">
        <v>1546</v>
      </c>
      <c r="H24" s="7"/>
      <c r="I24" s="7"/>
      <c r="J24" s="9"/>
      <c r="K24" s="15"/>
      <c r="L24" s="9">
        <v>854.61</v>
      </c>
      <c r="M24" s="15" t="s">
        <v>1640</v>
      </c>
      <c r="N24" s="9">
        <v>5684.23</v>
      </c>
      <c r="O24" s="15" t="s">
        <v>1681</v>
      </c>
      <c r="P24" s="9">
        <v>275.62</v>
      </c>
      <c r="Q24" s="15" t="s">
        <v>1893</v>
      </c>
      <c r="R24" s="9">
        <v>1970</v>
      </c>
      <c r="S24" s="15" t="s">
        <v>1760</v>
      </c>
      <c r="T24" s="9"/>
      <c r="U24" s="15"/>
      <c r="V24" s="9"/>
      <c r="W24" s="15"/>
      <c r="X24" s="9"/>
      <c r="Y24" s="15"/>
      <c r="Z24" s="9">
        <v>331.71</v>
      </c>
      <c r="AA24" s="15" t="s">
        <v>1939</v>
      </c>
      <c r="AB24" s="72">
        <v>1970</v>
      </c>
      <c r="AC24" s="86" t="s">
        <v>1968</v>
      </c>
      <c r="AD24" s="87"/>
      <c r="AE24" s="26"/>
      <c r="AF24" s="7"/>
      <c r="AG24" s="26"/>
      <c r="AH24" s="87"/>
      <c r="AI24" s="26"/>
      <c r="AJ24" s="7"/>
      <c r="AK24" s="26"/>
      <c r="AL24" s="7">
        <v>100</v>
      </c>
      <c r="AM24" s="26" t="s">
        <v>2175</v>
      </c>
      <c r="AN24" s="7">
        <v>2220</v>
      </c>
      <c r="AO24" s="26" t="s">
        <v>2222</v>
      </c>
      <c r="AP24" s="7">
        <v>100.36</v>
      </c>
      <c r="AQ24" s="26" t="s">
        <v>2276</v>
      </c>
      <c r="AR24" s="7">
        <v>100000</v>
      </c>
      <c r="AS24" s="26" t="s">
        <v>2417</v>
      </c>
      <c r="AT24" s="7"/>
      <c r="AU24" s="26"/>
      <c r="AV24" s="7"/>
      <c r="AW24" s="26"/>
      <c r="AX24" s="7"/>
      <c r="AY24" s="26"/>
      <c r="AZ24" s="9">
        <v>1416.94</v>
      </c>
      <c r="BA24" s="15" t="s">
        <v>2481</v>
      </c>
      <c r="BB24" s="9">
        <v>3018.01</v>
      </c>
      <c r="BC24" s="15" t="s">
        <v>2553</v>
      </c>
      <c r="BD24" s="9"/>
      <c r="BE24" s="26"/>
      <c r="BF24" s="7"/>
      <c r="BG24" s="26"/>
      <c r="BH24" s="7"/>
      <c r="BI24" s="26"/>
      <c r="BJ24" s="7"/>
      <c r="BK24" s="26"/>
      <c r="BL24" s="7"/>
      <c r="BM24" s="26"/>
      <c r="BN24" s="7"/>
      <c r="BO24" s="26"/>
      <c r="BP24" s="7"/>
      <c r="BQ24" s="26"/>
      <c r="BR24" s="7"/>
      <c r="BS24" s="26"/>
      <c r="BT24" s="7"/>
      <c r="BU24" s="26"/>
      <c r="BV24" s="7"/>
      <c r="BW24" s="26"/>
      <c r="BX24" s="7"/>
      <c r="BY24" s="26"/>
      <c r="BZ24" s="7"/>
      <c r="CA24" s="26"/>
      <c r="CB24" s="7"/>
      <c r="CC24" s="26"/>
      <c r="CD24" s="7"/>
      <c r="CE24" s="26"/>
      <c r="CF24" s="7"/>
      <c r="CG24" s="26"/>
      <c r="CH24" s="7"/>
      <c r="CI24" s="26"/>
      <c r="CJ24" s="7"/>
      <c r="CK24" s="26"/>
      <c r="CL24" s="7"/>
      <c r="CM24" s="26"/>
      <c r="CN24" s="7"/>
    </row>
    <row r="25" spans="1:92" x14ac:dyDescent="0.25">
      <c r="A25" s="41"/>
      <c r="B25" s="72">
        <v>459.8</v>
      </c>
      <c r="C25" s="24" t="s">
        <v>1406</v>
      </c>
      <c r="D25" s="7">
        <v>1448.67</v>
      </c>
      <c r="E25" s="26" t="s">
        <v>1515</v>
      </c>
      <c r="F25" s="7">
        <v>250</v>
      </c>
      <c r="G25" s="26" t="s">
        <v>1549</v>
      </c>
      <c r="H25" s="7"/>
      <c r="I25" s="26"/>
      <c r="J25" s="9"/>
      <c r="K25" s="15"/>
      <c r="L25" s="9"/>
      <c r="M25" s="15"/>
      <c r="N25" s="9">
        <v>505.01</v>
      </c>
      <c r="O25" s="15" t="s">
        <v>1682</v>
      </c>
      <c r="P25" s="9">
        <v>10000</v>
      </c>
      <c r="Q25" s="15" t="s">
        <v>1894</v>
      </c>
      <c r="R25" s="9">
        <v>1836.94</v>
      </c>
      <c r="S25" s="15" t="s">
        <v>1762</v>
      </c>
      <c r="T25" s="9"/>
      <c r="U25" s="15"/>
      <c r="V25" s="9"/>
      <c r="W25" s="15"/>
      <c r="X25" s="9"/>
      <c r="Y25" s="15"/>
      <c r="Z25" s="9">
        <v>659.94</v>
      </c>
      <c r="AA25" s="15" t="s">
        <v>1940</v>
      </c>
      <c r="AB25" s="87">
        <v>130</v>
      </c>
      <c r="AC25" s="88" t="s">
        <v>1982</v>
      </c>
      <c r="AD25" s="87">
        <v>1500</v>
      </c>
      <c r="AE25" s="26" t="s">
        <v>2030</v>
      </c>
      <c r="AF25" s="7"/>
      <c r="AG25" s="26"/>
      <c r="AH25" s="87"/>
      <c r="AI25" s="26"/>
      <c r="AJ25" s="7"/>
      <c r="AK25" s="26"/>
      <c r="AL25" s="7">
        <v>3300</v>
      </c>
      <c r="AM25" s="26" t="s">
        <v>2176</v>
      </c>
      <c r="AN25" s="7">
        <v>181700</v>
      </c>
      <c r="AO25" s="26" t="s">
        <v>2223</v>
      </c>
      <c r="AP25" s="7">
        <v>80.78</v>
      </c>
      <c r="AQ25" s="26" t="s">
        <v>2281</v>
      </c>
      <c r="AR25" s="7">
        <v>1869</v>
      </c>
      <c r="AS25" s="26" t="s">
        <v>2418</v>
      </c>
      <c r="AT25" s="7"/>
      <c r="AU25" s="26"/>
      <c r="AV25" s="7"/>
      <c r="AW25" s="26"/>
      <c r="AX25" s="7"/>
      <c r="AY25" s="26"/>
      <c r="AZ25" s="9">
        <v>1970</v>
      </c>
      <c r="BA25" s="15" t="s">
        <v>2482</v>
      </c>
      <c r="BB25" s="9">
        <v>3250.01</v>
      </c>
      <c r="BC25" s="15" t="s">
        <v>2552</v>
      </c>
      <c r="BD25" s="9"/>
      <c r="BE25" s="26"/>
      <c r="BF25" s="72"/>
      <c r="BG25" s="24"/>
      <c r="BH25" s="7"/>
      <c r="BI25" s="26"/>
      <c r="BJ25" s="7"/>
      <c r="BK25" s="26"/>
      <c r="BL25" s="7"/>
      <c r="BM25" s="26"/>
      <c r="BN25" s="7"/>
      <c r="BO25" s="26"/>
      <c r="BP25" s="7"/>
      <c r="BQ25" s="26"/>
      <c r="BR25" s="7"/>
      <c r="BS25" s="26"/>
      <c r="BT25" s="7"/>
      <c r="BU25" s="26"/>
      <c r="BV25" s="7"/>
      <c r="BW25" s="26"/>
      <c r="BX25" s="7"/>
      <c r="BY25" s="26"/>
      <c r="BZ25" s="7"/>
      <c r="CA25" s="26"/>
      <c r="CB25" s="7"/>
      <c r="CC25" s="26"/>
      <c r="CD25" s="7"/>
      <c r="CE25" s="26"/>
      <c r="CF25" s="7"/>
      <c r="CG25" s="26"/>
      <c r="CH25" s="7"/>
      <c r="CI25" s="26"/>
      <c r="CJ25" s="7"/>
      <c r="CK25" s="26"/>
      <c r="CL25" s="7"/>
      <c r="CM25" s="26"/>
      <c r="CN25" s="7"/>
    </row>
    <row r="26" spans="1:92" x14ac:dyDescent="0.25">
      <c r="A26" s="41"/>
      <c r="B26" s="7"/>
      <c r="C26" s="26"/>
      <c r="D26" s="7"/>
      <c r="E26" s="26"/>
      <c r="F26" s="7">
        <v>1099</v>
      </c>
      <c r="G26" s="26" t="s">
        <v>1552</v>
      </c>
      <c r="H26" s="7"/>
      <c r="I26" s="26"/>
      <c r="J26" s="9"/>
      <c r="K26" s="15"/>
      <c r="L26" s="9"/>
      <c r="M26" s="15"/>
      <c r="N26" s="9">
        <v>504.99</v>
      </c>
      <c r="O26" s="15" t="s">
        <v>1683</v>
      </c>
      <c r="P26" s="9">
        <v>1099.01</v>
      </c>
      <c r="Q26" s="15" t="s">
        <v>1896</v>
      </c>
      <c r="R26" s="9">
        <v>79.44</v>
      </c>
      <c r="S26" s="15" t="s">
        <v>1763</v>
      </c>
      <c r="T26" s="72"/>
      <c r="U26" s="24"/>
      <c r="V26" s="9"/>
      <c r="W26" s="15"/>
      <c r="X26" s="9">
        <v>1739.06</v>
      </c>
      <c r="Y26" s="15" t="s">
        <v>1867</v>
      </c>
      <c r="Z26" s="9"/>
      <c r="AA26" s="15"/>
      <c r="AD26" s="87">
        <v>500</v>
      </c>
      <c r="AE26" s="26" t="s">
        <v>2031</v>
      </c>
      <c r="AF26" s="7"/>
      <c r="AG26" s="26"/>
      <c r="AH26" s="87"/>
      <c r="AI26" s="26"/>
      <c r="AJ26" s="7"/>
      <c r="AK26" s="26"/>
      <c r="AL26" s="7">
        <v>5000</v>
      </c>
      <c r="AM26" s="26" t="s">
        <v>2177</v>
      </c>
      <c r="AP26" s="7">
        <v>1864.43</v>
      </c>
      <c r="AQ26" s="26" t="s">
        <v>2282</v>
      </c>
      <c r="AR26" s="7">
        <v>1499.01</v>
      </c>
      <c r="AS26" s="26" t="s">
        <v>2419</v>
      </c>
      <c r="AT26" s="7"/>
      <c r="AU26" s="26"/>
      <c r="AV26" s="7"/>
      <c r="AW26" s="26"/>
      <c r="AX26" s="7"/>
      <c r="AY26" s="26"/>
      <c r="AZ26" s="9">
        <v>756.45</v>
      </c>
      <c r="BA26" s="15" t="s">
        <v>2484</v>
      </c>
      <c r="BB26" s="9">
        <v>4395</v>
      </c>
      <c r="BC26" s="15" t="s">
        <v>2554</v>
      </c>
      <c r="BD26" s="72"/>
      <c r="BE26" s="24"/>
      <c r="BF26" s="7"/>
      <c r="BG26" s="26"/>
      <c r="BH26" s="7"/>
      <c r="BI26" s="26"/>
      <c r="BJ26" s="7"/>
      <c r="BK26" s="26"/>
      <c r="BL26" s="7"/>
      <c r="BM26" s="26"/>
      <c r="BN26" s="7"/>
      <c r="BO26" s="26"/>
      <c r="BP26" s="7"/>
      <c r="BQ26" s="26"/>
      <c r="BR26" s="7"/>
      <c r="BS26" s="26"/>
      <c r="BT26" s="7"/>
      <c r="BU26" s="26"/>
      <c r="BV26" s="7"/>
      <c r="BW26" s="26"/>
      <c r="BX26" s="7"/>
      <c r="BY26" s="26"/>
      <c r="BZ26" s="7"/>
      <c r="CA26" s="26"/>
      <c r="CB26" s="7"/>
      <c r="CC26" s="26"/>
      <c r="CD26" s="7"/>
      <c r="CE26" s="26"/>
      <c r="CF26" s="7"/>
      <c r="CG26" s="26"/>
      <c r="CH26" s="7"/>
      <c r="CI26" s="26"/>
      <c r="CJ26" s="7"/>
      <c r="CK26" s="26"/>
      <c r="CL26" s="7"/>
      <c r="CM26" s="26"/>
      <c r="CN26" s="7"/>
    </row>
    <row r="27" spans="1:92" x14ac:dyDescent="0.25">
      <c r="A27" s="41"/>
      <c r="B27" s="7"/>
      <c r="C27" s="26"/>
      <c r="D27" s="7"/>
      <c r="E27" s="15"/>
      <c r="F27" s="7">
        <v>1970</v>
      </c>
      <c r="G27" s="26" t="s">
        <v>1553</v>
      </c>
      <c r="H27" s="7"/>
      <c r="I27" s="26"/>
      <c r="J27" s="9"/>
      <c r="K27" s="9"/>
      <c r="L27" s="7"/>
      <c r="M27" s="26"/>
      <c r="N27" s="7"/>
      <c r="O27" s="26"/>
      <c r="P27" s="7">
        <v>1099.01</v>
      </c>
      <c r="Q27" s="26" t="s">
        <v>1898</v>
      </c>
      <c r="R27" s="7"/>
      <c r="S27" s="26"/>
      <c r="T27" s="7"/>
      <c r="U27" s="26"/>
      <c r="V27" s="7"/>
      <c r="W27" s="26"/>
      <c r="X27" s="7">
        <v>103000</v>
      </c>
      <c r="Y27" s="26" t="s">
        <v>1868</v>
      </c>
      <c r="Z27" s="7"/>
      <c r="AA27" s="26"/>
      <c r="AB27" s="87"/>
      <c r="AC27" s="88"/>
      <c r="AD27" s="87">
        <v>45500</v>
      </c>
      <c r="AE27" s="26" t="s">
        <v>2033</v>
      </c>
      <c r="AF27" s="7"/>
      <c r="AG27" s="26"/>
      <c r="AH27" s="87"/>
      <c r="AI27" s="26"/>
      <c r="AJ27" s="7"/>
      <c r="AK27" s="26"/>
      <c r="AL27" s="7">
        <v>5000</v>
      </c>
      <c r="AM27" s="26" t="s">
        <v>2179</v>
      </c>
      <c r="AN27" s="7">
        <v>2736.01</v>
      </c>
      <c r="AO27" s="26" t="s">
        <v>2231</v>
      </c>
      <c r="AP27" s="7">
        <v>2360.7399999999998</v>
      </c>
      <c r="AQ27" s="26" t="s">
        <v>2283</v>
      </c>
      <c r="AR27" s="7">
        <v>1099.01</v>
      </c>
      <c r="AS27" s="26" t="s">
        <v>2420</v>
      </c>
      <c r="AT27" s="7"/>
      <c r="AU27" s="26"/>
      <c r="AV27" s="7"/>
      <c r="AW27" s="26"/>
      <c r="AX27" s="7"/>
      <c r="AY27" s="26"/>
      <c r="AZ27" s="9">
        <v>1099.01</v>
      </c>
      <c r="BA27" s="15" t="s">
        <v>2485</v>
      </c>
      <c r="BB27" s="7"/>
      <c r="BC27" s="26"/>
      <c r="BD27" s="9"/>
      <c r="BE27" s="15"/>
      <c r="BF27" s="7"/>
      <c r="BG27" s="26"/>
      <c r="BH27" s="7"/>
      <c r="BI27" s="26"/>
      <c r="BJ27" s="7"/>
      <c r="BK27" s="26"/>
      <c r="BL27" s="7"/>
      <c r="BM27" s="26"/>
      <c r="BN27" s="7"/>
      <c r="BO27" s="26"/>
      <c r="BP27" s="7"/>
      <c r="BQ27" s="26"/>
      <c r="BR27" s="7"/>
      <c r="BS27" s="26"/>
      <c r="BT27" s="7"/>
      <c r="BU27" s="26"/>
      <c r="BV27" s="7"/>
      <c r="BW27" s="26"/>
      <c r="BX27" s="7"/>
      <c r="BY27" s="26"/>
      <c r="BZ27" s="7"/>
      <c r="CA27" s="26"/>
      <c r="CB27" s="7"/>
      <c r="CC27" s="26"/>
      <c r="CD27" s="7"/>
      <c r="CE27" s="26"/>
      <c r="CF27" s="7"/>
      <c r="CG27" s="26"/>
      <c r="CH27" s="7"/>
      <c r="CI27" s="26"/>
      <c r="CJ27" s="7"/>
      <c r="CK27" s="26"/>
      <c r="CL27" s="7"/>
      <c r="CM27" s="26"/>
      <c r="CN27" s="7"/>
    </row>
    <row r="28" spans="1:92" x14ac:dyDescent="0.25">
      <c r="A28" s="41"/>
      <c r="B28" s="7"/>
      <c r="C28" s="26"/>
      <c r="D28" s="7"/>
      <c r="E28" s="26"/>
      <c r="F28" s="7">
        <v>1099.01</v>
      </c>
      <c r="G28" s="26" t="s">
        <v>1563</v>
      </c>
      <c r="H28" s="7"/>
      <c r="I28" s="26"/>
      <c r="J28" s="9"/>
      <c r="K28" s="9"/>
      <c r="L28" s="7"/>
      <c r="M28" s="26"/>
      <c r="N28" s="7"/>
      <c r="O28" s="26"/>
      <c r="P28" s="7">
        <v>3198.87</v>
      </c>
      <c r="Q28" s="26" t="s">
        <v>1899</v>
      </c>
      <c r="R28" s="7"/>
      <c r="S28" s="26"/>
      <c r="T28" s="7"/>
      <c r="U28" s="26"/>
      <c r="V28" s="7"/>
      <c r="W28" s="26"/>
      <c r="X28" s="7">
        <v>1000</v>
      </c>
      <c r="Y28" s="26" t="s">
        <v>1872</v>
      </c>
      <c r="Z28" s="7"/>
      <c r="AA28" s="26"/>
      <c r="AB28" s="7">
        <v>153928</v>
      </c>
      <c r="AC28" s="26" t="s">
        <v>1985</v>
      </c>
      <c r="AD28" s="87">
        <v>1099.01</v>
      </c>
      <c r="AE28" s="26" t="s">
        <v>2037</v>
      </c>
      <c r="AF28" s="7"/>
      <c r="AG28" s="26"/>
      <c r="AH28" s="87"/>
      <c r="AI28" s="26"/>
      <c r="AJ28" s="7"/>
      <c r="AK28" s="26"/>
      <c r="AL28" s="7">
        <v>100</v>
      </c>
      <c r="AM28" s="26" t="s">
        <v>2180</v>
      </c>
      <c r="AN28" s="7">
        <v>1994.99</v>
      </c>
      <c r="AO28" s="26" t="s">
        <v>2233</v>
      </c>
      <c r="AP28" s="7">
        <v>44.79</v>
      </c>
      <c r="AQ28" s="26" t="s">
        <v>2285</v>
      </c>
      <c r="AR28" s="7">
        <v>1970</v>
      </c>
      <c r="AS28" s="26" t="s">
        <v>2427</v>
      </c>
      <c r="AT28" s="9"/>
      <c r="AU28" s="15"/>
      <c r="AV28" s="7"/>
      <c r="AW28" s="26"/>
      <c r="AX28" s="7"/>
      <c r="AY28" s="26"/>
      <c r="AZ28" s="9">
        <v>1969.99</v>
      </c>
      <c r="BA28" s="15" t="s">
        <v>2488</v>
      </c>
      <c r="BB28" s="7"/>
      <c r="BC28" s="26"/>
      <c r="BD28" s="9"/>
      <c r="BE28" s="15"/>
      <c r="BF28" s="7"/>
      <c r="BG28" s="26"/>
      <c r="BH28" s="7"/>
      <c r="BI28" s="26"/>
      <c r="BJ28" s="7"/>
      <c r="BK28" s="26"/>
      <c r="BL28" s="7"/>
      <c r="BM28" s="26"/>
      <c r="BN28" s="7"/>
      <c r="BO28" s="26"/>
      <c r="BP28" s="7"/>
      <c r="BQ28" s="26"/>
      <c r="BR28" s="7"/>
      <c r="BS28" s="26"/>
      <c r="BT28" s="7"/>
      <c r="BU28" s="26"/>
      <c r="BV28" s="7"/>
      <c r="BW28" s="26"/>
      <c r="BX28" s="7"/>
      <c r="BY28" s="26"/>
      <c r="BZ28" s="7"/>
      <c r="CA28" s="26"/>
      <c r="CB28" s="7"/>
      <c r="CC28" s="26"/>
      <c r="CD28" s="7"/>
      <c r="CE28" s="26"/>
      <c r="CF28" s="7"/>
      <c r="CG28" s="26"/>
      <c r="CH28" s="7"/>
      <c r="CI28" s="26"/>
      <c r="CJ28" s="7"/>
      <c r="CK28" s="26"/>
      <c r="CL28" s="7"/>
      <c r="CM28" s="26"/>
      <c r="CN28" s="7"/>
    </row>
    <row r="29" spans="1:92" x14ac:dyDescent="0.25">
      <c r="A29" s="41"/>
      <c r="B29" s="7"/>
      <c r="C29" s="26"/>
      <c r="D29" s="7"/>
      <c r="E29" s="26"/>
      <c r="F29" s="7">
        <v>1995</v>
      </c>
      <c r="G29" s="26" t="s">
        <v>1564</v>
      </c>
      <c r="H29" s="7"/>
      <c r="I29" s="26"/>
      <c r="J29" s="7"/>
      <c r="K29" s="26"/>
      <c r="L29" s="7"/>
      <c r="M29" s="26"/>
      <c r="N29" s="7"/>
      <c r="O29" s="26"/>
      <c r="P29" s="7">
        <v>1587.01</v>
      </c>
      <c r="Q29" s="26" t="s">
        <v>1900</v>
      </c>
      <c r="R29" s="7"/>
      <c r="S29" s="26"/>
      <c r="T29" s="7"/>
      <c r="U29" s="26"/>
      <c r="V29" s="7"/>
      <c r="W29" s="26"/>
      <c r="X29" s="7">
        <v>5940.9</v>
      </c>
      <c r="Y29" s="26" t="s">
        <v>1873</v>
      </c>
      <c r="Z29" s="7"/>
      <c r="AA29" s="26"/>
      <c r="AB29" s="7">
        <v>4395</v>
      </c>
      <c r="AC29" s="26" t="s">
        <v>1945</v>
      </c>
      <c r="AD29" s="7">
        <v>2812.84</v>
      </c>
      <c r="AE29" s="26" t="s">
        <v>2041</v>
      </c>
      <c r="AF29" s="7"/>
      <c r="AG29" s="26"/>
      <c r="AH29" s="87"/>
      <c r="AI29" s="26"/>
      <c r="AJ29" s="7"/>
      <c r="AK29" s="26"/>
      <c r="AL29" s="7">
        <v>220.12</v>
      </c>
      <c r="AM29" s="26" t="s">
        <v>2181</v>
      </c>
      <c r="AN29" s="7">
        <v>1099</v>
      </c>
      <c r="AO29" s="26" t="s">
        <v>2236</v>
      </c>
      <c r="AP29" s="7">
        <v>1099</v>
      </c>
      <c r="AQ29" s="26" t="s">
        <v>2286</v>
      </c>
      <c r="AR29" s="7">
        <v>535</v>
      </c>
      <c r="AS29" s="26" t="s">
        <v>2428</v>
      </c>
      <c r="AT29" s="9"/>
      <c r="AU29" s="15"/>
      <c r="AV29" s="7"/>
      <c r="AW29" s="26"/>
      <c r="AX29" s="7"/>
      <c r="AY29" s="26"/>
      <c r="AZ29" s="9">
        <v>1969.99</v>
      </c>
      <c r="BA29" s="15" t="s">
        <v>2490</v>
      </c>
      <c r="BB29" s="7"/>
      <c r="BC29" s="26"/>
      <c r="BD29" s="7"/>
      <c r="BE29" s="26"/>
      <c r="BF29" s="7"/>
      <c r="BG29" s="26"/>
      <c r="BH29" s="7"/>
      <c r="BI29" s="26"/>
      <c r="BJ29" s="7"/>
      <c r="BK29" s="26"/>
      <c r="BL29" s="7"/>
      <c r="BM29" s="26"/>
      <c r="BN29" s="7"/>
      <c r="BO29" s="26"/>
      <c r="BP29" s="7"/>
      <c r="BQ29" s="26"/>
      <c r="BR29" s="7"/>
      <c r="BS29" s="26"/>
      <c r="BT29" s="7"/>
      <c r="BU29" s="26"/>
      <c r="BV29" s="7"/>
      <c r="BW29" s="26"/>
      <c r="BX29" s="7"/>
      <c r="BY29" s="26"/>
      <c r="BZ29" s="7"/>
      <c r="CA29" s="26"/>
      <c r="CB29" s="7"/>
      <c r="CC29" s="26"/>
      <c r="CD29" s="7"/>
      <c r="CE29" s="26"/>
      <c r="CF29" s="7"/>
      <c r="CG29" s="26"/>
      <c r="CH29" s="7"/>
      <c r="CI29" s="26"/>
      <c r="CJ29" s="7"/>
      <c r="CK29" s="26"/>
      <c r="CL29" s="7"/>
      <c r="CM29" s="26"/>
      <c r="CN29" s="7"/>
    </row>
    <row r="30" spans="1:92" x14ac:dyDescent="0.25">
      <c r="A30" s="41"/>
      <c r="B30" s="9"/>
      <c r="C30" s="15"/>
      <c r="D30" s="9"/>
      <c r="E30" s="15"/>
      <c r="F30" s="9">
        <v>1099.01</v>
      </c>
      <c r="G30" s="15" t="s">
        <v>1565</v>
      </c>
      <c r="H30" s="9"/>
      <c r="I30" s="15"/>
      <c r="J30" s="9"/>
      <c r="K30" s="15"/>
      <c r="L30" s="9"/>
      <c r="M30" s="15"/>
      <c r="N30" s="9"/>
      <c r="O30" s="15"/>
      <c r="P30" s="7">
        <v>198.71</v>
      </c>
      <c r="Q30" s="26" t="s">
        <v>1901</v>
      </c>
      <c r="R30" s="9"/>
      <c r="S30" s="15"/>
      <c r="T30" s="9"/>
      <c r="U30" s="15"/>
      <c r="V30" s="9"/>
      <c r="W30" s="15"/>
      <c r="X30" s="9">
        <v>150</v>
      </c>
      <c r="Y30" s="15" t="s">
        <v>1875</v>
      </c>
      <c r="Z30" s="9"/>
      <c r="AA30" s="15"/>
      <c r="AB30" s="9">
        <v>1479.01</v>
      </c>
      <c r="AC30" s="15" t="s">
        <v>1990</v>
      </c>
      <c r="AD30" s="9">
        <v>987.57</v>
      </c>
      <c r="AE30" s="15" t="s">
        <v>2042</v>
      </c>
      <c r="AF30" s="9"/>
      <c r="AG30" s="15"/>
      <c r="AH30" s="72"/>
      <c r="AI30" s="15"/>
      <c r="AJ30" s="9"/>
      <c r="AK30" s="15"/>
      <c r="AL30" s="9">
        <v>1099.01</v>
      </c>
      <c r="AM30" s="15" t="s">
        <v>2185</v>
      </c>
      <c r="AN30" s="9">
        <v>1969.99</v>
      </c>
      <c r="AO30" s="15" t="s">
        <v>2237</v>
      </c>
      <c r="AP30" s="9">
        <v>1099.01</v>
      </c>
      <c r="AQ30" s="15" t="s">
        <v>2291</v>
      </c>
      <c r="AR30" s="9">
        <v>1970</v>
      </c>
      <c r="AS30" s="15" t="s">
        <v>2429</v>
      </c>
      <c r="AT30" s="9"/>
      <c r="AU30" s="15"/>
      <c r="AV30" s="9"/>
      <c r="AW30" s="15"/>
      <c r="AX30" s="9"/>
      <c r="AY30" s="15"/>
      <c r="AZ30" s="11">
        <v>1099.01</v>
      </c>
      <c r="BA30" s="13" t="s">
        <v>2491</v>
      </c>
      <c r="BB30" s="9"/>
      <c r="BC30" s="15"/>
      <c r="BD30" s="9"/>
      <c r="BE30" s="15"/>
      <c r="BF30" s="9"/>
      <c r="BG30" s="15"/>
      <c r="BH30" s="9"/>
      <c r="BI30" s="15"/>
      <c r="BJ30" s="9"/>
      <c r="BK30" s="15"/>
      <c r="BL30" s="9"/>
      <c r="BM30" s="15"/>
      <c r="BN30" s="9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</row>
    <row r="31" spans="1:92" x14ac:dyDescent="0.25">
      <c r="A31" s="43"/>
      <c r="B31" s="10"/>
      <c r="C31" s="12"/>
      <c r="D31" s="10"/>
      <c r="E31" s="12"/>
      <c r="F31" s="10">
        <v>1969.99</v>
      </c>
      <c r="G31" s="12" t="s">
        <v>1566</v>
      </c>
      <c r="H31" s="10"/>
      <c r="I31" s="12"/>
      <c r="J31" s="10"/>
      <c r="K31" s="12"/>
      <c r="L31" s="10"/>
      <c r="M31" s="12"/>
      <c r="N31" s="10"/>
      <c r="O31" s="12"/>
      <c r="P31" s="9"/>
      <c r="Q31" s="15"/>
      <c r="R31" s="10"/>
      <c r="S31" s="12"/>
      <c r="T31" s="10"/>
      <c r="U31" s="12"/>
      <c r="V31" s="10"/>
      <c r="W31" s="12"/>
      <c r="X31" s="10">
        <v>358.12</v>
      </c>
      <c r="Y31" s="12" t="s">
        <v>1876</v>
      </c>
      <c r="Z31" s="10"/>
      <c r="AA31" s="12"/>
      <c r="AB31" s="10">
        <v>1969.99</v>
      </c>
      <c r="AC31" s="12" t="s">
        <v>1991</v>
      </c>
      <c r="AD31" s="10">
        <v>862.26</v>
      </c>
      <c r="AE31" s="12" t="s">
        <v>2043</v>
      </c>
      <c r="AF31" s="10"/>
      <c r="AG31" s="12"/>
      <c r="AH31" s="87"/>
      <c r="AI31" s="12"/>
      <c r="AJ31" s="10"/>
      <c r="AK31" s="12"/>
      <c r="AL31" s="10">
        <v>232</v>
      </c>
      <c r="AM31" s="12" t="s">
        <v>2186</v>
      </c>
      <c r="AN31" s="10">
        <v>556.61</v>
      </c>
      <c r="AO31" s="12" t="s">
        <v>2239</v>
      </c>
      <c r="AP31" s="10">
        <v>824.82</v>
      </c>
      <c r="AQ31" s="12" t="s">
        <v>2294</v>
      </c>
      <c r="AR31" s="10">
        <v>1969.99</v>
      </c>
      <c r="AS31" s="12" t="s">
        <v>2432</v>
      </c>
      <c r="AT31" s="10"/>
      <c r="AU31" s="12"/>
      <c r="AV31" s="10"/>
      <c r="AW31" s="12"/>
      <c r="AX31" s="10"/>
      <c r="AY31" s="12"/>
      <c r="AZ31" s="9">
        <v>635</v>
      </c>
      <c r="BA31" s="15" t="s">
        <v>2493</v>
      </c>
      <c r="BB31" s="10"/>
      <c r="BC31" s="12"/>
      <c r="BD31" s="10"/>
      <c r="BE31" s="12"/>
      <c r="BF31" s="10"/>
      <c r="BG31" s="12"/>
      <c r="BH31" s="10"/>
      <c r="BI31" s="12"/>
      <c r="BJ31" s="10"/>
      <c r="BK31" s="12"/>
      <c r="BL31" s="10"/>
      <c r="BM31" s="12"/>
      <c r="BN31" s="10"/>
      <c r="BO31" s="12"/>
      <c r="BP31" s="10"/>
      <c r="BQ31" s="12"/>
      <c r="BR31" s="10"/>
      <c r="BS31" s="12"/>
      <c r="BT31" s="10"/>
      <c r="BU31" s="12"/>
      <c r="BV31" s="10"/>
      <c r="BW31" s="12"/>
      <c r="BX31" s="10"/>
      <c r="BY31" s="12"/>
      <c r="BZ31" s="10"/>
      <c r="CA31" s="12"/>
      <c r="CB31" s="10"/>
      <c r="CC31" s="12"/>
      <c r="CD31" s="10"/>
      <c r="CE31" s="12"/>
      <c r="CF31" s="10"/>
      <c r="CG31" s="12"/>
      <c r="CH31" s="10"/>
      <c r="CI31" s="12"/>
      <c r="CJ31" s="10"/>
      <c r="CK31" s="12"/>
      <c r="CL31" s="10"/>
      <c r="CM31" s="12"/>
      <c r="CN31" s="10"/>
    </row>
    <row r="32" spans="1:92" x14ac:dyDescent="0.25">
      <c r="A32" s="41"/>
      <c r="B32" s="7"/>
      <c r="C32" s="26"/>
      <c r="D32" s="7"/>
      <c r="E32" s="26"/>
      <c r="F32" s="7">
        <v>1479.01</v>
      </c>
      <c r="G32" s="26" t="s">
        <v>1567</v>
      </c>
      <c r="H32" s="7"/>
      <c r="I32" s="26"/>
      <c r="J32" s="7"/>
      <c r="K32" s="26"/>
      <c r="L32" s="7"/>
      <c r="M32" s="26"/>
      <c r="N32" s="7"/>
      <c r="O32" s="26"/>
      <c r="P32" s="7"/>
      <c r="Q32" s="26"/>
      <c r="R32" s="7"/>
      <c r="S32" s="26"/>
      <c r="T32" s="7"/>
      <c r="U32" s="26"/>
      <c r="V32" s="7"/>
      <c r="W32" s="26"/>
      <c r="X32" s="7">
        <v>1864.77</v>
      </c>
      <c r="Y32" s="26" t="s">
        <v>1879</v>
      </c>
      <c r="Z32" s="7"/>
      <c r="AA32" s="26"/>
      <c r="AB32" s="7">
        <v>1829.01</v>
      </c>
      <c r="AC32" s="26" t="s">
        <v>1992</v>
      </c>
      <c r="AD32" s="7"/>
      <c r="AE32" s="26"/>
      <c r="AF32" s="7"/>
      <c r="AG32" s="26"/>
      <c r="AH32" s="7"/>
      <c r="AI32" s="26"/>
      <c r="AJ32" s="7"/>
      <c r="AK32" s="26"/>
      <c r="AL32" s="7">
        <v>414.64</v>
      </c>
      <c r="AM32" s="26" t="s">
        <v>2188</v>
      </c>
      <c r="AN32" s="7">
        <v>1233.45</v>
      </c>
      <c r="AO32" s="26" t="s">
        <v>2194</v>
      </c>
      <c r="AP32" s="7">
        <v>365.78</v>
      </c>
      <c r="AQ32" s="26" t="s">
        <v>2295</v>
      </c>
      <c r="AR32" s="7">
        <v>1099.01</v>
      </c>
      <c r="AS32" s="26" t="s">
        <v>2433</v>
      </c>
      <c r="AT32" s="7"/>
      <c r="AU32" s="26"/>
      <c r="AV32" s="7"/>
      <c r="AW32" s="26"/>
      <c r="AX32" s="7"/>
      <c r="AY32" s="26"/>
      <c r="AZ32" s="9">
        <f>992.55-100</f>
        <v>892.55</v>
      </c>
      <c r="BA32" s="15" t="s">
        <v>2495</v>
      </c>
      <c r="BB32" s="7"/>
      <c r="BC32" s="26"/>
      <c r="BD32" s="7"/>
      <c r="BE32" s="26"/>
      <c r="BF32" s="7"/>
      <c r="BG32" s="26"/>
      <c r="BH32" s="7"/>
      <c r="BI32" s="26"/>
      <c r="BJ32" s="7"/>
      <c r="BK32" s="26"/>
      <c r="BL32" s="7"/>
      <c r="BM32" s="26"/>
      <c r="BN32" s="7"/>
      <c r="BO32" s="26"/>
      <c r="BP32" s="7"/>
      <c r="BQ32" s="26"/>
      <c r="BR32" s="7"/>
      <c r="BS32" s="26"/>
      <c r="BT32" s="7"/>
      <c r="BU32" s="26"/>
      <c r="BV32" s="7"/>
      <c r="BW32" s="26"/>
      <c r="BX32" s="7"/>
      <c r="BY32" s="26"/>
      <c r="BZ32" s="7"/>
      <c r="CA32" s="26"/>
      <c r="CB32" s="7"/>
      <c r="CC32" s="26"/>
      <c r="CD32" s="7"/>
      <c r="CE32" s="26"/>
      <c r="CF32" s="7"/>
      <c r="CG32" s="26"/>
      <c r="CH32" s="7"/>
      <c r="CI32" s="26"/>
      <c r="CJ32" s="7"/>
      <c r="CK32" s="26"/>
      <c r="CL32" s="7"/>
      <c r="CM32" s="26"/>
      <c r="CN32" s="7"/>
    </row>
    <row r="33" spans="1:92" x14ac:dyDescent="0.25">
      <c r="A33" s="41"/>
      <c r="B33" s="7"/>
      <c r="C33" s="26"/>
      <c r="D33" s="7"/>
      <c r="E33" s="26"/>
      <c r="F33" s="7">
        <v>1099.01</v>
      </c>
      <c r="G33" s="26" t="s">
        <v>1568</v>
      </c>
      <c r="H33" s="7"/>
      <c r="I33" s="26"/>
      <c r="J33" s="7"/>
      <c r="K33" s="26"/>
      <c r="L33" s="7"/>
      <c r="M33" s="26"/>
      <c r="N33" s="7"/>
      <c r="O33" s="26"/>
      <c r="P33" s="7"/>
      <c r="Q33" s="26"/>
      <c r="R33" s="7"/>
      <c r="S33" s="26"/>
      <c r="T33" s="7"/>
      <c r="U33" s="26"/>
      <c r="V33" s="7"/>
      <c r="W33" s="26"/>
      <c r="X33" s="7"/>
      <c r="Y33" s="26"/>
      <c r="Z33" s="7"/>
      <c r="AA33" s="26"/>
      <c r="AB33" s="7">
        <v>510.74</v>
      </c>
      <c r="AC33" s="26" t="s">
        <v>1993</v>
      </c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/>
      <c r="AQ33" s="26"/>
      <c r="AR33" s="7">
        <v>5413.02</v>
      </c>
      <c r="AS33" s="26" t="s">
        <v>2435</v>
      </c>
      <c r="AT33" s="7"/>
      <c r="AU33" s="26"/>
      <c r="AV33" s="7"/>
      <c r="AW33" s="26"/>
      <c r="AX33" s="7"/>
      <c r="AY33" s="26"/>
      <c r="AZ33" s="9">
        <f>4630.01-4595</f>
        <v>35.010000000000218</v>
      </c>
      <c r="BA33" s="15" t="s">
        <v>2496</v>
      </c>
      <c r="BB33" s="7"/>
      <c r="BC33" s="26"/>
      <c r="BD33" s="7"/>
      <c r="BE33" s="26"/>
      <c r="BF33" s="7"/>
      <c r="BG33" s="26"/>
      <c r="BH33" s="7"/>
      <c r="BI33" s="26"/>
      <c r="BJ33" s="7"/>
      <c r="BK33" s="26"/>
      <c r="BL33" s="7"/>
      <c r="BM33" s="26"/>
      <c r="BN33" s="7"/>
      <c r="BO33" s="26"/>
      <c r="BP33" s="7"/>
      <c r="BQ33" s="26"/>
      <c r="BR33" s="7"/>
      <c r="BS33" s="26"/>
      <c r="BT33" s="7"/>
      <c r="BU33" s="26"/>
      <c r="BV33" s="7"/>
      <c r="BW33" s="26"/>
      <c r="BX33" s="7"/>
      <c r="BY33" s="26"/>
      <c r="BZ33" s="7"/>
      <c r="CA33" s="26"/>
      <c r="CB33" s="7"/>
      <c r="CC33" s="26"/>
      <c r="CD33" s="7"/>
      <c r="CE33" s="26"/>
      <c r="CF33" s="7"/>
      <c r="CG33" s="26"/>
      <c r="CH33" s="7"/>
      <c r="CI33" s="26"/>
      <c r="CJ33" s="7"/>
      <c r="CK33" s="26"/>
      <c r="CL33" s="7"/>
      <c r="CM33" s="26"/>
      <c r="CN33" s="7"/>
    </row>
    <row r="34" spans="1:92" x14ac:dyDescent="0.25">
      <c r="A34" s="41"/>
      <c r="B34" s="7"/>
      <c r="C34" s="26"/>
      <c r="D34" s="7"/>
      <c r="E34" s="26"/>
      <c r="F34" s="7">
        <v>1099.01</v>
      </c>
      <c r="G34" s="26" t="s">
        <v>1569</v>
      </c>
      <c r="H34" s="7"/>
      <c r="I34" s="26"/>
      <c r="J34" s="7"/>
      <c r="K34" s="26"/>
      <c r="L34" s="7"/>
      <c r="M34" s="26"/>
      <c r="N34" s="7"/>
      <c r="O34" s="26"/>
      <c r="P34" s="7"/>
      <c r="Q34" s="26"/>
      <c r="R34" s="7"/>
      <c r="S34" s="26"/>
      <c r="T34" s="7"/>
      <c r="U34" s="26"/>
      <c r="V34" s="7"/>
      <c r="W34" s="26"/>
      <c r="X34" s="7"/>
      <c r="Y34" s="26"/>
      <c r="Z34" s="7"/>
      <c r="AA34" s="26"/>
      <c r="AB34" s="7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/>
      <c r="AQ34" s="26"/>
      <c r="AR34" s="7">
        <v>579.55999999999995</v>
      </c>
      <c r="AS34" s="26" t="s">
        <v>2437</v>
      </c>
      <c r="AT34" s="7"/>
      <c r="AU34" s="26"/>
      <c r="AV34" s="7"/>
      <c r="AW34" s="26"/>
      <c r="AX34" s="7"/>
      <c r="AY34" s="26"/>
      <c r="AZ34" s="9">
        <v>887.75</v>
      </c>
      <c r="BA34" s="15" t="s">
        <v>2498</v>
      </c>
      <c r="BB34" s="7"/>
      <c r="BC34" s="26"/>
      <c r="BD34" s="7"/>
      <c r="BE34" s="26"/>
      <c r="BF34" s="7"/>
      <c r="BG34" s="26"/>
      <c r="BH34" s="7"/>
      <c r="BI34" s="26"/>
      <c r="BJ34" s="7"/>
      <c r="BK34" s="26"/>
      <c r="BL34" s="7"/>
      <c r="BM34" s="26"/>
      <c r="BN34" s="7"/>
      <c r="BO34" s="26"/>
      <c r="BP34" s="7"/>
      <c r="BQ34" s="26"/>
      <c r="BR34" s="7"/>
      <c r="BS34" s="26"/>
      <c r="BT34" s="7"/>
      <c r="BU34" s="26"/>
      <c r="BV34" s="7"/>
      <c r="BW34" s="26"/>
      <c r="BX34" s="7"/>
      <c r="BY34" s="26"/>
      <c r="BZ34" s="7"/>
      <c r="CA34" s="26"/>
      <c r="CB34" s="7"/>
      <c r="CC34" s="26"/>
      <c r="CD34" s="7"/>
      <c r="CE34" s="26"/>
      <c r="CF34" s="7"/>
      <c r="CG34" s="26"/>
      <c r="CH34" s="7"/>
      <c r="CI34" s="26"/>
      <c r="CJ34" s="7"/>
      <c r="CK34" s="26"/>
      <c r="CL34" s="7"/>
      <c r="CM34" s="26"/>
      <c r="CN34" s="7"/>
    </row>
    <row r="35" spans="1:92" x14ac:dyDescent="0.25">
      <c r="A35" s="41"/>
      <c r="B35" s="7"/>
      <c r="C35" s="26"/>
      <c r="D35" s="7"/>
      <c r="E35" s="26"/>
      <c r="F35" s="7">
        <v>1970</v>
      </c>
      <c r="G35" s="26" t="s">
        <v>1570</v>
      </c>
      <c r="H35" s="7"/>
      <c r="I35" s="26"/>
      <c r="J35" s="7"/>
      <c r="K35" s="26"/>
      <c r="L35" s="7"/>
      <c r="M35" s="26"/>
      <c r="N35" s="7"/>
      <c r="O35" s="26"/>
      <c r="P35" s="7"/>
      <c r="Q35" s="26"/>
      <c r="R35" s="7"/>
      <c r="S35" s="26"/>
      <c r="T35" s="7"/>
      <c r="U35" s="26"/>
      <c r="V35" s="7"/>
      <c r="W35" s="26"/>
      <c r="X35" s="7"/>
      <c r="Y35" s="26"/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/>
      <c r="AQ35" s="26"/>
      <c r="AR35" s="7">
        <v>448.69</v>
      </c>
      <c r="AS35" s="26" t="s">
        <v>2438</v>
      </c>
      <c r="AT35" s="7"/>
      <c r="AU35" s="26"/>
      <c r="AV35" s="7"/>
      <c r="AW35" s="26"/>
      <c r="AX35" s="7"/>
      <c r="AY35" s="26"/>
      <c r="AZ35" s="9">
        <v>414.64</v>
      </c>
      <c r="BA35" s="15" t="s">
        <v>2499</v>
      </c>
      <c r="BB35" s="7"/>
      <c r="BC35" s="26"/>
      <c r="BD35" s="7"/>
      <c r="BE35" s="26"/>
      <c r="BF35" s="7"/>
      <c r="BG35" s="26"/>
      <c r="BH35" s="7"/>
      <c r="BI35" s="26"/>
      <c r="BJ35" s="7"/>
      <c r="BK35" s="26"/>
      <c r="BL35" s="7"/>
      <c r="BM35" s="26"/>
      <c r="BN35" s="7"/>
      <c r="BO35" s="26"/>
      <c r="BP35" s="7"/>
      <c r="BQ35" s="26"/>
      <c r="BR35" s="7"/>
      <c r="BS35" s="26"/>
      <c r="BT35" s="7"/>
      <c r="BU35" s="26"/>
      <c r="BV35" s="7"/>
      <c r="BW35" s="26"/>
      <c r="BX35" s="7"/>
      <c r="BY35" s="26"/>
      <c r="BZ35" s="7"/>
      <c r="CA35" s="26"/>
      <c r="CB35" s="7"/>
      <c r="CC35" s="26"/>
      <c r="CD35" s="7"/>
      <c r="CE35" s="26"/>
      <c r="CF35" s="7"/>
      <c r="CG35" s="26"/>
      <c r="CH35" s="7"/>
      <c r="CI35" s="26"/>
      <c r="CJ35" s="7"/>
      <c r="CK35" s="26"/>
      <c r="CL35" s="7"/>
      <c r="CM35" s="26"/>
      <c r="CN35" s="7"/>
    </row>
    <row r="36" spans="1:92" x14ac:dyDescent="0.25">
      <c r="A36" s="41"/>
      <c r="B36" s="7"/>
      <c r="C36" s="26"/>
      <c r="D36" s="7"/>
      <c r="E36" s="26"/>
      <c r="F36" s="7">
        <v>200.01</v>
      </c>
      <c r="G36" s="26" t="s">
        <v>1571</v>
      </c>
      <c r="H36" s="7"/>
      <c r="I36" s="26"/>
      <c r="J36" s="7"/>
      <c r="K36" s="26"/>
      <c r="L36" s="7"/>
      <c r="M36" s="26"/>
      <c r="N36" s="7"/>
      <c r="O36" s="26"/>
      <c r="P36" s="7"/>
      <c r="Q36" s="26"/>
      <c r="R36" s="7"/>
      <c r="S36" s="26"/>
      <c r="T36" s="7"/>
      <c r="U36" s="26"/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/>
      <c r="AU36" s="26"/>
      <c r="AV36" s="7"/>
      <c r="AW36" s="26"/>
      <c r="AX36" s="7"/>
      <c r="AY36" s="26"/>
      <c r="AZ36" s="9">
        <v>4800</v>
      </c>
      <c r="BA36" s="15" t="s">
        <v>2471</v>
      </c>
      <c r="BB36" s="7"/>
      <c r="BC36" s="26"/>
      <c r="BD36" s="7"/>
      <c r="BE36" s="26"/>
      <c r="BF36" s="7"/>
      <c r="BG36" s="26"/>
      <c r="BH36" s="7"/>
      <c r="BI36" s="26"/>
      <c r="BJ36" s="7"/>
      <c r="BK36" s="26"/>
      <c r="BL36" s="7"/>
      <c r="BM36" s="26"/>
      <c r="BN36" s="7"/>
      <c r="BO36" s="26"/>
      <c r="BP36" s="7"/>
      <c r="BQ36" s="26"/>
      <c r="BR36" s="7"/>
      <c r="BS36" s="26"/>
      <c r="BT36" s="7"/>
      <c r="BU36" s="26"/>
      <c r="BV36" s="7"/>
      <c r="BW36" s="26"/>
      <c r="BX36" s="7"/>
      <c r="BY36" s="26"/>
      <c r="BZ36" s="7"/>
      <c r="CA36" s="26"/>
      <c r="CB36" s="7"/>
      <c r="CC36" s="26"/>
      <c r="CD36" s="7"/>
      <c r="CE36" s="26"/>
      <c r="CF36" s="7"/>
      <c r="CG36" s="26"/>
      <c r="CH36" s="7"/>
      <c r="CI36" s="26"/>
      <c r="CJ36" s="7"/>
      <c r="CK36" s="26"/>
      <c r="CL36" s="7"/>
      <c r="CM36" s="26"/>
      <c r="CN36" s="7"/>
    </row>
    <row r="37" spans="1:92" x14ac:dyDescent="0.25">
      <c r="A37" s="41"/>
      <c r="B37" s="7"/>
      <c r="C37" s="26"/>
      <c r="D37" s="7"/>
      <c r="E37" s="26"/>
      <c r="F37" s="7">
        <v>5723.36</v>
      </c>
      <c r="G37" s="26" t="s">
        <v>1564</v>
      </c>
      <c r="H37" s="7"/>
      <c r="I37" s="26"/>
      <c r="J37" s="7"/>
      <c r="K37" s="26"/>
      <c r="L37" s="7"/>
      <c r="M37" s="26"/>
      <c r="N37" s="7"/>
      <c r="O37" s="26"/>
      <c r="P37" s="7"/>
      <c r="Q37" s="26"/>
      <c r="R37" s="7"/>
      <c r="S37" s="26"/>
      <c r="T37" s="7"/>
      <c r="U37" s="26"/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/>
      <c r="AU37" s="26"/>
      <c r="AV37" s="7"/>
      <c r="AW37" s="26"/>
      <c r="AX37" s="7"/>
      <c r="AY37" s="26"/>
      <c r="AZ37" s="9"/>
      <c r="BA37" s="15"/>
      <c r="BB37" s="7"/>
      <c r="BC37" s="26"/>
      <c r="BD37" s="7"/>
      <c r="BE37" s="26"/>
      <c r="BF37" s="7"/>
      <c r="BG37" s="26"/>
      <c r="BH37" s="7"/>
      <c r="BI37" s="26"/>
      <c r="BJ37" s="7"/>
      <c r="BK37" s="26"/>
      <c r="BL37" s="7"/>
      <c r="BM37" s="26"/>
      <c r="BN37" s="7"/>
      <c r="BO37" s="26"/>
      <c r="BP37" s="7"/>
      <c r="BQ37" s="26"/>
      <c r="BR37" s="7"/>
      <c r="BS37" s="26"/>
      <c r="BT37" s="7"/>
      <c r="BU37" s="26"/>
      <c r="BV37" s="7"/>
      <c r="BW37" s="26"/>
      <c r="BX37" s="7"/>
      <c r="BY37" s="26"/>
      <c r="BZ37" s="7"/>
      <c r="CA37" s="26"/>
      <c r="CB37" s="7"/>
      <c r="CC37" s="26"/>
      <c r="CD37" s="7"/>
      <c r="CE37" s="26"/>
      <c r="CF37" s="7"/>
      <c r="CG37" s="26"/>
      <c r="CH37" s="7"/>
      <c r="CI37" s="26"/>
      <c r="CJ37" s="7"/>
      <c r="CK37" s="26"/>
      <c r="CL37" s="7"/>
      <c r="CM37" s="26"/>
      <c r="CN37" s="7"/>
    </row>
    <row r="38" spans="1:92" x14ac:dyDescent="0.25">
      <c r="A38" s="41"/>
      <c r="B38" s="7"/>
      <c r="C38" s="26"/>
      <c r="D38" s="7"/>
      <c r="E38" s="26"/>
      <c r="F38" s="7">
        <v>2899</v>
      </c>
      <c r="G38" s="26" t="s">
        <v>1576</v>
      </c>
      <c r="H38" s="7"/>
      <c r="I38" s="26"/>
      <c r="J38" s="7"/>
      <c r="K38" s="26"/>
      <c r="L38" s="7"/>
      <c r="M38" s="26"/>
      <c r="N38" s="7"/>
      <c r="O38" s="26"/>
      <c r="P38" s="7"/>
      <c r="Q38" s="26"/>
      <c r="R38" s="7"/>
      <c r="S38" s="26"/>
      <c r="T38" s="7"/>
      <c r="U38" s="26"/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9"/>
      <c r="BA38" s="15"/>
      <c r="BB38" s="7"/>
      <c r="BC38" s="26"/>
      <c r="BD38" s="7"/>
      <c r="BE38" s="26"/>
      <c r="BF38" s="7"/>
      <c r="BG38" s="26"/>
      <c r="BH38" s="7"/>
      <c r="BI38" s="26"/>
      <c r="BJ38" s="7"/>
      <c r="BK38" s="26"/>
      <c r="BL38" s="7"/>
      <c r="BM38" s="26"/>
      <c r="BN38" s="7"/>
      <c r="BO38" s="26"/>
      <c r="BP38" s="7"/>
      <c r="BQ38" s="26"/>
      <c r="BR38" s="7"/>
      <c r="BS38" s="26"/>
      <c r="BT38" s="7"/>
      <c r="BU38" s="26"/>
      <c r="BV38" s="7"/>
      <c r="BW38" s="26"/>
      <c r="BX38" s="7"/>
      <c r="BY38" s="26"/>
      <c r="BZ38" s="7"/>
      <c r="CA38" s="26"/>
      <c r="CB38" s="7"/>
      <c r="CC38" s="26"/>
      <c r="CD38" s="7"/>
      <c r="CE38" s="26"/>
      <c r="CF38" s="7"/>
      <c r="CG38" s="26"/>
      <c r="CH38" s="7"/>
      <c r="CI38" s="26"/>
      <c r="CJ38" s="7"/>
      <c r="CK38" s="26"/>
      <c r="CL38" s="7"/>
      <c r="CM38" s="26"/>
      <c r="CN38" s="7"/>
    </row>
    <row r="39" spans="1:92" x14ac:dyDescent="0.25">
      <c r="A39" s="41"/>
      <c r="B39" s="7"/>
      <c r="C39" s="26"/>
      <c r="D39" s="7"/>
      <c r="E39" s="26"/>
      <c r="F39" s="7">
        <v>52.2</v>
      </c>
      <c r="G39" s="26" t="s">
        <v>1577</v>
      </c>
      <c r="H39" s="7"/>
      <c r="I39" s="26"/>
      <c r="J39" s="7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9"/>
      <c r="BA39" s="15"/>
      <c r="BB39" s="7"/>
      <c r="BC39" s="26"/>
      <c r="BD39" s="7"/>
      <c r="BE39" s="26"/>
      <c r="BF39" s="7"/>
      <c r="BG39" s="26"/>
      <c r="BH39" s="7"/>
      <c r="BI39" s="26"/>
      <c r="BJ39" s="7"/>
      <c r="BK39" s="26"/>
      <c r="BL39" s="7"/>
      <c r="BM39" s="26"/>
      <c r="BN39" s="7"/>
      <c r="BO39" s="26"/>
      <c r="BP39" s="7"/>
      <c r="BQ39" s="26"/>
      <c r="BR39" s="7"/>
      <c r="BS39" s="26"/>
      <c r="BT39" s="7"/>
      <c r="BU39" s="26"/>
      <c r="BV39" s="7"/>
      <c r="BW39" s="26"/>
      <c r="BX39" s="7"/>
      <c r="BY39" s="26"/>
      <c r="BZ39" s="7"/>
      <c r="CA39" s="26"/>
      <c r="CB39" s="7"/>
      <c r="CC39" s="26"/>
      <c r="CD39" s="7"/>
      <c r="CE39" s="26"/>
      <c r="CF39" s="7"/>
      <c r="CG39" s="26"/>
      <c r="CH39" s="7"/>
      <c r="CI39" s="26"/>
      <c r="CJ39" s="7"/>
      <c r="CK39" s="26"/>
      <c r="CL39" s="7"/>
      <c r="CM39" s="26"/>
      <c r="CN39" s="7"/>
    </row>
    <row r="40" spans="1:92" x14ac:dyDescent="0.25">
      <c r="A40" s="41"/>
      <c r="B40" s="7"/>
      <c r="C40" s="26"/>
      <c r="D40" s="7"/>
      <c r="E40" s="26"/>
      <c r="F40" s="7">
        <v>556.61</v>
      </c>
      <c r="G40" s="26" t="s">
        <v>1579</v>
      </c>
      <c r="H40" s="7"/>
      <c r="I40" s="26"/>
      <c r="J40" s="7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9"/>
      <c r="BA40" s="15"/>
      <c r="BB40" s="7"/>
      <c r="BC40" s="26"/>
      <c r="BD40" s="7"/>
      <c r="BE40" s="26"/>
      <c r="BF40" s="7"/>
      <c r="BG40" s="26"/>
      <c r="BH40" s="7"/>
      <c r="BI40" s="26"/>
      <c r="BJ40" s="7"/>
      <c r="BK40" s="26"/>
      <c r="BL40" s="7"/>
      <c r="BM40" s="26"/>
      <c r="BN40" s="7"/>
      <c r="BO40" s="26"/>
      <c r="BP40" s="7"/>
      <c r="BQ40" s="26"/>
      <c r="BR40" s="7"/>
      <c r="BS40" s="26"/>
      <c r="BT40" s="7"/>
      <c r="BU40" s="26"/>
      <c r="BV40" s="7"/>
      <c r="BW40" s="26"/>
      <c r="BX40" s="7"/>
      <c r="BY40" s="26"/>
      <c r="BZ40" s="7"/>
      <c r="CA40" s="26"/>
      <c r="CB40" s="7"/>
      <c r="CC40" s="26"/>
      <c r="CD40" s="7"/>
      <c r="CE40" s="26"/>
      <c r="CF40" s="7"/>
      <c r="CG40" s="26"/>
      <c r="CH40" s="7"/>
      <c r="CI40" s="26"/>
      <c r="CJ40" s="7"/>
      <c r="CK40" s="26"/>
      <c r="CL40" s="7"/>
      <c r="CM40" s="26"/>
      <c r="CN40" s="7"/>
    </row>
    <row r="41" spans="1:92" x14ac:dyDescent="0.25">
      <c r="A41" s="41"/>
      <c r="B41" s="7"/>
      <c r="C41" s="26"/>
      <c r="D41" s="7"/>
      <c r="E41" s="26"/>
      <c r="F41" s="7">
        <f>1405.5-1031.08</f>
        <v>374.42000000000007</v>
      </c>
      <c r="G41" s="26" t="s">
        <v>1581</v>
      </c>
      <c r="H41" s="7"/>
      <c r="I41" s="26"/>
      <c r="J41" s="7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7"/>
      <c r="AE41" s="26"/>
      <c r="AF41" s="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9"/>
      <c r="BA41" s="15"/>
      <c r="BB41" s="7"/>
      <c r="BC41" s="26"/>
      <c r="BD41" s="7"/>
      <c r="BE41" s="26"/>
      <c r="BF41" s="7"/>
      <c r="BG41" s="26"/>
      <c r="BH41" s="7"/>
      <c r="BI41" s="26"/>
      <c r="BJ41" s="7"/>
      <c r="BK41" s="26"/>
      <c r="BL41" s="7"/>
      <c r="BM41" s="26"/>
      <c r="BN41" s="7"/>
      <c r="BO41" s="26"/>
      <c r="BP41" s="7"/>
      <c r="BQ41" s="26"/>
      <c r="BR41" s="7"/>
      <c r="BS41" s="26"/>
      <c r="BT41" s="7"/>
      <c r="BU41" s="26"/>
      <c r="BV41" s="7"/>
      <c r="BW41" s="26"/>
      <c r="BX41" s="7"/>
      <c r="BY41" s="26"/>
      <c r="BZ41" s="7"/>
      <c r="CA41" s="26"/>
      <c r="CB41" s="7"/>
      <c r="CC41" s="26"/>
      <c r="CD41" s="7"/>
      <c r="CE41" s="26"/>
      <c r="CF41" s="7"/>
      <c r="CG41" s="26"/>
      <c r="CH41" s="7"/>
      <c r="CI41" s="26"/>
      <c r="CJ41" s="7"/>
      <c r="CK41" s="26"/>
      <c r="CL41" s="7"/>
      <c r="CM41" s="26"/>
      <c r="CN41" s="7"/>
    </row>
    <row r="42" spans="1:92" x14ac:dyDescent="0.25">
      <c r="A42" s="41"/>
      <c r="B42" s="7"/>
      <c r="C42" s="26"/>
      <c r="D42" s="7"/>
      <c r="E42" s="26"/>
      <c r="F42" s="7">
        <v>900.94</v>
      </c>
      <c r="G42" s="26" t="s">
        <v>1584</v>
      </c>
      <c r="H42" s="7"/>
      <c r="I42" s="26"/>
      <c r="J42" s="7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9"/>
      <c r="BA42" s="15"/>
      <c r="BB42" s="7"/>
      <c r="BC42" s="26"/>
      <c r="BD42" s="7"/>
      <c r="BE42" s="26"/>
      <c r="BF42" s="7"/>
      <c r="BG42" s="26"/>
      <c r="BH42" s="7"/>
      <c r="BI42" s="26"/>
      <c r="BJ42" s="7"/>
      <c r="BK42" s="26"/>
      <c r="BL42" s="7"/>
      <c r="BM42" s="26"/>
      <c r="BN42" s="7"/>
      <c r="BO42" s="26"/>
      <c r="BP42" s="7"/>
      <c r="BQ42" s="26"/>
      <c r="BR42" s="7"/>
      <c r="BS42" s="26"/>
      <c r="BT42" s="7"/>
      <c r="BU42" s="26"/>
      <c r="BV42" s="7"/>
      <c r="BW42" s="26"/>
      <c r="BX42" s="7"/>
      <c r="BY42" s="26"/>
      <c r="BZ42" s="7"/>
      <c r="CA42" s="26"/>
      <c r="CB42" s="7"/>
      <c r="CC42" s="26"/>
      <c r="CD42" s="7"/>
      <c r="CE42" s="26"/>
      <c r="CF42" s="7"/>
      <c r="CG42" s="26"/>
      <c r="CH42" s="7"/>
      <c r="CI42" s="26"/>
      <c r="CJ42" s="7"/>
      <c r="CK42" s="26"/>
      <c r="CL42" s="7"/>
      <c r="CM42" s="26"/>
      <c r="CN42" s="7"/>
    </row>
    <row r="43" spans="1:92" x14ac:dyDescent="0.25">
      <c r="A43" s="41"/>
      <c r="B43" s="7"/>
      <c r="C43" s="26"/>
      <c r="D43" s="7"/>
      <c r="E43" s="26"/>
      <c r="F43" s="7">
        <v>1766.23</v>
      </c>
      <c r="G43" s="26" t="s">
        <v>1588</v>
      </c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9"/>
      <c r="BA43" s="15"/>
      <c r="BB43" s="7"/>
      <c r="BC43" s="26"/>
      <c r="BD43" s="7"/>
      <c r="BE43" s="26"/>
      <c r="BF43" s="7"/>
      <c r="BG43" s="26"/>
      <c r="BH43" s="7"/>
      <c r="BI43" s="26"/>
      <c r="BJ43" s="7"/>
      <c r="BK43" s="26"/>
      <c r="BL43" s="7"/>
      <c r="BM43" s="26"/>
      <c r="BN43" s="7"/>
      <c r="BO43" s="26"/>
      <c r="BP43" s="7"/>
      <c r="BQ43" s="26"/>
      <c r="BR43" s="7"/>
      <c r="BS43" s="26"/>
      <c r="BT43" s="7"/>
      <c r="BU43" s="26"/>
      <c r="BV43" s="7"/>
      <c r="BW43" s="26"/>
      <c r="BX43" s="7"/>
      <c r="BY43" s="26"/>
      <c r="BZ43" s="7"/>
      <c r="CA43" s="26"/>
      <c r="CB43" s="7"/>
      <c r="CC43" s="26"/>
      <c r="CD43" s="7"/>
      <c r="CE43" s="26"/>
      <c r="CF43" s="7"/>
      <c r="CG43" s="26"/>
      <c r="CH43" s="7"/>
      <c r="CI43" s="26"/>
      <c r="CJ43" s="7"/>
      <c r="CK43" s="26"/>
      <c r="CL43" s="7"/>
      <c r="CM43" s="26"/>
      <c r="CN43" s="7"/>
    </row>
    <row r="44" spans="1:92" x14ac:dyDescent="0.25">
      <c r="A44" s="41"/>
      <c r="B44" s="7"/>
      <c r="C44" s="26"/>
      <c r="D44" s="7"/>
      <c r="E44" s="26"/>
      <c r="F44" s="7">
        <v>839.68</v>
      </c>
      <c r="G44" s="26" t="s">
        <v>1589</v>
      </c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9"/>
      <c r="BA44" s="15"/>
      <c r="BB44" s="7"/>
      <c r="BC44" s="26"/>
      <c r="BD44" s="7"/>
      <c r="BE44" s="26"/>
      <c r="BF44" s="7"/>
      <c r="BG44" s="26"/>
      <c r="BH44" s="7"/>
      <c r="BI44" s="26"/>
      <c r="BJ44" s="7"/>
      <c r="BK44" s="26"/>
      <c r="BL44" s="7"/>
      <c r="BM44" s="26"/>
      <c r="BN44" s="7"/>
      <c r="BO44" s="26"/>
      <c r="BP44" s="7"/>
      <c r="BQ44" s="26"/>
      <c r="BR44" s="7"/>
      <c r="BS44" s="26"/>
      <c r="BT44" s="7"/>
      <c r="BU44" s="26"/>
      <c r="BV44" s="7"/>
      <c r="BW44" s="26"/>
      <c r="BX44" s="7"/>
      <c r="BY44" s="26"/>
      <c r="BZ44" s="7"/>
      <c r="CA44" s="26"/>
      <c r="CB44" s="7"/>
      <c r="CC44" s="26"/>
      <c r="CD44" s="7"/>
      <c r="CE44" s="26"/>
      <c r="CF44" s="7"/>
      <c r="CG44" s="26"/>
      <c r="CH44" s="7"/>
      <c r="CI44" s="26"/>
      <c r="CJ44" s="7"/>
      <c r="CK44" s="26"/>
      <c r="CL44" s="7"/>
      <c r="CM44" s="26"/>
      <c r="CN44" s="7"/>
    </row>
    <row r="45" spans="1:92" x14ac:dyDescent="0.25">
      <c r="A45" s="41"/>
      <c r="B45" s="7"/>
      <c r="C45" s="26"/>
      <c r="D45" s="7"/>
      <c r="E45" s="26"/>
      <c r="F45" s="7">
        <v>1303.0999999999999</v>
      </c>
      <c r="G45" s="26" t="s">
        <v>1590</v>
      </c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9"/>
      <c r="BA45" s="15"/>
      <c r="BB45" s="7"/>
      <c r="BC45" s="26"/>
      <c r="BD45" s="7"/>
      <c r="BE45" s="26"/>
      <c r="BF45" s="7"/>
      <c r="BG45" s="26"/>
      <c r="BH45" s="7"/>
      <c r="BI45" s="26"/>
      <c r="BJ45" s="7"/>
      <c r="BK45" s="26"/>
      <c r="BL45" s="7"/>
      <c r="BM45" s="26"/>
      <c r="BN45" s="7"/>
      <c r="BO45" s="26"/>
      <c r="BP45" s="7"/>
      <c r="BQ45" s="26"/>
      <c r="BR45" s="7"/>
      <c r="BS45" s="26"/>
      <c r="BT45" s="7"/>
      <c r="BU45" s="26"/>
      <c r="BV45" s="7"/>
      <c r="BW45" s="26"/>
      <c r="BX45" s="7"/>
      <c r="BY45" s="26"/>
      <c r="BZ45" s="7"/>
      <c r="CA45" s="26"/>
      <c r="CB45" s="7"/>
      <c r="CC45" s="26"/>
      <c r="CD45" s="7"/>
      <c r="CE45" s="26"/>
      <c r="CF45" s="7"/>
      <c r="CG45" s="26"/>
      <c r="CH45" s="7"/>
      <c r="CI45" s="26"/>
      <c r="CJ45" s="7"/>
      <c r="CK45" s="26"/>
      <c r="CL45" s="7"/>
      <c r="CM45" s="26"/>
      <c r="CN45" s="7"/>
    </row>
    <row r="46" spans="1:92" x14ac:dyDescent="0.25">
      <c r="A46" s="41"/>
      <c r="B46" s="7"/>
      <c r="C46" s="26"/>
      <c r="D46" s="7"/>
      <c r="E46" s="26"/>
      <c r="F46" s="7">
        <v>76.069999999999993</v>
      </c>
      <c r="G46" s="26" t="s">
        <v>1591</v>
      </c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9"/>
      <c r="BA46" s="15"/>
      <c r="BB46" s="7"/>
      <c r="BC46" s="26"/>
      <c r="BD46" s="7"/>
      <c r="BE46" s="26"/>
      <c r="BF46" s="7"/>
      <c r="BG46" s="26"/>
      <c r="BH46" s="7"/>
      <c r="BI46" s="26"/>
      <c r="BJ46" s="7"/>
      <c r="BK46" s="26"/>
      <c r="BL46" s="7"/>
      <c r="BM46" s="26"/>
      <c r="BN46" s="7"/>
      <c r="BO46" s="26"/>
      <c r="BP46" s="7"/>
      <c r="BQ46" s="26"/>
      <c r="BR46" s="7"/>
      <c r="BS46" s="26"/>
      <c r="BT46" s="7"/>
      <c r="BU46" s="26"/>
      <c r="BV46" s="7"/>
      <c r="BW46" s="26"/>
      <c r="BX46" s="7"/>
      <c r="BY46" s="26"/>
      <c r="BZ46" s="7"/>
      <c r="CA46" s="26"/>
      <c r="CB46" s="7"/>
      <c r="CC46" s="26"/>
      <c r="CD46" s="7"/>
      <c r="CE46" s="26"/>
      <c r="CF46" s="7"/>
      <c r="CG46" s="26"/>
      <c r="CH46" s="7"/>
      <c r="CI46" s="26"/>
      <c r="CJ46" s="7"/>
      <c r="CK46" s="26"/>
      <c r="CL46" s="7"/>
      <c r="CM46" s="26"/>
      <c r="CN46" s="7"/>
    </row>
    <row r="47" spans="1:92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9"/>
      <c r="BA47" s="15"/>
      <c r="BB47" s="7"/>
      <c r="BC47" s="26"/>
      <c r="BD47" s="7"/>
      <c r="BE47" s="26"/>
      <c r="BF47" s="7"/>
      <c r="BG47" s="26"/>
      <c r="BH47" s="7"/>
      <c r="BI47" s="26"/>
      <c r="BJ47" s="7"/>
      <c r="BK47" s="26"/>
      <c r="BL47" s="7"/>
      <c r="BM47" s="26"/>
      <c r="BN47" s="7"/>
      <c r="BO47" s="26"/>
      <c r="BP47" s="7"/>
      <c r="BQ47" s="26"/>
      <c r="BR47" s="7"/>
      <c r="BS47" s="26"/>
      <c r="BT47" s="7"/>
      <c r="BU47" s="26"/>
      <c r="BV47" s="7"/>
      <c r="BW47" s="26"/>
      <c r="BX47" s="7"/>
      <c r="BY47" s="26"/>
      <c r="BZ47" s="7"/>
      <c r="CA47" s="26"/>
      <c r="CB47" s="7"/>
      <c r="CC47" s="26"/>
      <c r="CD47" s="7"/>
      <c r="CE47" s="26"/>
      <c r="CF47" s="7"/>
      <c r="CG47" s="26"/>
      <c r="CH47" s="7"/>
      <c r="CI47" s="26"/>
      <c r="CJ47" s="7"/>
      <c r="CK47" s="26"/>
      <c r="CL47" s="7"/>
      <c r="CM47" s="26"/>
      <c r="CN47" s="7"/>
    </row>
    <row r="48" spans="1:92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9"/>
      <c r="BA48" s="15"/>
      <c r="BB48" s="7"/>
      <c r="BC48" s="26"/>
      <c r="BD48" s="7"/>
      <c r="BE48" s="26"/>
      <c r="BF48" s="7"/>
      <c r="BG48" s="26"/>
      <c r="BH48" s="7"/>
      <c r="BI48" s="26"/>
      <c r="BJ48" s="7"/>
      <c r="BK48" s="26"/>
      <c r="BL48" s="7"/>
      <c r="BM48" s="26"/>
      <c r="BN48" s="7"/>
      <c r="BO48" s="26"/>
      <c r="BP48" s="7"/>
      <c r="BQ48" s="26"/>
      <c r="BR48" s="7"/>
      <c r="BS48" s="26"/>
      <c r="BT48" s="7"/>
      <c r="BU48" s="26"/>
      <c r="BV48" s="7"/>
      <c r="BW48" s="26"/>
      <c r="BX48" s="7"/>
      <c r="BY48" s="26"/>
      <c r="BZ48" s="7"/>
      <c r="CA48" s="26"/>
      <c r="CB48" s="7"/>
      <c r="CC48" s="26"/>
      <c r="CD48" s="7"/>
      <c r="CE48" s="26"/>
      <c r="CF48" s="7"/>
      <c r="CG48" s="26"/>
      <c r="CH48" s="7"/>
      <c r="CI48" s="26"/>
      <c r="CJ48" s="7"/>
      <c r="CK48" s="26"/>
      <c r="CL48" s="7"/>
      <c r="CM48" s="26"/>
      <c r="CN48" s="7"/>
    </row>
    <row r="49" spans="1:92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9"/>
      <c r="BA49" s="15"/>
      <c r="BB49" s="7"/>
      <c r="BC49" s="26"/>
      <c r="BD49" s="7"/>
      <c r="BE49" s="26"/>
      <c r="BF49" s="7"/>
      <c r="BG49" s="26"/>
      <c r="BH49" s="7"/>
      <c r="BI49" s="26"/>
      <c r="BJ49" s="7"/>
      <c r="BK49" s="26"/>
      <c r="BL49" s="7"/>
      <c r="BM49" s="26"/>
      <c r="BN49" s="7"/>
      <c r="BO49" s="26"/>
      <c r="BP49" s="7"/>
      <c r="BQ49" s="26"/>
      <c r="BR49" s="7"/>
      <c r="BS49" s="26"/>
      <c r="BT49" s="7"/>
      <c r="BU49" s="26"/>
      <c r="BV49" s="7"/>
      <c r="BW49" s="26"/>
      <c r="BX49" s="7"/>
      <c r="BY49" s="26"/>
      <c r="BZ49" s="7"/>
      <c r="CA49" s="26"/>
      <c r="CB49" s="7"/>
      <c r="CC49" s="26"/>
      <c r="CD49" s="7"/>
      <c r="CE49" s="26"/>
      <c r="CF49" s="7"/>
      <c r="CG49" s="26"/>
      <c r="CH49" s="7"/>
      <c r="CI49" s="26"/>
      <c r="CJ49" s="7"/>
      <c r="CK49" s="26"/>
      <c r="CL49" s="7"/>
      <c r="CM49" s="26"/>
      <c r="CN49" s="7"/>
    </row>
    <row r="50" spans="1:92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9"/>
      <c r="BA50" s="15"/>
      <c r="BB50" s="7"/>
      <c r="BC50" s="26"/>
      <c r="BD50" s="7"/>
      <c r="BE50" s="26"/>
      <c r="BF50" s="7"/>
      <c r="BG50" s="26"/>
      <c r="BH50" s="7"/>
      <c r="BI50" s="26"/>
      <c r="BJ50" s="7"/>
      <c r="BK50" s="26"/>
      <c r="BL50" s="7"/>
      <c r="BM50" s="26"/>
      <c r="BN50" s="7"/>
      <c r="BO50" s="26"/>
      <c r="BP50" s="7"/>
      <c r="BQ50" s="26"/>
      <c r="BR50" s="7"/>
      <c r="BS50" s="26"/>
      <c r="BT50" s="7"/>
      <c r="BU50" s="26"/>
      <c r="BV50" s="7"/>
      <c r="BW50" s="26"/>
      <c r="BX50" s="7"/>
      <c r="BY50" s="26"/>
      <c r="BZ50" s="7"/>
      <c r="CA50" s="26"/>
      <c r="CB50" s="7"/>
      <c r="CC50" s="26"/>
      <c r="CD50" s="7"/>
      <c r="CE50" s="26"/>
      <c r="CF50" s="7"/>
      <c r="CG50" s="26"/>
      <c r="CH50" s="7"/>
      <c r="CI50" s="26"/>
      <c r="CJ50" s="7"/>
      <c r="CK50" s="26"/>
      <c r="CL50" s="7"/>
      <c r="CM50" s="26"/>
      <c r="CN50" s="7"/>
    </row>
    <row r="51" spans="1:92" x14ac:dyDescent="0.25">
      <c r="A51" s="39" t="s">
        <v>1</v>
      </c>
      <c r="B51" s="8">
        <f>+B3+B4</f>
        <v>36700.33</v>
      </c>
      <c r="C51" s="16"/>
      <c r="D51" s="8">
        <f>+D3+D4</f>
        <v>54396.61</v>
      </c>
      <c r="E51" s="26"/>
      <c r="F51" s="8">
        <f>+F3+F4</f>
        <v>175108.05</v>
      </c>
      <c r="G51" s="26"/>
      <c r="H51" s="8">
        <f>+H3+H4</f>
        <v>78000</v>
      </c>
      <c r="I51" s="26"/>
      <c r="J51" s="8">
        <f>+J3+J4</f>
        <v>0</v>
      </c>
      <c r="K51" s="26"/>
      <c r="L51" s="8">
        <f>+L3+L4</f>
        <v>72899.02</v>
      </c>
      <c r="M51" s="26"/>
      <c r="N51" s="8">
        <f>+N3+N4</f>
        <v>115554.18</v>
      </c>
      <c r="O51" s="26"/>
      <c r="P51" s="8">
        <f>+P3+P4</f>
        <v>56541.69</v>
      </c>
      <c r="Q51" s="26"/>
      <c r="R51" s="8">
        <f>+R3+R4</f>
        <v>157571.62</v>
      </c>
      <c r="S51" s="26"/>
      <c r="T51" s="8">
        <f>+T3+T4</f>
        <v>279160.58</v>
      </c>
      <c r="U51" s="26"/>
      <c r="V51" s="8">
        <f>+V3+V4</f>
        <v>42800</v>
      </c>
      <c r="W51" s="26"/>
      <c r="X51" s="8">
        <f>+X3+X4</f>
        <v>134921.14000000001</v>
      </c>
      <c r="Y51" s="26"/>
      <c r="Z51" s="8">
        <f>+Z3+Z4</f>
        <v>47322.46</v>
      </c>
      <c r="AA51" s="26"/>
      <c r="AB51" s="8">
        <f>+AB3+AB4</f>
        <v>284152.96000000002</v>
      </c>
      <c r="AC51" s="26"/>
      <c r="AD51" s="8">
        <f>+AD3+AD4</f>
        <v>89043.670000000013</v>
      </c>
      <c r="AE51" s="26"/>
      <c r="AF51" s="8">
        <f>+AF3+AF4</f>
        <v>30791.97</v>
      </c>
      <c r="AG51" s="16"/>
      <c r="AH51" s="8">
        <f>+AH3+AH4</f>
        <v>154532.24</v>
      </c>
      <c r="AI51" s="16"/>
      <c r="AJ51" s="8">
        <f>+AJ3+AJ4</f>
        <v>10000</v>
      </c>
      <c r="AK51" s="16"/>
      <c r="AL51" s="8">
        <f>+AL3+AL4</f>
        <v>135418.31</v>
      </c>
      <c r="AM51" s="16"/>
      <c r="AN51" s="8">
        <f>+AN3+AN4</f>
        <v>455699.43</v>
      </c>
      <c r="AO51" s="16"/>
      <c r="AP51" s="8">
        <f>+AP3+AP4</f>
        <v>32459.67</v>
      </c>
      <c r="AQ51" s="16"/>
      <c r="AR51" s="8">
        <f>+AR3+AR4</f>
        <v>235255.03000000003</v>
      </c>
      <c r="AS51" s="16"/>
      <c r="AT51" s="8">
        <f>+AT3+AT4</f>
        <v>28514.82</v>
      </c>
      <c r="AU51" s="16"/>
      <c r="AV51" s="8">
        <f>+AV3+AV4</f>
        <v>205409.94</v>
      </c>
      <c r="AW51" s="16"/>
      <c r="AX51" s="8">
        <f>+AX3+AX4</f>
        <v>0</v>
      </c>
      <c r="AY51" s="16"/>
      <c r="AZ51" s="8">
        <f>+AZ3+AZ4</f>
        <v>131951.06</v>
      </c>
      <c r="BA51" s="15"/>
      <c r="BB51" s="8">
        <f>+BB3+BB4</f>
        <v>391137.77</v>
      </c>
      <c r="BC51" s="16"/>
      <c r="BD51" s="7"/>
      <c r="BE51" s="26"/>
      <c r="BF51" s="7"/>
      <c r="BG51" s="26"/>
      <c r="BH51" s="7"/>
      <c r="BI51" s="26"/>
      <c r="BJ51" s="8"/>
      <c r="BK51" s="16"/>
      <c r="BL51" s="8"/>
      <c r="BM51" s="16"/>
      <c r="BN51" s="8"/>
      <c r="BO51" s="16"/>
      <c r="BP51" s="8"/>
      <c r="BQ51" s="16"/>
      <c r="BR51" s="8"/>
      <c r="BS51" s="16"/>
      <c r="BT51" s="8"/>
      <c r="BU51" s="16"/>
      <c r="BV51" s="8"/>
      <c r="BW51" s="16"/>
      <c r="BX51" s="8"/>
      <c r="BY51" s="16"/>
      <c r="BZ51" s="8"/>
      <c r="CA51" s="16"/>
      <c r="CB51" s="8"/>
      <c r="CC51" s="16"/>
      <c r="CD51" s="8"/>
      <c r="CE51" s="16"/>
      <c r="CF51" s="8"/>
      <c r="CG51" s="16"/>
      <c r="CH51" s="8"/>
      <c r="CI51" s="16"/>
      <c r="CJ51" s="8"/>
      <c r="CK51" s="16"/>
      <c r="CL51" s="8"/>
      <c r="CM51" s="16"/>
      <c r="CN51" s="8"/>
    </row>
    <row r="52" spans="1:92" x14ac:dyDescent="0.25">
      <c r="A52" s="39" t="s">
        <v>2</v>
      </c>
      <c r="B52" s="16">
        <f>SUM(B5:B46)</f>
        <v>36700.329999999994</v>
      </c>
      <c r="C52" s="16"/>
      <c r="D52" s="16">
        <f>SUM(D5:D46)</f>
        <v>54396.61</v>
      </c>
      <c r="E52" s="26"/>
      <c r="F52" s="16">
        <f>SUM(F5:F46)</f>
        <v>175108.05000000005</v>
      </c>
      <c r="G52" s="26"/>
      <c r="H52" s="16">
        <f>SUM(H5:H46)</f>
        <v>78000</v>
      </c>
      <c r="I52" s="26"/>
      <c r="J52" s="16">
        <f>SUM(J5:J46)</f>
        <v>0</v>
      </c>
      <c r="K52" s="26"/>
      <c r="L52" s="16">
        <f>SUM(L5:L46)</f>
        <v>72899.02</v>
      </c>
      <c r="M52" s="26"/>
      <c r="N52" s="16">
        <f>SUM(N5:N46)</f>
        <v>115554.17999999998</v>
      </c>
      <c r="O52" s="26"/>
      <c r="P52" s="16">
        <f>SUM(P5:P46)</f>
        <v>56541.68</v>
      </c>
      <c r="Q52" s="26"/>
      <c r="R52" s="16">
        <f>SUM(R5:R46)</f>
        <v>157571.62000000002</v>
      </c>
      <c r="S52" s="26"/>
      <c r="T52" s="16">
        <f>SUM(T5:T46)</f>
        <v>279160.58</v>
      </c>
      <c r="U52" s="26"/>
      <c r="V52" s="16">
        <f>SUM(V5:V46)</f>
        <v>42800</v>
      </c>
      <c r="W52" s="26"/>
      <c r="X52" s="16">
        <f>SUM(X5:X46)</f>
        <v>134921.13999999998</v>
      </c>
      <c r="Y52" s="26"/>
      <c r="Z52" s="16">
        <f>SUM(Z5:Z46)</f>
        <v>47322.460000000014</v>
      </c>
      <c r="AA52" s="26"/>
      <c r="AB52" s="16">
        <f>SUM(AB5:AB46)</f>
        <v>284153.07</v>
      </c>
      <c r="AC52" s="26"/>
      <c r="AD52" s="16">
        <f>SUM(AD5:AD46)</f>
        <v>89043.949999999983</v>
      </c>
      <c r="AE52" s="26"/>
      <c r="AF52" s="16">
        <f>SUM(AF5:AF46)</f>
        <v>30795.93</v>
      </c>
      <c r="AG52" s="16"/>
      <c r="AH52" s="16">
        <f>SUM(AH5:AH46)</f>
        <v>154532.24</v>
      </c>
      <c r="AI52" s="16"/>
      <c r="AJ52" s="16">
        <f>SUM(AJ5:AJ46)</f>
        <v>10000</v>
      </c>
      <c r="AK52" s="16"/>
      <c r="AL52" s="16">
        <f>SUM(AL5:AL46)</f>
        <v>135418.31</v>
      </c>
      <c r="AM52" s="16"/>
      <c r="AN52" s="16">
        <f>SUM(AN5:AN46)</f>
        <v>455699.43</v>
      </c>
      <c r="AO52" s="16"/>
      <c r="AP52" s="16">
        <f>SUM(AP5:AP46)</f>
        <v>32385.069999999989</v>
      </c>
      <c r="AQ52" s="16"/>
      <c r="AR52" s="16">
        <f>SUM(AR5:AR46)</f>
        <v>235255.03</v>
      </c>
      <c r="AS52" s="16"/>
      <c r="AT52" s="16">
        <f>SUM(AT5:AT46)</f>
        <v>28514.82</v>
      </c>
      <c r="AU52" s="16"/>
      <c r="AV52" s="16">
        <f>SUM(AV5:AV46)</f>
        <v>205409.94000000003</v>
      </c>
      <c r="AW52" s="16"/>
      <c r="AX52" s="16">
        <f>SUM(AX5:AX46)</f>
        <v>0</v>
      </c>
      <c r="AY52" s="16"/>
      <c r="AZ52" s="16">
        <f>SUM(AZ5:AZ46)</f>
        <v>131950.79</v>
      </c>
      <c r="BA52" s="15"/>
      <c r="BB52" s="16">
        <f>SUM(BB5:BB46)</f>
        <v>391137.78</v>
      </c>
      <c r="BC52" s="16"/>
      <c r="BD52" s="26"/>
      <c r="BE52" s="26"/>
      <c r="BF52" s="26"/>
      <c r="BG52" s="26"/>
      <c r="BH52" s="26"/>
      <c r="BI52" s="2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</row>
    <row r="53" spans="1:92" x14ac:dyDescent="0.25">
      <c r="A53" s="39" t="s">
        <v>3</v>
      </c>
      <c r="B53" s="17">
        <f>+B51-B52</f>
        <v>0</v>
      </c>
      <c r="C53" s="17"/>
      <c r="D53" s="17">
        <f>+D51-D52</f>
        <v>0</v>
      </c>
      <c r="E53" s="117"/>
      <c r="F53" s="17">
        <f>+F51-F52</f>
        <v>0</v>
      </c>
      <c r="G53" s="117"/>
      <c r="H53" s="17">
        <f>+H51-H52</f>
        <v>0</v>
      </c>
      <c r="I53" s="117"/>
      <c r="J53" s="17">
        <f>+J51-J52</f>
        <v>0</v>
      </c>
      <c r="K53" s="117"/>
      <c r="L53" s="17">
        <f>+L51-L52</f>
        <v>0</v>
      </c>
      <c r="M53" s="117"/>
      <c r="N53" s="17">
        <f>+N51-N52</f>
        <v>0</v>
      </c>
      <c r="O53" s="117"/>
      <c r="P53" s="17">
        <f>+P51-P52</f>
        <v>1.0000000002037268E-2</v>
      </c>
      <c r="Q53" s="117"/>
      <c r="R53" s="17">
        <f>+R51-R52</f>
        <v>0</v>
      </c>
      <c r="S53" s="117"/>
      <c r="T53" s="17">
        <f>+T51-T52</f>
        <v>0</v>
      </c>
      <c r="U53" s="117"/>
      <c r="V53" s="17">
        <f>+V51-V52</f>
        <v>0</v>
      </c>
      <c r="W53" s="117"/>
      <c r="X53" s="17">
        <f>+X51-X52</f>
        <v>0</v>
      </c>
      <c r="Y53" s="117"/>
      <c r="Z53" s="17">
        <f>+Z51-Z52</f>
        <v>0</v>
      </c>
      <c r="AA53" s="117"/>
      <c r="AB53" s="17">
        <f>+AB51-AB52</f>
        <v>-0.10999999998603016</v>
      </c>
      <c r="AC53" s="117"/>
      <c r="AD53" s="17">
        <f>+AD51-AD52</f>
        <v>-0.27999999996973202</v>
      </c>
      <c r="AE53" s="117"/>
      <c r="AF53" s="17">
        <f>+AF51-AF52</f>
        <v>-3.9599999999991269</v>
      </c>
      <c r="AG53" s="17"/>
      <c r="AH53" s="17">
        <f>+AH51-AH52</f>
        <v>0</v>
      </c>
      <c r="AI53" s="17"/>
      <c r="AJ53" s="17">
        <f>+AJ51-AJ52</f>
        <v>0</v>
      </c>
      <c r="AK53" s="17"/>
      <c r="AL53" s="17">
        <f>+AL51-AL52</f>
        <v>0</v>
      </c>
      <c r="AM53" s="17"/>
      <c r="AN53" s="17">
        <f>+AN51-AN52</f>
        <v>0</v>
      </c>
      <c r="AO53" s="17"/>
      <c r="AP53" s="17">
        <f>+AP51-AP52</f>
        <v>74.600000000009459</v>
      </c>
      <c r="AQ53" s="17"/>
      <c r="AR53" s="17">
        <f>+AR51-AR52</f>
        <v>0</v>
      </c>
      <c r="AS53" s="17"/>
      <c r="AT53" s="17">
        <f>+AT51-AT52</f>
        <v>0</v>
      </c>
      <c r="AU53" s="17"/>
      <c r="AV53" s="17">
        <f>+AV51-AV52</f>
        <v>0</v>
      </c>
      <c r="AW53" s="17"/>
      <c r="AX53" s="17">
        <f>+AX51-AX52</f>
        <v>0</v>
      </c>
      <c r="AY53" s="17"/>
      <c r="AZ53" s="17">
        <f>+AZ51-AZ52</f>
        <v>0.26999999998952262</v>
      </c>
      <c r="BA53" s="134"/>
      <c r="BB53" s="17">
        <f>+BB51-BB52</f>
        <v>-1.0000000009313226E-2</v>
      </c>
      <c r="BC53" s="17"/>
      <c r="BD53" s="117"/>
      <c r="BE53" s="117"/>
      <c r="BF53" s="117"/>
      <c r="BG53" s="117"/>
      <c r="BH53" s="117"/>
      <c r="BI53" s="1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</row>
    <row r="54" spans="1:92" x14ac:dyDescent="0.25">
      <c r="A54" s="48"/>
      <c r="B54" s="6"/>
      <c r="C54" s="56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18"/>
      <c r="AA54" s="59"/>
      <c r="AB54" s="18"/>
      <c r="AC54" s="59"/>
      <c r="AD54" s="18"/>
      <c r="AE54" s="59"/>
      <c r="AF54" s="6"/>
      <c r="AG54" s="56"/>
      <c r="AH54" s="6"/>
      <c r="AI54" s="56"/>
      <c r="AJ54" s="6"/>
      <c r="AK54" s="56"/>
      <c r="AL54" s="6"/>
      <c r="AM54" s="56"/>
      <c r="AN54" s="6"/>
      <c r="AO54" s="56"/>
      <c r="AP54" s="6"/>
      <c r="AQ54" s="56"/>
      <c r="AR54" s="6"/>
      <c r="AS54" s="56"/>
      <c r="AT54" s="6"/>
      <c r="AU54" s="56"/>
      <c r="AV54" s="6"/>
      <c r="AW54" s="56"/>
      <c r="AX54" s="6"/>
      <c r="AY54" s="56"/>
      <c r="AZ54" s="75"/>
      <c r="BA54" s="25"/>
      <c r="BB54" s="6"/>
      <c r="BC54" s="56"/>
      <c r="BD54" s="18"/>
      <c r="BE54" s="59"/>
      <c r="BF54" s="18"/>
      <c r="BG54" s="59"/>
      <c r="BH54" s="18"/>
      <c r="BI54" s="59"/>
      <c r="BJ54" s="6"/>
      <c r="BK54" s="56"/>
      <c r="BL54" s="6"/>
      <c r="BM54" s="56"/>
      <c r="BN54" s="6"/>
      <c r="BO54" s="56"/>
      <c r="BP54" s="6"/>
      <c r="BQ54" s="56"/>
      <c r="BR54" s="6"/>
      <c r="BS54" s="56"/>
      <c r="BT54" s="6"/>
      <c r="BU54" s="56"/>
      <c r="BV54" s="6"/>
      <c r="BW54" s="56"/>
      <c r="BX54" s="6"/>
      <c r="BY54" s="56"/>
      <c r="BZ54" s="6"/>
      <c r="CA54" s="56"/>
      <c r="CB54" s="6"/>
      <c r="CC54" s="56"/>
      <c r="CD54" s="6"/>
      <c r="CE54" s="56"/>
      <c r="CF54" s="6"/>
      <c r="CG54" s="56"/>
      <c r="CH54" s="6"/>
      <c r="CI54" s="56"/>
      <c r="CJ54" s="6"/>
      <c r="CK54" s="56"/>
      <c r="CL54" s="6"/>
      <c r="CM54" s="56"/>
      <c r="CN54" s="6"/>
    </row>
    <row r="55" spans="1:92" x14ac:dyDescent="0.25">
      <c r="A55" s="48"/>
      <c r="B55" s="6"/>
      <c r="C55" s="56"/>
      <c r="D55" s="18"/>
      <c r="E55" s="59"/>
      <c r="F55" s="18"/>
      <c r="G55" s="59"/>
      <c r="H55" s="18"/>
      <c r="I55" s="59"/>
      <c r="J55" s="18"/>
      <c r="K55" s="59"/>
      <c r="L55" s="18"/>
      <c r="M55" s="59"/>
      <c r="N55" s="18"/>
      <c r="O55" s="59"/>
      <c r="P55" s="18"/>
      <c r="Q55" s="59"/>
      <c r="R55" s="18"/>
      <c r="S55" s="59"/>
      <c r="T55" s="18"/>
      <c r="U55" s="59"/>
      <c r="V55" s="18"/>
      <c r="W55" s="59"/>
      <c r="X55" s="18"/>
      <c r="Y55" s="59"/>
      <c r="Z55" s="18"/>
      <c r="AA55" s="59"/>
      <c r="AB55" s="18"/>
      <c r="AC55" s="59"/>
      <c r="AD55" s="18"/>
      <c r="AE55" s="59"/>
      <c r="AF55" s="6"/>
      <c r="AG55" s="56"/>
      <c r="AH55" s="6"/>
      <c r="AI55" s="56"/>
      <c r="AJ55" s="6"/>
      <c r="AK55" s="56"/>
      <c r="AL55" s="6"/>
      <c r="AM55" s="56"/>
      <c r="AN55" s="6"/>
      <c r="AO55" s="56"/>
      <c r="AP55" s="6"/>
      <c r="AQ55" s="56"/>
      <c r="AR55" s="6"/>
      <c r="AS55" s="56"/>
      <c r="AT55" s="6"/>
      <c r="AU55" s="56"/>
      <c r="AV55" s="6"/>
      <c r="AW55" s="56"/>
      <c r="AX55" s="6"/>
      <c r="AY55" s="56"/>
      <c r="AZ55" s="75"/>
      <c r="BA55" s="25"/>
      <c r="BB55" s="6"/>
      <c r="BC55" s="56"/>
      <c r="BD55" s="18"/>
      <c r="BE55" s="59"/>
      <c r="BF55" s="18"/>
      <c r="BG55" s="59"/>
      <c r="BH55" s="18"/>
      <c r="BI55" s="59"/>
      <c r="BJ55" s="6"/>
      <c r="BK55" s="56"/>
      <c r="BL55" s="6"/>
      <c r="BM55" s="56"/>
      <c r="BN55" s="6"/>
      <c r="BO55" s="56"/>
      <c r="BP55" s="6"/>
      <c r="BQ55" s="56"/>
      <c r="BR55" s="6"/>
      <c r="BS55" s="56"/>
      <c r="BT55" s="6"/>
      <c r="BU55" s="56"/>
      <c r="BV55" s="6"/>
      <c r="BW55" s="56"/>
      <c r="BX55" s="6"/>
      <c r="BY55" s="56"/>
      <c r="BZ55" s="6"/>
      <c r="CA55" s="56"/>
      <c r="CB55" s="6"/>
      <c r="CC55" s="56"/>
      <c r="CD55" s="6"/>
      <c r="CE55" s="56"/>
      <c r="CF55" s="6"/>
      <c r="CG55" s="56"/>
      <c r="CH55" s="6"/>
      <c r="CI55" s="56"/>
      <c r="CJ55" s="6"/>
      <c r="CK55" s="56"/>
      <c r="CL55" s="6"/>
      <c r="CM55" s="56"/>
      <c r="CN55" s="6"/>
    </row>
    <row r="56" spans="1:92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1"/>
      <c r="BA56" s="13"/>
      <c r="BB56" s="10"/>
      <c r="BC56" s="12"/>
      <c r="BD56" s="10"/>
      <c r="BE56" s="12"/>
      <c r="BF56" s="10"/>
      <c r="BG56" s="12"/>
      <c r="BH56" s="10"/>
      <c r="BI56" s="12"/>
      <c r="BJ56" s="10"/>
      <c r="BK56" s="12"/>
      <c r="BL56" s="10"/>
      <c r="BM56" s="12"/>
      <c r="BN56" s="10"/>
      <c r="BO56" s="12"/>
      <c r="BP56" s="10"/>
      <c r="BQ56" s="12"/>
      <c r="BR56" s="10"/>
      <c r="BS56" s="12"/>
      <c r="BT56" s="10"/>
      <c r="BU56" s="12"/>
      <c r="BV56" s="10"/>
      <c r="BW56" s="12"/>
      <c r="BX56" s="10"/>
      <c r="BY56" s="12"/>
      <c r="BZ56" s="10"/>
      <c r="CA56" s="12"/>
      <c r="CB56" s="10"/>
      <c r="CC56" s="12"/>
      <c r="CD56" s="10"/>
      <c r="CE56" s="12"/>
      <c r="CF56" s="10"/>
      <c r="CG56" s="12"/>
      <c r="CH56" s="10"/>
      <c r="CI56" s="12"/>
      <c r="CJ56" s="10"/>
      <c r="CK56" s="12"/>
      <c r="CL56" s="10"/>
      <c r="CM56" s="12"/>
      <c r="CN56" s="10"/>
    </row>
    <row r="57" spans="1:92" x14ac:dyDescent="0.25">
      <c r="A57" s="40" t="s">
        <v>4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</row>
    <row r="58" spans="1:92" x14ac:dyDescent="0.25">
      <c r="A58" s="49"/>
      <c r="B58" s="19">
        <v>42767</v>
      </c>
      <c r="C58" s="21"/>
      <c r="D58" s="19">
        <v>42768</v>
      </c>
      <c r="E58" s="21"/>
      <c r="F58" s="19">
        <v>42769</v>
      </c>
      <c r="G58" s="21"/>
      <c r="H58" s="19">
        <v>42771</v>
      </c>
      <c r="I58" s="21"/>
      <c r="J58" s="19">
        <v>42772</v>
      </c>
      <c r="K58" s="21"/>
      <c r="L58" s="19">
        <v>42773</v>
      </c>
      <c r="M58" s="21"/>
      <c r="N58" s="19">
        <v>42774</v>
      </c>
      <c r="O58" s="21"/>
      <c r="P58" s="19">
        <v>42775</v>
      </c>
      <c r="Q58" s="21"/>
      <c r="R58" s="19">
        <v>42776</v>
      </c>
      <c r="S58" s="21"/>
      <c r="T58" s="19">
        <v>42777</v>
      </c>
      <c r="U58" s="21"/>
      <c r="V58" s="19">
        <v>42778</v>
      </c>
      <c r="W58" s="21"/>
      <c r="X58" s="19">
        <v>42779</v>
      </c>
      <c r="Y58" s="21"/>
      <c r="Z58" s="19">
        <v>42780</v>
      </c>
      <c r="AA58" s="21"/>
      <c r="AB58" s="19">
        <v>42781</v>
      </c>
      <c r="AC58" s="21"/>
      <c r="AD58" s="19">
        <v>42782</v>
      </c>
      <c r="AE58" s="21"/>
      <c r="AF58" s="19">
        <v>42783</v>
      </c>
      <c r="AG58" s="21"/>
      <c r="AH58" s="19">
        <v>42784</v>
      </c>
      <c r="AI58" s="21"/>
      <c r="AJ58" s="19"/>
      <c r="AK58" s="21"/>
      <c r="AL58" s="19">
        <v>42786</v>
      </c>
      <c r="AM58" s="21"/>
      <c r="AN58" s="19">
        <v>42787</v>
      </c>
      <c r="AO58" s="21"/>
      <c r="AP58" s="19">
        <v>42788</v>
      </c>
      <c r="AQ58" s="21"/>
      <c r="AR58" s="19">
        <v>42789</v>
      </c>
      <c r="AS58" s="21"/>
      <c r="AT58" s="19">
        <v>42790</v>
      </c>
      <c r="AU58" s="21"/>
      <c r="AV58" s="19">
        <v>42791</v>
      </c>
      <c r="AW58" s="21"/>
      <c r="AX58" s="19">
        <v>42792</v>
      </c>
      <c r="AY58" s="21"/>
      <c r="AZ58" s="68">
        <v>42793</v>
      </c>
      <c r="BA58" s="135"/>
      <c r="BB58" s="19">
        <v>42794</v>
      </c>
      <c r="BC58" s="21"/>
      <c r="BD58" s="19"/>
      <c r="BE58" s="21"/>
      <c r="BF58" s="19"/>
      <c r="BG58" s="21"/>
      <c r="BH58" s="19"/>
      <c r="BI58" s="21"/>
      <c r="BJ58" s="19"/>
      <c r="BK58" s="21"/>
      <c r="BL58" s="19"/>
      <c r="BM58" s="21"/>
      <c r="BN58" s="19"/>
      <c r="BO58" s="21"/>
      <c r="BP58" s="19"/>
      <c r="BQ58" s="21"/>
      <c r="BR58" s="19"/>
      <c r="BS58" s="21"/>
      <c r="BT58" s="19"/>
      <c r="BU58" s="21"/>
      <c r="BV58" s="19"/>
      <c r="BW58" s="21"/>
      <c r="BX58" s="19"/>
      <c r="BY58" s="21"/>
      <c r="BZ58" s="19"/>
      <c r="CA58" s="21"/>
      <c r="CB58" s="19"/>
      <c r="CC58" s="21"/>
      <c r="CD58" s="19"/>
      <c r="CE58" s="21"/>
      <c r="CF58" s="19"/>
      <c r="CG58" s="21"/>
      <c r="CH58" s="19"/>
      <c r="CI58" s="21"/>
      <c r="CJ58" s="19"/>
      <c r="CK58" s="21"/>
      <c r="CL58" s="19"/>
      <c r="CM58" s="21"/>
      <c r="CN58" s="19"/>
    </row>
    <row r="59" spans="1:92" x14ac:dyDescent="0.25">
      <c r="A59" s="41" t="s">
        <v>5</v>
      </c>
      <c r="B59" s="9"/>
      <c r="C59" s="15"/>
      <c r="D59" s="9"/>
      <c r="E59" s="15"/>
      <c r="F59" s="9"/>
      <c r="G59" s="15"/>
      <c r="H59" s="9"/>
      <c r="I59" s="15"/>
      <c r="J59" s="9"/>
      <c r="K59" s="15"/>
      <c r="L59" s="9"/>
      <c r="M59" s="15"/>
      <c r="N59" s="9"/>
      <c r="O59" s="15"/>
      <c r="P59" s="9"/>
      <c r="Q59" s="15"/>
      <c r="R59" s="9"/>
      <c r="S59" s="15"/>
      <c r="T59" s="9"/>
      <c r="U59" s="15"/>
      <c r="V59" s="9"/>
      <c r="W59" s="15"/>
      <c r="X59" s="9"/>
      <c r="Y59" s="15"/>
      <c r="Z59" s="9"/>
      <c r="AA59" s="15"/>
      <c r="AB59" s="9"/>
      <c r="AC59" s="15"/>
      <c r="AD59" s="9"/>
      <c r="AE59" s="15"/>
      <c r="AF59" s="9"/>
      <c r="AG59" s="15"/>
      <c r="AH59" s="9"/>
      <c r="AI59" s="15"/>
      <c r="AJ59" s="9"/>
      <c r="AK59" s="15"/>
      <c r="AL59" s="9"/>
      <c r="AM59" s="15"/>
      <c r="AN59" s="9"/>
      <c r="AO59" s="15"/>
      <c r="AP59" s="9"/>
      <c r="AQ59" s="15"/>
      <c r="AR59" s="9"/>
      <c r="AS59" s="15"/>
      <c r="AT59" s="9"/>
      <c r="AU59" s="15"/>
      <c r="AV59" s="9"/>
      <c r="AW59" s="15"/>
      <c r="AX59" s="9"/>
      <c r="AY59" s="15"/>
      <c r="AZ59" s="9"/>
      <c r="BA59" s="15"/>
      <c r="BB59" s="9"/>
      <c r="BC59" s="15"/>
      <c r="BD59" s="9"/>
      <c r="BE59" s="15"/>
      <c r="BF59" s="9"/>
      <c r="BG59" s="15"/>
      <c r="BH59" s="9"/>
      <c r="BI59" s="15"/>
      <c r="BJ59" s="9"/>
      <c r="BK59" s="15"/>
      <c r="BL59" s="9"/>
      <c r="BM59" s="15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</row>
    <row r="60" spans="1:92" x14ac:dyDescent="0.25">
      <c r="A60" s="41"/>
      <c r="B60" s="9">
        <v>1000</v>
      </c>
      <c r="C60" s="15" t="s">
        <v>1360</v>
      </c>
      <c r="D60" s="9">
        <v>800</v>
      </c>
      <c r="E60" s="15" t="s">
        <v>1478</v>
      </c>
      <c r="F60" s="9">
        <v>840.79</v>
      </c>
      <c r="G60" s="15" t="s">
        <v>1516</v>
      </c>
      <c r="H60" s="9">
        <v>20000</v>
      </c>
      <c r="I60" s="15" t="s">
        <v>1592</v>
      </c>
      <c r="J60" s="72">
        <v>10000</v>
      </c>
      <c r="K60" s="24" t="s">
        <v>1594</v>
      </c>
      <c r="L60" s="9">
        <v>3418.4</v>
      </c>
      <c r="M60" s="15" t="s">
        <v>1602</v>
      </c>
      <c r="N60" s="9">
        <v>50000</v>
      </c>
      <c r="O60" s="15" t="s">
        <v>1644</v>
      </c>
      <c r="P60" s="9">
        <v>2019.47</v>
      </c>
      <c r="Q60" s="15" t="s">
        <v>1701</v>
      </c>
      <c r="R60" s="9">
        <v>1160</v>
      </c>
      <c r="S60" s="15" t="s">
        <v>1723</v>
      </c>
      <c r="T60" s="9">
        <v>20000</v>
      </c>
      <c r="U60" s="15" t="s">
        <v>1769</v>
      </c>
      <c r="V60" s="9">
        <v>20000</v>
      </c>
      <c r="W60" s="15" t="s">
        <v>1812</v>
      </c>
      <c r="X60" s="9">
        <v>2000</v>
      </c>
      <c r="Y60" s="15" t="s">
        <v>1815</v>
      </c>
      <c r="Z60" s="9">
        <v>1711.01</v>
      </c>
      <c r="AA60" s="15" t="s">
        <v>1883</v>
      </c>
      <c r="AB60" s="72">
        <v>1089.26</v>
      </c>
      <c r="AC60" s="15" t="s">
        <v>1942</v>
      </c>
      <c r="AD60" s="87">
        <v>2900</v>
      </c>
      <c r="AE60" s="26" t="s">
        <v>1996</v>
      </c>
      <c r="AF60" s="9">
        <v>30800</v>
      </c>
      <c r="AG60" s="15" t="s">
        <v>2045</v>
      </c>
      <c r="AH60" s="72">
        <v>1401.09</v>
      </c>
      <c r="AI60" s="15" t="s">
        <v>2098</v>
      </c>
      <c r="AJ60" s="9"/>
      <c r="AK60" s="15"/>
      <c r="AL60" s="9">
        <v>176.09</v>
      </c>
      <c r="AM60" s="15" t="s">
        <v>2134</v>
      </c>
      <c r="AN60" s="9">
        <v>1000</v>
      </c>
      <c r="AO60" s="15" t="s">
        <v>2191</v>
      </c>
      <c r="AP60" s="9">
        <v>246.14</v>
      </c>
      <c r="AQ60" s="15" t="s">
        <v>2249</v>
      </c>
      <c r="AR60" s="9">
        <v>5000</v>
      </c>
      <c r="AS60" s="15" t="s">
        <v>2297</v>
      </c>
      <c r="AT60" s="9">
        <v>7096.4</v>
      </c>
      <c r="AU60" s="15" t="s">
        <v>2323</v>
      </c>
      <c r="AV60" s="9">
        <v>1488.14</v>
      </c>
      <c r="AW60" s="15" t="s">
        <v>2368</v>
      </c>
      <c r="AX60" s="9">
        <v>5000</v>
      </c>
      <c r="AY60" s="15" t="s">
        <v>2393</v>
      </c>
      <c r="AZ60" s="9">
        <v>10000</v>
      </c>
      <c r="BA60" s="15" t="s">
        <v>2439</v>
      </c>
      <c r="BB60" s="9">
        <v>1160.02</v>
      </c>
      <c r="BC60" s="15" t="s">
        <v>2515</v>
      </c>
      <c r="BD60" s="9"/>
      <c r="BE60" s="15"/>
      <c r="BF60" s="9"/>
      <c r="BG60" s="15"/>
      <c r="BH60" s="9"/>
      <c r="BI60" s="15"/>
      <c r="BJ60" s="9"/>
      <c r="BK60" s="15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</row>
    <row r="61" spans="1:92" x14ac:dyDescent="0.25">
      <c r="A61" s="43"/>
      <c r="B61" s="9">
        <v>1416.94</v>
      </c>
      <c r="C61" s="15" t="s">
        <v>1377</v>
      </c>
      <c r="D61" s="10">
        <v>9207.5</v>
      </c>
      <c r="E61" s="12" t="s">
        <v>1483</v>
      </c>
      <c r="F61" s="10">
        <v>20000</v>
      </c>
      <c r="G61" s="12" t="s">
        <v>1524</v>
      </c>
      <c r="H61" s="10"/>
      <c r="I61" s="12"/>
      <c r="J61" s="72">
        <v>5000</v>
      </c>
      <c r="K61" s="24" t="s">
        <v>1595</v>
      </c>
      <c r="L61" s="10">
        <v>6387.25</v>
      </c>
      <c r="M61" s="12" t="s">
        <v>1603</v>
      </c>
      <c r="N61" s="10">
        <v>3865.13</v>
      </c>
      <c r="O61" s="12" t="s">
        <v>1648</v>
      </c>
      <c r="P61" s="11">
        <v>1994.99</v>
      </c>
      <c r="Q61" s="12" t="s">
        <v>1707</v>
      </c>
      <c r="R61" s="10">
        <v>20000</v>
      </c>
      <c r="S61" s="12" t="s">
        <v>1725</v>
      </c>
      <c r="T61" s="10">
        <v>10000</v>
      </c>
      <c r="U61" s="12" t="s">
        <v>1774</v>
      </c>
      <c r="V61" s="10">
        <v>20000</v>
      </c>
      <c r="W61" s="12" t="s">
        <v>1813</v>
      </c>
      <c r="X61" s="10">
        <v>5000</v>
      </c>
      <c r="Y61" s="12" t="s">
        <v>1816</v>
      </c>
      <c r="Z61" s="10">
        <v>1020.8</v>
      </c>
      <c r="AA61" s="12" t="s">
        <v>1889</v>
      </c>
      <c r="AB61">
        <v>9506.27</v>
      </c>
      <c r="AC61" t="s">
        <v>1944</v>
      </c>
      <c r="AD61" s="10">
        <v>4000</v>
      </c>
      <c r="AE61" s="12" t="s">
        <v>1999</v>
      </c>
      <c r="AF61" s="11">
        <v>5000</v>
      </c>
      <c r="AG61" s="12" t="s">
        <v>2059</v>
      </c>
      <c r="AH61" s="87">
        <v>1099.01</v>
      </c>
      <c r="AI61" s="12" t="s">
        <v>2114</v>
      </c>
      <c r="AJ61" s="10"/>
      <c r="AK61" s="12"/>
      <c r="AL61" s="9">
        <v>3586.27</v>
      </c>
      <c r="AM61" s="15" t="s">
        <v>2140</v>
      </c>
      <c r="AN61" s="9">
        <v>1000</v>
      </c>
      <c r="AO61" s="12" t="s">
        <v>2201</v>
      </c>
      <c r="AP61" s="10">
        <v>3250</v>
      </c>
      <c r="AQ61" s="12" t="s">
        <v>2256</v>
      </c>
      <c r="AR61" s="9">
        <v>3168.99</v>
      </c>
      <c r="AS61" s="15" t="s">
        <v>2305</v>
      </c>
      <c r="AT61" s="10">
        <v>20000</v>
      </c>
      <c r="AU61" s="12" t="s">
        <v>2325</v>
      </c>
      <c r="AV61" s="10">
        <v>20000</v>
      </c>
      <c r="AW61" s="12" t="s">
        <v>2369</v>
      </c>
      <c r="AX61" s="10">
        <v>5000</v>
      </c>
      <c r="AY61" s="12" t="s">
        <v>2395</v>
      </c>
      <c r="AZ61" s="11">
        <v>1597.24</v>
      </c>
      <c r="BA61" s="13" t="s">
        <v>2441</v>
      </c>
      <c r="BB61" s="10">
        <v>7249.33</v>
      </c>
      <c r="BC61" s="12" t="s">
        <v>2518</v>
      </c>
      <c r="BD61" s="10"/>
      <c r="BE61" s="12"/>
      <c r="BF61" s="9"/>
      <c r="BG61" s="15"/>
      <c r="BH61" s="10"/>
      <c r="BI61" s="12"/>
      <c r="BJ61" s="10"/>
      <c r="BK61" s="12"/>
      <c r="BL61" s="10"/>
      <c r="BM61" s="12"/>
      <c r="BN61" s="10"/>
      <c r="BO61" s="12"/>
      <c r="BP61" s="10"/>
      <c r="BQ61" s="12"/>
      <c r="BR61" s="10"/>
      <c r="BS61" s="12"/>
      <c r="BT61" s="10"/>
      <c r="BU61" s="12"/>
      <c r="BV61" s="10"/>
      <c r="BW61" s="12"/>
      <c r="BX61" s="10"/>
      <c r="BY61" s="12"/>
      <c r="BZ61" s="10"/>
      <c r="CA61" s="12"/>
      <c r="CB61" s="10"/>
      <c r="CC61" s="12"/>
      <c r="CD61" s="10"/>
      <c r="CE61" s="12"/>
      <c r="CF61" s="10"/>
      <c r="CG61" s="12"/>
      <c r="CH61" s="10"/>
      <c r="CI61" s="12"/>
      <c r="CJ61" s="10"/>
      <c r="CK61" s="12"/>
      <c r="CL61" s="10"/>
      <c r="CM61" s="12"/>
      <c r="CN61" s="10"/>
    </row>
    <row r="62" spans="1:92" x14ac:dyDescent="0.25">
      <c r="A62" s="41"/>
      <c r="B62" s="7">
        <v>2360.0100000000002</v>
      </c>
      <c r="C62" s="26" t="s">
        <v>1380</v>
      </c>
      <c r="D62" s="9">
        <v>5000</v>
      </c>
      <c r="E62" s="15" t="s">
        <v>1490</v>
      </c>
      <c r="F62" s="9">
        <v>2500</v>
      </c>
      <c r="G62" s="15" t="s">
        <v>1529</v>
      </c>
      <c r="H62" s="9"/>
      <c r="I62" s="15"/>
      <c r="J62" s="95">
        <f>+J61+J60</f>
        <v>15000</v>
      </c>
      <c r="K62" s="15"/>
      <c r="L62" s="9">
        <v>20000</v>
      </c>
      <c r="M62" s="15" t="s">
        <v>1609</v>
      </c>
      <c r="N62" s="9">
        <v>264.51</v>
      </c>
      <c r="O62" s="15" t="s">
        <v>1650</v>
      </c>
      <c r="P62" s="9">
        <v>4395</v>
      </c>
      <c r="Q62" s="26" t="s">
        <v>1712</v>
      </c>
      <c r="R62" s="9">
        <v>20000</v>
      </c>
      <c r="S62" s="15" t="s">
        <v>1729</v>
      </c>
      <c r="T62" s="9">
        <v>1099.01</v>
      </c>
      <c r="U62" s="15" t="s">
        <v>1786</v>
      </c>
      <c r="V62" s="9">
        <v>20000</v>
      </c>
      <c r="W62" s="15" t="s">
        <v>1814</v>
      </c>
      <c r="X62" s="9">
        <v>20000</v>
      </c>
      <c r="Y62" s="15" t="s">
        <v>1817</v>
      </c>
      <c r="Z62" s="51">
        <f>SUM(Z60:Z61)</f>
        <v>2731.81</v>
      </c>
      <c r="AA62" s="15"/>
      <c r="AB62" s="72">
        <v>15059.55</v>
      </c>
      <c r="AC62" s="15" t="s">
        <v>1947</v>
      </c>
      <c r="AD62" s="9">
        <v>5000</v>
      </c>
      <c r="AE62" s="15" t="s">
        <v>2005</v>
      </c>
      <c r="AF62" s="9">
        <v>7822.24</v>
      </c>
      <c r="AG62" s="15" t="s">
        <v>2060</v>
      </c>
      <c r="AH62" s="72">
        <v>1099.01</v>
      </c>
      <c r="AI62" s="15" t="s">
        <v>2116</v>
      </c>
      <c r="AJ62" s="9"/>
      <c r="AK62" s="15"/>
      <c r="AL62" s="9">
        <v>6048.8</v>
      </c>
      <c r="AM62" s="15" t="s">
        <v>2156</v>
      </c>
      <c r="AN62" s="9">
        <v>3250.01</v>
      </c>
      <c r="AO62" s="15" t="s">
        <v>2204</v>
      </c>
      <c r="AP62" s="9">
        <v>3169</v>
      </c>
      <c r="AQ62" s="15" t="s">
        <v>2257</v>
      </c>
      <c r="AR62" s="9">
        <v>696</v>
      </c>
      <c r="AS62" s="15" t="s">
        <v>2308</v>
      </c>
      <c r="AT62" s="9">
        <v>10186.1</v>
      </c>
      <c r="AU62" s="15" t="s">
        <v>2326</v>
      </c>
      <c r="AV62" s="9">
        <v>6000</v>
      </c>
      <c r="AW62" s="15" t="s">
        <v>2372</v>
      </c>
      <c r="AX62" s="51">
        <f>SUM(AX60:AX61)</f>
        <v>10000</v>
      </c>
      <c r="AY62" s="15"/>
      <c r="AZ62" s="9">
        <v>25646.66</v>
      </c>
      <c r="BA62" s="15" t="s">
        <v>2453</v>
      </c>
      <c r="BB62" s="9">
        <v>10000</v>
      </c>
      <c r="BC62" s="15" t="s">
        <v>2530</v>
      </c>
      <c r="BD62" s="9"/>
      <c r="BE62" s="15"/>
      <c r="BF62" s="7"/>
      <c r="BG62" s="26"/>
      <c r="BH62" s="9"/>
      <c r="BI62" s="15"/>
      <c r="BJ62" s="9"/>
      <c r="BK62" s="15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</row>
    <row r="63" spans="1:92" x14ac:dyDescent="0.25">
      <c r="A63" s="41"/>
      <c r="B63" s="9">
        <v>962.64</v>
      </c>
      <c r="C63" s="15" t="s">
        <v>1385</v>
      </c>
      <c r="D63" s="7">
        <v>4495.01</v>
      </c>
      <c r="E63" s="26" t="s">
        <v>1495</v>
      </c>
      <c r="F63" s="7">
        <v>600</v>
      </c>
      <c r="G63" s="26" t="s">
        <v>1531</v>
      </c>
      <c r="H63" s="7"/>
      <c r="I63" s="26"/>
      <c r="J63" s="7"/>
      <c r="K63" s="26"/>
      <c r="L63" s="7">
        <v>2724</v>
      </c>
      <c r="M63" s="26" t="s">
        <v>1610</v>
      </c>
      <c r="N63" s="7">
        <v>1479.01</v>
      </c>
      <c r="O63" s="26" t="s">
        <v>1653</v>
      </c>
      <c r="P63" s="9">
        <v>18500</v>
      </c>
      <c r="Q63" s="15" t="s">
        <v>1716</v>
      </c>
      <c r="R63" s="7">
        <v>4065</v>
      </c>
      <c r="S63" s="26" t="s">
        <v>1733</v>
      </c>
      <c r="T63" s="7">
        <v>1099.01</v>
      </c>
      <c r="U63" s="26" t="s">
        <v>1790</v>
      </c>
      <c r="V63" s="81">
        <f>SUM(V60:V62)</f>
        <v>60000</v>
      </c>
      <c r="W63" s="26"/>
      <c r="X63" s="7">
        <v>2497</v>
      </c>
      <c r="Y63" s="26" t="s">
        <v>1828</v>
      </c>
      <c r="Z63" s="7"/>
      <c r="AA63" s="26"/>
      <c r="AB63" s="87">
        <v>5000</v>
      </c>
      <c r="AC63" s="26" t="s">
        <v>1954</v>
      </c>
      <c r="AD63" s="7">
        <v>2866</v>
      </c>
      <c r="AE63" s="26" t="s">
        <v>2009</v>
      </c>
      <c r="AF63" s="9">
        <v>4146</v>
      </c>
      <c r="AG63" s="26" t="s">
        <v>2061</v>
      </c>
      <c r="AH63" s="87">
        <v>3169</v>
      </c>
      <c r="AI63" s="26" t="s">
        <v>2117</v>
      </c>
      <c r="AJ63" s="7"/>
      <c r="AK63" s="26"/>
      <c r="AL63" s="7">
        <v>4395</v>
      </c>
      <c r="AM63" s="26" t="s">
        <v>2159</v>
      </c>
      <c r="AN63" s="7">
        <v>1970</v>
      </c>
      <c r="AO63" s="26" t="s">
        <v>2205</v>
      </c>
      <c r="AP63" s="7">
        <v>1099.01</v>
      </c>
      <c r="AQ63" s="26" t="s">
        <v>2258</v>
      </c>
      <c r="AR63" s="7">
        <v>1734</v>
      </c>
      <c r="AS63" s="26" t="s">
        <v>2310</v>
      </c>
      <c r="AT63" s="9">
        <v>1099</v>
      </c>
      <c r="AU63" s="15" t="s">
        <v>2329</v>
      </c>
      <c r="AV63" s="7">
        <f>7029.76-6229.76</f>
        <v>800</v>
      </c>
      <c r="AW63" s="26" t="s">
        <v>2373</v>
      </c>
      <c r="AX63" s="7"/>
      <c r="AY63" s="26"/>
      <c r="AZ63" s="9">
        <v>60000</v>
      </c>
      <c r="BA63" s="15" t="s">
        <v>2462</v>
      </c>
      <c r="BB63" s="7">
        <v>6438.15</v>
      </c>
      <c r="BC63" s="26" t="s">
        <v>2537</v>
      </c>
      <c r="BD63" s="7"/>
      <c r="BE63" s="26"/>
      <c r="BF63" s="9"/>
      <c r="BG63" s="15"/>
      <c r="BH63" s="7"/>
      <c r="BI63" s="26"/>
      <c r="BJ63" s="7"/>
      <c r="BK63" s="26"/>
      <c r="BL63" s="7"/>
      <c r="BM63" s="26"/>
      <c r="BN63" s="7"/>
      <c r="BO63" s="26"/>
      <c r="BP63" s="7"/>
      <c r="BQ63" s="26"/>
      <c r="BR63" s="7"/>
      <c r="BS63" s="26"/>
      <c r="BT63" s="7"/>
      <c r="BU63" s="26"/>
      <c r="BV63" s="7"/>
      <c r="BW63" s="26"/>
      <c r="BX63" s="7"/>
      <c r="BY63" s="26"/>
      <c r="BZ63" s="7"/>
      <c r="CA63" s="26"/>
      <c r="CB63" s="7"/>
      <c r="CC63" s="26"/>
      <c r="CD63" s="7"/>
      <c r="CE63" s="26"/>
      <c r="CF63" s="7"/>
      <c r="CG63" s="26"/>
      <c r="CH63" s="7"/>
      <c r="CI63" s="26"/>
      <c r="CJ63" s="7"/>
      <c r="CK63" s="26"/>
      <c r="CL63" s="7"/>
      <c r="CM63" s="26"/>
      <c r="CN63" s="7"/>
    </row>
    <row r="64" spans="1:92" x14ac:dyDescent="0.25">
      <c r="A64" s="41"/>
      <c r="B64" s="9">
        <v>1099.01</v>
      </c>
      <c r="C64" s="15" t="s">
        <v>1390</v>
      </c>
      <c r="D64" s="9">
        <v>1970</v>
      </c>
      <c r="E64" s="15" t="s">
        <v>1497</v>
      </c>
      <c r="F64" s="9">
        <f>6400.02-4634.43</f>
        <v>1765.5900000000001</v>
      </c>
      <c r="G64" s="15" t="s">
        <v>1540</v>
      </c>
      <c r="H64" s="15"/>
      <c r="I64" s="15"/>
      <c r="J64" s="9"/>
      <c r="K64" s="15"/>
      <c r="L64" s="9">
        <v>4395.01</v>
      </c>
      <c r="M64" s="15" t="s">
        <v>1612</v>
      </c>
      <c r="N64" s="9">
        <f>2315.01-1521.44</f>
        <v>793.57000000000016</v>
      </c>
      <c r="O64" s="15" t="s">
        <v>1654</v>
      </c>
      <c r="P64" s="9">
        <v>1100</v>
      </c>
      <c r="Q64" s="15" t="s">
        <v>1717</v>
      </c>
      <c r="R64" s="15">
        <v>1587.01</v>
      </c>
      <c r="S64" s="15" t="s">
        <v>1736</v>
      </c>
      <c r="T64" s="15">
        <v>2937.62</v>
      </c>
      <c r="U64" s="15" t="s">
        <v>1793</v>
      </c>
      <c r="V64" s="15"/>
      <c r="W64" s="15"/>
      <c r="X64" s="15">
        <v>20000</v>
      </c>
      <c r="Y64" s="15" t="s">
        <v>1830</v>
      </c>
      <c r="Z64" s="15"/>
      <c r="AA64" s="15"/>
      <c r="AB64" s="72">
        <v>4169.01</v>
      </c>
      <c r="AC64" s="15" t="s">
        <v>1964</v>
      </c>
      <c r="AD64" s="9">
        <v>2659.01</v>
      </c>
      <c r="AE64" s="15" t="s">
        <v>2011</v>
      </c>
      <c r="AF64" s="9">
        <v>3250.01</v>
      </c>
      <c r="AG64" s="15" t="s">
        <v>2065</v>
      </c>
      <c r="AH64" s="24">
        <v>7100</v>
      </c>
      <c r="AI64" s="15" t="s">
        <v>2118</v>
      </c>
      <c r="AJ64" s="15"/>
      <c r="AK64" s="15"/>
      <c r="AL64" s="9">
        <v>1970</v>
      </c>
      <c r="AM64" s="15" t="s">
        <v>2163</v>
      </c>
      <c r="AN64" s="51">
        <f>SUM(AN60:AN63)</f>
        <v>7220.01</v>
      </c>
      <c r="AO64" s="15"/>
      <c r="AP64" s="9">
        <v>1970</v>
      </c>
      <c r="AQ64" s="15" t="s">
        <v>2265</v>
      </c>
      <c r="AR64" s="123">
        <f>SUM(AR60:AR63)</f>
        <v>10598.99</v>
      </c>
      <c r="AT64" s="9">
        <v>1099.01</v>
      </c>
      <c r="AU64" s="15" t="s">
        <v>2330</v>
      </c>
      <c r="AV64" s="9">
        <v>1099.01</v>
      </c>
      <c r="AW64" s="15" t="s">
        <v>2375</v>
      </c>
      <c r="AX64" s="9"/>
      <c r="AY64" s="15"/>
      <c r="AZ64" s="9">
        <v>216.66</v>
      </c>
      <c r="BA64" s="15" t="s">
        <v>2470</v>
      </c>
      <c r="BB64" s="9">
        <v>1587.01</v>
      </c>
      <c r="BC64" s="15" t="s">
        <v>2541</v>
      </c>
      <c r="BD64" s="9"/>
      <c r="BE64" s="15"/>
      <c r="BF64" s="9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</row>
    <row r="65" spans="1:92" x14ac:dyDescent="0.25">
      <c r="A65" s="41"/>
      <c r="B65" s="9">
        <v>3250.01</v>
      </c>
      <c r="C65" s="15" t="s">
        <v>1392</v>
      </c>
      <c r="D65" s="9">
        <v>2350</v>
      </c>
      <c r="E65" s="15" t="s">
        <v>1500</v>
      </c>
      <c r="F65" s="9">
        <v>3633</v>
      </c>
      <c r="G65" s="15" t="s">
        <v>1548</v>
      </c>
      <c r="H65" s="9"/>
      <c r="I65" s="15"/>
      <c r="J65" s="9"/>
      <c r="K65" s="15"/>
      <c r="L65" s="9">
        <v>696</v>
      </c>
      <c r="M65" s="15" t="s">
        <v>1621</v>
      </c>
      <c r="N65" s="9">
        <v>5347.94</v>
      </c>
      <c r="O65" s="15" t="s">
        <v>1657</v>
      </c>
      <c r="P65" s="9">
        <v>1399.01</v>
      </c>
      <c r="Q65" s="15" t="s">
        <v>1720</v>
      </c>
      <c r="R65" s="9">
        <v>1970.01</v>
      </c>
      <c r="S65" s="15" t="s">
        <v>1739</v>
      </c>
      <c r="T65" s="9">
        <v>464</v>
      </c>
      <c r="U65" s="15" t="s">
        <v>1797</v>
      </c>
      <c r="V65" s="9"/>
      <c r="W65" s="15"/>
      <c r="X65" s="9">
        <v>20000</v>
      </c>
      <c r="Y65" s="15" t="s">
        <v>1831</v>
      </c>
      <c r="Z65" s="7">
        <v>5098.07</v>
      </c>
      <c r="AA65" s="26" t="s">
        <v>1907</v>
      </c>
      <c r="AB65" s="72">
        <v>928</v>
      </c>
      <c r="AC65" s="15" t="s">
        <v>1965</v>
      </c>
      <c r="AD65" s="9">
        <v>1099.01</v>
      </c>
      <c r="AE65" s="15" t="s">
        <v>2012</v>
      </c>
      <c r="AF65" s="9">
        <v>635</v>
      </c>
      <c r="AG65" s="15" t="s">
        <v>2070</v>
      </c>
      <c r="AH65" s="72">
        <v>3250.01</v>
      </c>
      <c r="AI65" s="15" t="s">
        <v>2119</v>
      </c>
      <c r="AJ65" s="9"/>
      <c r="AK65" s="15"/>
      <c r="AL65" s="9">
        <v>1970</v>
      </c>
      <c r="AM65" s="15" t="s">
        <v>2164</v>
      </c>
      <c r="AN65" s="9"/>
      <c r="AO65" s="15"/>
      <c r="AP65" s="9">
        <v>1964.23</v>
      </c>
      <c r="AQ65" s="15" t="s">
        <v>2244</v>
      </c>
      <c r="AR65" s="9"/>
      <c r="AS65" s="15"/>
      <c r="AT65" s="11">
        <v>3414.02</v>
      </c>
      <c r="AU65" s="13" t="s">
        <v>2331</v>
      </c>
      <c r="AV65" s="9">
        <v>696</v>
      </c>
      <c r="AW65" s="15" t="s">
        <v>2376</v>
      </c>
      <c r="AX65" s="9"/>
      <c r="AY65" s="15"/>
      <c r="AZ65" s="9">
        <v>200</v>
      </c>
      <c r="BA65" s="15" t="s">
        <v>2471</v>
      </c>
      <c r="BB65" s="9">
        <v>1099.01</v>
      </c>
      <c r="BC65" s="15" t="s">
        <v>2542</v>
      </c>
      <c r="BD65" s="9"/>
      <c r="BE65" s="15"/>
      <c r="BF65" s="9"/>
      <c r="BG65" s="15"/>
      <c r="BH65" s="9"/>
      <c r="BI65" s="15"/>
      <c r="BJ65" s="9"/>
      <c r="BK65" s="15"/>
      <c r="BL65" s="9"/>
      <c r="BM65" s="15"/>
      <c r="BN65" s="9"/>
      <c r="BO65" s="15"/>
      <c r="BP65" s="9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</row>
    <row r="66" spans="1:92" x14ac:dyDescent="0.25">
      <c r="A66" s="41"/>
      <c r="B66" s="11">
        <v>4395</v>
      </c>
      <c r="C66" s="13" t="s">
        <v>1394</v>
      </c>
      <c r="D66" s="9">
        <v>2295</v>
      </c>
      <c r="E66" s="15" t="s">
        <v>1503</v>
      </c>
      <c r="F66" s="9">
        <v>1099.01</v>
      </c>
      <c r="G66" s="15" t="s">
        <v>1550</v>
      </c>
      <c r="H66" s="9"/>
      <c r="I66" s="15"/>
      <c r="J66" s="9"/>
      <c r="K66" s="15"/>
      <c r="L66" s="11">
        <v>1099</v>
      </c>
      <c r="M66" s="13" t="s">
        <v>1627</v>
      </c>
      <c r="N66" s="11">
        <v>3879.01</v>
      </c>
      <c r="O66" s="13" t="s">
        <v>1661</v>
      </c>
      <c r="P66" s="11">
        <v>1479.01</v>
      </c>
      <c r="Q66" s="13" t="s">
        <v>1721</v>
      </c>
      <c r="R66" s="123">
        <f>SUM(R60:R65)</f>
        <v>48782.020000000004</v>
      </c>
      <c r="T66" s="9">
        <v>3250</v>
      </c>
      <c r="U66" s="15" t="s">
        <v>1799</v>
      </c>
      <c r="V66" s="9"/>
      <c r="W66" s="15"/>
      <c r="X66" s="9">
        <v>9972.64</v>
      </c>
      <c r="Y66" s="15" t="s">
        <v>1832</v>
      </c>
      <c r="Z66" s="7">
        <v>5281.1</v>
      </c>
      <c r="AA66" s="26" t="s">
        <v>1906</v>
      </c>
      <c r="AB66" s="72">
        <v>1099.01</v>
      </c>
      <c r="AC66" s="15" t="s">
        <v>1969</v>
      </c>
      <c r="AD66" s="9">
        <v>3250</v>
      </c>
      <c r="AE66" s="15" t="s">
        <v>2020</v>
      </c>
      <c r="AF66" s="9">
        <v>1970</v>
      </c>
      <c r="AG66" s="15" t="s">
        <v>2072</v>
      </c>
      <c r="AH66" s="72">
        <v>1099.01</v>
      </c>
      <c r="AI66" s="15" t="s">
        <v>2120</v>
      </c>
      <c r="AJ66" s="9"/>
      <c r="AK66" s="15"/>
      <c r="AL66" s="9">
        <v>1970</v>
      </c>
      <c r="AM66" s="15" t="s">
        <v>2165</v>
      </c>
      <c r="AN66" s="9"/>
      <c r="AO66" s="15"/>
      <c r="AP66" s="9">
        <v>1969.99</v>
      </c>
      <c r="AQ66" s="15" t="s">
        <v>2267</v>
      </c>
      <c r="AR66" s="9"/>
      <c r="AS66" s="15"/>
      <c r="AT66" s="7">
        <v>2360.0100000000002</v>
      </c>
      <c r="AU66" s="26" t="s">
        <v>2334</v>
      </c>
      <c r="AV66" s="9">
        <v>2350.0100000000002</v>
      </c>
      <c r="AW66" s="15" t="s">
        <v>2381</v>
      </c>
      <c r="AX66" s="9"/>
      <c r="AY66" s="15"/>
      <c r="AZ66" s="11">
        <v>3321.75</v>
      </c>
      <c r="BA66" s="13" t="s">
        <v>2472</v>
      </c>
      <c r="BB66" s="9">
        <v>1099.01</v>
      </c>
      <c r="BC66" s="15" t="s">
        <v>2546</v>
      </c>
      <c r="BD66" s="11"/>
      <c r="BE66" s="13"/>
      <c r="BF66" s="11"/>
      <c r="BG66" s="13"/>
      <c r="BH66" s="9"/>
      <c r="BI66" s="15"/>
      <c r="BJ66" s="9"/>
      <c r="BK66" s="15"/>
      <c r="BL66" s="9"/>
      <c r="BM66" s="15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</row>
    <row r="67" spans="1:92" x14ac:dyDescent="0.25">
      <c r="A67" s="43"/>
      <c r="B67" s="9">
        <v>1099.01</v>
      </c>
      <c r="C67" s="26" t="s">
        <v>1399</v>
      </c>
      <c r="D67" s="11">
        <v>970.01</v>
      </c>
      <c r="E67" s="13" t="s">
        <v>1504</v>
      </c>
      <c r="F67" s="11">
        <v>1519.01</v>
      </c>
      <c r="G67" s="13" t="s">
        <v>1554</v>
      </c>
      <c r="H67" s="11"/>
      <c r="I67" s="13"/>
      <c r="J67" s="11"/>
      <c r="K67" s="13"/>
      <c r="L67" s="7">
        <v>1099.01</v>
      </c>
      <c r="M67" s="26" t="s">
        <v>1628</v>
      </c>
      <c r="N67" s="7">
        <v>1836.94</v>
      </c>
      <c r="O67" s="26" t="s">
        <v>1662</v>
      </c>
      <c r="P67" s="9">
        <v>1099</v>
      </c>
      <c r="Q67" s="15" t="s">
        <v>1714</v>
      </c>
      <c r="R67" s="11"/>
      <c r="S67" s="13"/>
      <c r="T67" s="11">
        <v>4562</v>
      </c>
      <c r="U67" s="13" t="s">
        <v>1800</v>
      </c>
      <c r="V67" s="11"/>
      <c r="W67" s="13"/>
      <c r="X67" s="11">
        <v>20000</v>
      </c>
      <c r="Y67" s="13" t="s">
        <v>1835</v>
      </c>
      <c r="Z67" s="11">
        <v>137.25</v>
      </c>
      <c r="AA67" s="13" t="s">
        <v>1908</v>
      </c>
      <c r="AB67" s="72">
        <v>2367.0100000000002</v>
      </c>
      <c r="AC67" s="13" t="s">
        <v>1970</v>
      </c>
      <c r="AD67" s="72">
        <v>1099.01</v>
      </c>
      <c r="AE67" s="13" t="s">
        <v>2021</v>
      </c>
      <c r="AF67" s="11">
        <v>52</v>
      </c>
      <c r="AG67" s="13" t="s">
        <v>2073</v>
      </c>
      <c r="AH67" s="72">
        <v>1099.01</v>
      </c>
      <c r="AI67" s="13" t="s">
        <v>2123</v>
      </c>
      <c r="AJ67" s="11"/>
      <c r="AK67" s="13"/>
      <c r="AL67" s="11">
        <v>1969.99</v>
      </c>
      <c r="AM67" s="13" t="s">
        <v>2166</v>
      </c>
      <c r="AN67" s="11">
        <v>5199.12</v>
      </c>
      <c r="AO67" s="13" t="s">
        <v>2209</v>
      </c>
      <c r="AP67" s="9">
        <v>4395.01</v>
      </c>
      <c r="AQ67" s="15" t="s">
        <v>2261</v>
      </c>
      <c r="AR67" s="11">
        <v>4230.5200000000004</v>
      </c>
      <c r="AS67" s="13" t="s">
        <v>2397</v>
      </c>
      <c r="AT67" s="9">
        <v>1479.01</v>
      </c>
      <c r="AU67" s="15" t="s">
        <v>2336</v>
      </c>
      <c r="AV67" s="11">
        <v>1099.01</v>
      </c>
      <c r="AW67" s="13" t="s">
        <v>2385</v>
      </c>
      <c r="AX67" s="11"/>
      <c r="AY67" s="13"/>
      <c r="AZ67" s="9">
        <v>1563.01</v>
      </c>
      <c r="BA67" s="15" t="s">
        <v>2473</v>
      </c>
      <c r="BB67" s="11">
        <v>1969.99</v>
      </c>
      <c r="BC67" s="13" t="s">
        <v>2550</v>
      </c>
      <c r="BD67" s="7"/>
      <c r="BE67" s="26"/>
      <c r="BF67" s="9"/>
      <c r="BG67" s="26"/>
      <c r="BH67" s="11"/>
      <c r="BI67" s="13"/>
      <c r="BJ67" s="11"/>
      <c r="BK67" s="13"/>
      <c r="BL67" s="11"/>
      <c r="BM67" s="13"/>
      <c r="BN67" s="11"/>
      <c r="BO67" s="13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</row>
    <row r="68" spans="1:92" x14ac:dyDescent="0.25">
      <c r="A68" s="41"/>
      <c r="B68" s="9">
        <v>1970</v>
      </c>
      <c r="C68" s="15" t="s">
        <v>1400</v>
      </c>
      <c r="D68" s="7">
        <v>3250.01</v>
      </c>
      <c r="E68" s="26" t="s">
        <v>1508</v>
      </c>
      <c r="F68" s="7">
        <v>2320</v>
      </c>
      <c r="G68" s="26" t="s">
        <v>1557</v>
      </c>
      <c r="H68" s="7"/>
      <c r="I68" s="26"/>
      <c r="J68" s="7"/>
      <c r="K68" s="26"/>
      <c r="L68" s="9">
        <v>2390.0100000000002</v>
      </c>
      <c r="M68" s="15" t="s">
        <v>1629</v>
      </c>
      <c r="N68" s="9">
        <v>696</v>
      </c>
      <c r="O68" s="15" t="s">
        <v>1667</v>
      </c>
      <c r="P68" s="99">
        <f>+SUM(P59:P67)</f>
        <v>31986.479999999996</v>
      </c>
      <c r="Q68" s="15"/>
      <c r="R68" s="26"/>
      <c r="S68" s="26"/>
      <c r="T68" s="7">
        <v>3250.01</v>
      </c>
      <c r="U68" s="26" t="s">
        <v>1801</v>
      </c>
      <c r="V68" s="26"/>
      <c r="W68" s="26"/>
      <c r="X68" s="7">
        <v>20000</v>
      </c>
      <c r="Y68" s="26" t="s">
        <v>1837</v>
      </c>
      <c r="Z68" s="7">
        <v>3250</v>
      </c>
      <c r="AA68" s="26" t="s">
        <v>1924</v>
      </c>
      <c r="AB68" s="87">
        <v>1099</v>
      </c>
      <c r="AC68" s="26" t="s">
        <v>1979</v>
      </c>
      <c r="AD68" s="7">
        <v>4865.0200000000004</v>
      </c>
      <c r="AE68" s="26" t="s">
        <v>2022</v>
      </c>
      <c r="AF68" s="9">
        <v>1970</v>
      </c>
      <c r="AG68" s="26" t="s">
        <v>2074</v>
      </c>
      <c r="AH68" s="87">
        <v>1995.01</v>
      </c>
      <c r="AI68" s="26" t="s">
        <v>2125</v>
      </c>
      <c r="AJ68" s="7"/>
      <c r="AK68" s="26"/>
      <c r="AL68" s="7">
        <v>627.04999999999995</v>
      </c>
      <c r="AM68" s="26" t="s">
        <v>2170</v>
      </c>
      <c r="AN68" s="7">
        <v>1000</v>
      </c>
      <c r="AO68" s="26" t="s">
        <v>2215</v>
      </c>
      <c r="AP68" s="81">
        <f>SUM(AP60:AP67)</f>
        <v>18063.379999999997</v>
      </c>
      <c r="AQ68" s="26"/>
      <c r="AR68" s="9">
        <v>15000</v>
      </c>
      <c r="AS68" s="15" t="s">
        <v>2412</v>
      </c>
      <c r="AT68" s="9">
        <v>1969.99</v>
      </c>
      <c r="AU68" s="15" t="s">
        <v>2338</v>
      </c>
      <c r="AV68" s="72">
        <v>1799</v>
      </c>
      <c r="AW68" s="26" t="s">
        <v>2388</v>
      </c>
      <c r="AX68" s="7"/>
      <c r="AY68" s="26"/>
      <c r="AZ68" s="9">
        <v>3250</v>
      </c>
      <c r="BA68" s="15" t="s">
        <v>2474</v>
      </c>
      <c r="BB68" s="7">
        <v>3250.01</v>
      </c>
      <c r="BC68" s="26" t="s">
        <v>2551</v>
      </c>
      <c r="BD68" s="9"/>
      <c r="BE68" s="15"/>
      <c r="BF68" s="9"/>
      <c r="BG68" s="15"/>
      <c r="BH68" s="7"/>
      <c r="BI68" s="26"/>
      <c r="BJ68" s="7"/>
      <c r="BK68" s="26"/>
      <c r="BL68" s="7"/>
      <c r="BM68" s="26"/>
      <c r="BN68" s="7"/>
      <c r="BO68" s="26"/>
      <c r="BP68" s="7"/>
      <c r="BQ68" s="26"/>
      <c r="BR68" s="7"/>
      <c r="BS68" s="26"/>
      <c r="BT68" s="7"/>
      <c r="BU68" s="26"/>
      <c r="BV68" s="7"/>
      <c r="BW68" s="26"/>
      <c r="BX68" s="7"/>
      <c r="BY68" s="26"/>
      <c r="BZ68" s="7"/>
      <c r="CA68" s="26"/>
      <c r="CB68" s="7"/>
      <c r="CC68" s="26"/>
      <c r="CD68" s="7"/>
      <c r="CE68" s="26"/>
      <c r="CF68" s="7"/>
      <c r="CG68" s="26"/>
      <c r="CH68" s="7"/>
      <c r="CI68" s="26"/>
      <c r="CJ68" s="7"/>
      <c r="CK68" s="26"/>
      <c r="CL68" s="7"/>
      <c r="CM68" s="26"/>
      <c r="CN68" s="7"/>
    </row>
    <row r="69" spans="1:92" x14ac:dyDescent="0.25">
      <c r="A69" s="41"/>
      <c r="B69" s="9">
        <v>1767.78</v>
      </c>
      <c r="C69" s="15" t="s">
        <v>1405</v>
      </c>
      <c r="D69" s="99">
        <f>+SUM(D60:D68)</f>
        <v>30337.53</v>
      </c>
      <c r="E69" s="15"/>
      <c r="F69" s="9">
        <v>1969.99</v>
      </c>
      <c r="G69" s="15" t="s">
        <v>1559</v>
      </c>
      <c r="H69" s="15"/>
      <c r="I69" s="15"/>
      <c r="J69" s="9"/>
      <c r="K69" s="15"/>
      <c r="L69" s="9">
        <v>1970</v>
      </c>
      <c r="M69" s="15" t="s">
        <v>1630</v>
      </c>
      <c r="N69" s="9">
        <v>1995</v>
      </c>
      <c r="O69" s="15" t="s">
        <v>1670</v>
      </c>
      <c r="P69" s="99"/>
      <c r="Q69" s="15"/>
      <c r="R69" s="15">
        <v>7816.39</v>
      </c>
      <c r="S69" s="15" t="s">
        <v>1749</v>
      </c>
      <c r="T69" s="15">
        <v>355.82</v>
      </c>
      <c r="U69" s="15" t="s">
        <v>1807</v>
      </c>
      <c r="V69" s="15"/>
      <c r="W69" s="15"/>
      <c r="X69" s="15">
        <v>1099</v>
      </c>
      <c r="Y69" s="15" t="s">
        <v>1838</v>
      </c>
      <c r="Z69" s="15">
        <v>1099.01</v>
      </c>
      <c r="AA69" s="15" t="s">
        <v>1925</v>
      </c>
      <c r="AB69" s="72">
        <v>1099.01</v>
      </c>
      <c r="AC69" s="15" t="s">
        <v>1980</v>
      </c>
      <c r="AD69" s="51">
        <f>SUM(AD60:AD68)</f>
        <v>27738.05</v>
      </c>
      <c r="AE69" s="15"/>
      <c r="AF69" s="9">
        <v>600.01</v>
      </c>
      <c r="AG69" s="15" t="s">
        <v>2077</v>
      </c>
      <c r="AH69" s="24">
        <v>2519.61</v>
      </c>
      <c r="AI69" s="15" t="s">
        <v>2129</v>
      </c>
      <c r="AJ69" s="15"/>
      <c r="AK69" s="15"/>
      <c r="AL69" s="51">
        <f>SUM(AL60:AL68)</f>
        <v>22713.200000000001</v>
      </c>
      <c r="AM69" s="15"/>
      <c r="AN69" s="15">
        <v>43178.78</v>
      </c>
      <c r="AO69" s="15" t="s">
        <v>2219</v>
      </c>
      <c r="AP69" s="15"/>
      <c r="AQ69" s="15"/>
      <c r="AR69" s="9">
        <v>10798.95</v>
      </c>
      <c r="AS69" s="15" t="s">
        <v>2413</v>
      </c>
      <c r="AT69" s="9">
        <v>1464</v>
      </c>
      <c r="AU69" s="15" t="s">
        <v>2342</v>
      </c>
      <c r="AV69" s="72">
        <v>1451.26</v>
      </c>
      <c r="AW69" s="15" t="s">
        <v>2390</v>
      </c>
      <c r="AX69" s="9"/>
      <c r="AY69" s="15"/>
      <c r="AZ69" s="9">
        <v>1099.01</v>
      </c>
      <c r="BA69" s="15" t="s">
        <v>2476</v>
      </c>
      <c r="BB69" s="9">
        <v>3250</v>
      </c>
      <c r="BC69" s="15" t="s">
        <v>2556</v>
      </c>
      <c r="BD69" s="9"/>
      <c r="BE69" s="15"/>
      <c r="BF69" s="9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</row>
    <row r="70" spans="1:92" x14ac:dyDescent="0.25">
      <c r="A70" s="41"/>
      <c r="B70" s="72">
        <v>1187</v>
      </c>
      <c r="C70" s="15" t="s">
        <v>1410</v>
      </c>
      <c r="D70" s="9"/>
      <c r="E70" s="15"/>
      <c r="F70" s="9">
        <v>1099.01</v>
      </c>
      <c r="G70" s="15" t="s">
        <v>1560</v>
      </c>
      <c r="H70" s="9"/>
      <c r="I70" s="15"/>
      <c r="J70" s="9"/>
      <c r="K70" s="15"/>
      <c r="L70" s="9">
        <v>449.02</v>
      </c>
      <c r="M70" s="15" t="s">
        <v>1641</v>
      </c>
      <c r="N70" s="9">
        <f>3645.64-2880</f>
        <v>765.63999999999987</v>
      </c>
      <c r="O70" s="15" t="s">
        <v>1676</v>
      </c>
      <c r="P70" s="9"/>
      <c r="Q70" s="15"/>
      <c r="R70" s="9">
        <v>1497.14</v>
      </c>
      <c r="S70" s="15" t="s">
        <v>1751</v>
      </c>
      <c r="T70" s="51">
        <f>SUM(T60:T69)</f>
        <v>47017.47</v>
      </c>
      <c r="U70" s="15"/>
      <c r="V70" s="9"/>
      <c r="W70" s="15"/>
      <c r="X70" s="9">
        <v>2068.52</v>
      </c>
      <c r="Y70" s="15" t="s">
        <v>1842</v>
      </c>
      <c r="Z70" s="9">
        <v>1099.01</v>
      </c>
      <c r="AA70" s="15" t="s">
        <v>1927</v>
      </c>
      <c r="AB70" s="72">
        <v>4169.01</v>
      </c>
      <c r="AC70" s="85" t="s">
        <v>1967</v>
      </c>
      <c r="AD70" s="9"/>
      <c r="AE70" s="15"/>
      <c r="AF70" s="72">
        <v>1099.01</v>
      </c>
      <c r="AG70" s="24" t="s">
        <v>2078</v>
      </c>
      <c r="AH70" s="90">
        <v>8415.4500000000007</v>
      </c>
      <c r="AI70" s="15" t="s">
        <v>2054</v>
      </c>
      <c r="AJ70" s="9"/>
      <c r="AK70" s="15"/>
      <c r="AL70" s="9"/>
      <c r="AM70" s="15"/>
      <c r="AN70" s="9">
        <v>2350.0100000000002</v>
      </c>
      <c r="AO70" s="15" t="s">
        <v>2232</v>
      </c>
      <c r="AP70" s="9"/>
      <c r="AQ70" s="15"/>
      <c r="AR70" s="9">
        <v>3211.12</v>
      </c>
      <c r="AS70" s="15" t="s">
        <v>2415</v>
      </c>
      <c r="AT70" s="72">
        <v>1099.01</v>
      </c>
      <c r="AU70" s="15" t="s">
        <v>2343</v>
      </c>
      <c r="AV70" s="132">
        <f>SUM(AV60:AV69)</f>
        <v>36782.43</v>
      </c>
      <c r="AW70" s="15"/>
      <c r="AX70" s="9"/>
      <c r="AY70" s="15"/>
      <c r="AZ70" s="9">
        <v>3258.01</v>
      </c>
      <c r="BA70" s="15" t="s">
        <v>2486</v>
      </c>
      <c r="BB70" s="9">
        <v>18000</v>
      </c>
      <c r="BC70" s="15" t="s">
        <v>2521</v>
      </c>
      <c r="BD70" s="9"/>
      <c r="BE70" s="15"/>
      <c r="BF70" s="72"/>
      <c r="BG70" s="15"/>
      <c r="BH70" s="9"/>
      <c r="BI70" s="15"/>
      <c r="BJ70" s="9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</row>
    <row r="71" spans="1:92" x14ac:dyDescent="0.25">
      <c r="A71" s="41"/>
      <c r="B71" s="99">
        <f>+SUM(B60:B70)</f>
        <v>20507.400000000001</v>
      </c>
      <c r="C71" s="15"/>
      <c r="D71" s="9"/>
      <c r="E71" s="15"/>
      <c r="F71" s="9">
        <v>4395.01</v>
      </c>
      <c r="G71" s="15" t="s">
        <v>293</v>
      </c>
      <c r="H71" s="9"/>
      <c r="I71" s="15"/>
      <c r="J71" s="9"/>
      <c r="K71" s="15"/>
      <c r="L71" s="99">
        <f>+SUM(L60:L70)</f>
        <v>44627.700000000004</v>
      </c>
      <c r="M71" s="9"/>
      <c r="N71" s="99">
        <f>+SUM(N59:N70)</f>
        <v>70922.75</v>
      </c>
      <c r="O71" s="15"/>
      <c r="P71" s="15"/>
      <c r="Q71" s="15"/>
      <c r="R71" s="9">
        <v>5000</v>
      </c>
      <c r="S71" s="15" t="s">
        <v>1752</v>
      </c>
      <c r="T71" s="9"/>
      <c r="U71" s="15"/>
      <c r="V71" s="9"/>
      <c r="W71" s="15"/>
      <c r="X71" s="15">
        <v>5615.4</v>
      </c>
      <c r="Y71" s="9" t="s">
        <v>1843</v>
      </c>
      <c r="Z71" s="9">
        <v>2250.0100000000002</v>
      </c>
      <c r="AA71" s="15" t="s">
        <v>1932</v>
      </c>
      <c r="AB71" s="125">
        <f>SUM(AB60:AB70)</f>
        <v>45585.130000000012</v>
      </c>
      <c r="AC71" s="15"/>
      <c r="AD71" s="9"/>
      <c r="AE71" s="15"/>
      <c r="AF71" s="9">
        <v>4395.01</v>
      </c>
      <c r="AG71" s="15" t="s">
        <v>2080</v>
      </c>
      <c r="AH71" s="125">
        <f>SUM(AH60:AH70)</f>
        <v>32246.21</v>
      </c>
      <c r="AI71" s="15"/>
      <c r="AJ71" s="9"/>
      <c r="AK71" s="15"/>
      <c r="AL71" s="9"/>
      <c r="AM71" s="15"/>
      <c r="AN71" s="9">
        <v>526.64</v>
      </c>
      <c r="AO71" s="15" t="s">
        <v>2235</v>
      </c>
      <c r="AP71" s="9">
        <v>400</v>
      </c>
      <c r="AQ71" s="15" t="s">
        <v>2289</v>
      </c>
      <c r="AR71" s="9">
        <v>1099.01</v>
      </c>
      <c r="AS71" s="15" t="s">
        <v>2421</v>
      </c>
      <c r="AT71" s="9">
        <v>3168.99</v>
      </c>
      <c r="AU71" s="15" t="s">
        <v>2344</v>
      </c>
      <c r="AV71" s="9"/>
      <c r="AW71" s="15"/>
      <c r="AX71" s="9"/>
      <c r="AY71" s="15"/>
      <c r="AZ71" s="9">
        <v>1099.01</v>
      </c>
      <c r="BA71" s="15" t="s">
        <v>2332</v>
      </c>
      <c r="BB71" s="137">
        <v>7000</v>
      </c>
      <c r="BC71" s="15" t="s">
        <v>2565</v>
      </c>
      <c r="BD71" s="9"/>
      <c r="BE71" s="15"/>
      <c r="BF71" s="24"/>
      <c r="BG71" s="15"/>
      <c r="BH71" s="9"/>
      <c r="BI71" s="15"/>
      <c r="BJ71" s="9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</row>
    <row r="72" spans="1:92" x14ac:dyDescent="0.25">
      <c r="A72" s="41"/>
      <c r="B72" s="15"/>
      <c r="C72" s="15"/>
      <c r="D72" s="15"/>
      <c r="E72" s="15"/>
      <c r="F72" s="9">
        <v>505.01</v>
      </c>
      <c r="G72" s="15" t="s">
        <v>1561</v>
      </c>
      <c r="H72" s="15"/>
      <c r="I72" s="15"/>
      <c r="J72" s="9"/>
      <c r="K72" s="15"/>
      <c r="L72" s="15"/>
      <c r="M72" s="15"/>
      <c r="N72" s="99"/>
      <c r="O72" s="15"/>
      <c r="P72" s="15"/>
      <c r="Q72" s="15"/>
      <c r="R72" s="15">
        <v>11942.92</v>
      </c>
      <c r="S72" s="15" t="s">
        <v>1753</v>
      </c>
      <c r="T72" s="15"/>
      <c r="U72" s="15"/>
      <c r="V72" s="15"/>
      <c r="W72" s="15"/>
      <c r="X72" s="15">
        <v>5290.99</v>
      </c>
      <c r="Y72" s="15" t="s">
        <v>1844</v>
      </c>
      <c r="Z72" s="15">
        <v>1307.69</v>
      </c>
      <c r="AA72" s="15" t="s">
        <v>1933</v>
      </c>
      <c r="AB72" s="15"/>
      <c r="AC72" s="15"/>
      <c r="AD72" s="9">
        <v>3637.24</v>
      </c>
      <c r="AE72" s="15" t="s">
        <v>2032</v>
      </c>
      <c r="AF72" s="51">
        <f>SUM(AF60:AF71)</f>
        <v>61739.280000000006</v>
      </c>
      <c r="AG72" s="15"/>
      <c r="AH72" s="24"/>
      <c r="AI72" s="15"/>
      <c r="AJ72" s="15"/>
      <c r="AK72" s="15"/>
      <c r="AL72" s="9">
        <v>1969.99</v>
      </c>
      <c r="AM72" s="15" t="s">
        <v>2183</v>
      </c>
      <c r="AN72" s="15">
        <v>2050</v>
      </c>
      <c r="AO72" s="15" t="s">
        <v>2238</v>
      </c>
      <c r="AP72" s="9">
        <v>579.55999999999995</v>
      </c>
      <c r="AQ72" s="15" t="s">
        <v>2293</v>
      </c>
      <c r="AR72" s="9">
        <v>1416.94</v>
      </c>
      <c r="AS72" s="15" t="s">
        <v>2423</v>
      </c>
      <c r="AT72" s="9">
        <v>1970</v>
      </c>
      <c r="AU72" s="15" t="s">
        <v>2346</v>
      </c>
      <c r="AV72" s="15"/>
      <c r="AW72" s="15"/>
      <c r="AX72" s="9"/>
      <c r="AY72" s="15"/>
      <c r="AZ72" s="9">
        <v>464</v>
      </c>
      <c r="BA72" s="15" t="s">
        <v>2492</v>
      </c>
      <c r="BB72" s="132">
        <f>SUM(BB60:BB71)</f>
        <v>62102.53</v>
      </c>
      <c r="BC72" s="15"/>
      <c r="BD72" s="9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</row>
    <row r="73" spans="1:92" x14ac:dyDescent="0.25">
      <c r="A73" s="41"/>
      <c r="B73" s="9"/>
      <c r="C73" s="15"/>
      <c r="D73" s="9"/>
      <c r="E73" s="15"/>
      <c r="F73" s="9">
        <v>4395.01</v>
      </c>
      <c r="G73" s="15" t="s">
        <v>1573</v>
      </c>
      <c r="H73" s="9"/>
      <c r="I73" s="15"/>
      <c r="J73" s="9"/>
      <c r="K73" s="15"/>
      <c r="L73" s="9"/>
      <c r="M73" s="15"/>
      <c r="N73" s="72">
        <v>10917.37</v>
      </c>
      <c r="O73" s="15" t="s">
        <v>1677</v>
      </c>
      <c r="P73" s="9"/>
      <c r="Q73" s="15"/>
      <c r="R73" s="9">
        <v>1215.99</v>
      </c>
      <c r="S73" s="15" t="s">
        <v>1761</v>
      </c>
      <c r="T73" s="9"/>
      <c r="U73" s="15"/>
      <c r="V73" s="9"/>
      <c r="W73" s="15"/>
      <c r="X73" s="9">
        <v>1970</v>
      </c>
      <c r="Y73" s="15" t="s">
        <v>1847</v>
      </c>
      <c r="Z73" s="9">
        <v>4795</v>
      </c>
      <c r="AA73" s="15" t="s">
        <v>1934</v>
      </c>
      <c r="AB73" s="9"/>
      <c r="AC73" s="15"/>
      <c r="AD73" s="9">
        <v>88</v>
      </c>
      <c r="AE73" s="15" t="s">
        <v>2034</v>
      </c>
      <c r="AF73" s="9"/>
      <c r="AG73" s="15"/>
      <c r="AH73" s="72"/>
      <c r="AI73" s="15"/>
      <c r="AJ73" s="9"/>
      <c r="AK73" s="15"/>
      <c r="AL73" s="51">
        <f>SUM(AL72)</f>
        <v>1969.99</v>
      </c>
      <c r="AM73" s="15"/>
      <c r="AN73" s="51">
        <f>SUM(AN67:AN72)</f>
        <v>54304.55</v>
      </c>
      <c r="AO73" s="15"/>
      <c r="AP73" s="51">
        <f>SUM(AP71:AP72)</f>
        <v>979.56</v>
      </c>
      <c r="AQ73" s="15"/>
      <c r="AR73" s="9">
        <v>1995</v>
      </c>
      <c r="AS73" s="15" t="s">
        <v>2426</v>
      </c>
      <c r="AT73" s="9">
        <v>1969.99</v>
      </c>
      <c r="AU73" s="15" t="s">
        <v>2347</v>
      </c>
      <c r="AV73" s="9"/>
      <c r="AW73" s="15"/>
      <c r="AX73" s="24"/>
      <c r="AY73" s="15"/>
      <c r="AZ73" s="9">
        <v>3250.01</v>
      </c>
      <c r="BA73" s="15" t="s">
        <v>2494</v>
      </c>
      <c r="BB73" s="9"/>
      <c r="BC73" s="15"/>
      <c r="BD73" s="9"/>
      <c r="BE73" s="15"/>
      <c r="BF73" s="9"/>
      <c r="BG73" s="15"/>
      <c r="BH73" s="9"/>
      <c r="BI73" s="15"/>
      <c r="BJ73" s="9"/>
      <c r="BK73" s="15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</row>
    <row r="74" spans="1:92" x14ac:dyDescent="0.25">
      <c r="A74" s="41"/>
      <c r="B74" s="9"/>
      <c r="C74" s="15"/>
      <c r="D74" s="9"/>
      <c r="E74" s="15"/>
      <c r="F74" s="9">
        <v>3589.01</v>
      </c>
      <c r="G74" s="15" t="s">
        <v>1574</v>
      </c>
      <c r="H74" s="9"/>
      <c r="I74" s="15"/>
      <c r="J74" s="9"/>
      <c r="K74" s="15"/>
      <c r="L74" s="9"/>
      <c r="M74" s="15"/>
      <c r="N74" s="9">
        <v>6870.98</v>
      </c>
      <c r="O74" s="15" t="s">
        <v>1685</v>
      </c>
      <c r="P74" s="9"/>
      <c r="Q74" s="15"/>
      <c r="R74" s="51">
        <f>SUM(R69:R73)</f>
        <v>27472.440000000002</v>
      </c>
      <c r="S74" s="15"/>
      <c r="T74" s="9"/>
      <c r="U74" s="15"/>
      <c r="V74" s="9"/>
      <c r="W74" s="15"/>
      <c r="X74" s="9">
        <f>1950.3+19.7</f>
        <v>1970</v>
      </c>
      <c r="Y74" s="15" t="s">
        <v>1850</v>
      </c>
      <c r="Z74" s="51">
        <f>SUM(Z65:Z73)</f>
        <v>24317.14</v>
      </c>
      <c r="AA74" s="15"/>
      <c r="AB74" s="9">
        <v>3000</v>
      </c>
      <c r="AC74" s="15" t="s">
        <v>1984</v>
      </c>
      <c r="AD74" s="90">
        <v>52.2</v>
      </c>
      <c r="AE74" s="15" t="s">
        <v>2036</v>
      </c>
      <c r="AF74" s="9"/>
      <c r="AG74" s="15"/>
      <c r="AH74" s="72"/>
      <c r="AI74" s="15"/>
      <c r="AJ74" s="9"/>
      <c r="AK74" s="15"/>
      <c r="AL74" s="9"/>
      <c r="AM74" s="15"/>
      <c r="AN74" s="9"/>
      <c r="AO74" s="15"/>
      <c r="AP74" s="9"/>
      <c r="AQ74" s="15"/>
      <c r="AR74" s="9">
        <v>4000</v>
      </c>
      <c r="AS74" s="15" t="s">
        <v>2428</v>
      </c>
      <c r="AT74" s="9">
        <v>1970</v>
      </c>
      <c r="AU74" s="15" t="s">
        <v>2348</v>
      </c>
      <c r="AV74" s="9"/>
      <c r="AW74" s="15"/>
      <c r="AX74" s="9"/>
      <c r="AY74" s="15"/>
      <c r="AZ74" s="9">
        <v>1082.22</v>
      </c>
      <c r="BA74" s="15" t="s">
        <v>2501</v>
      </c>
      <c r="BB74" s="9"/>
      <c r="BC74" s="15"/>
      <c r="BD74" s="9"/>
      <c r="BE74" s="15"/>
      <c r="BF74" s="9"/>
      <c r="BG74" s="15"/>
      <c r="BH74" s="9"/>
      <c r="BI74" s="15"/>
      <c r="BJ74" s="9"/>
      <c r="BK74" s="15"/>
      <c r="BL74" s="9"/>
      <c r="BM74" s="15"/>
      <c r="BN74" s="9"/>
      <c r="BO74" s="15"/>
      <c r="BP74" s="9"/>
      <c r="BQ74" s="15"/>
      <c r="BR74" s="9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</row>
    <row r="75" spans="1:92" x14ac:dyDescent="0.25">
      <c r="A75" s="41"/>
      <c r="B75" s="9"/>
      <c r="C75" s="15"/>
      <c r="D75" s="9"/>
      <c r="E75" s="15"/>
      <c r="F75" s="9">
        <v>374.42</v>
      </c>
      <c r="G75" s="15" t="s">
        <v>1580</v>
      </c>
      <c r="H75" s="9"/>
      <c r="I75" s="15"/>
      <c r="J75" s="9"/>
      <c r="K75" s="15"/>
      <c r="L75" s="9"/>
      <c r="M75" s="15"/>
      <c r="N75" s="9">
        <v>1099.01</v>
      </c>
      <c r="O75" s="15" t="s">
        <v>1686</v>
      </c>
      <c r="P75" s="9"/>
      <c r="Q75" s="15"/>
      <c r="R75" s="9"/>
      <c r="S75" s="15"/>
      <c r="T75" s="9"/>
      <c r="U75" s="15"/>
      <c r="V75" s="9"/>
      <c r="W75" s="15"/>
      <c r="X75" s="9">
        <v>737.01</v>
      </c>
      <c r="Y75" s="9" t="s">
        <v>1852</v>
      </c>
      <c r="Z75" s="9"/>
      <c r="AA75" s="15"/>
      <c r="AB75" s="9">
        <v>48000</v>
      </c>
      <c r="AC75" s="15" t="s">
        <v>1986</v>
      </c>
      <c r="AD75" s="51">
        <f>SUM(AD72:AD74)</f>
        <v>3777.4399999999996</v>
      </c>
      <c r="AE75" s="15"/>
      <c r="AF75" s="9">
        <v>9390.89</v>
      </c>
      <c r="AG75" s="15" t="s">
        <v>2090</v>
      </c>
      <c r="AH75" s="72"/>
      <c r="AI75" s="15"/>
      <c r="AJ75" s="9"/>
      <c r="AK75" s="15"/>
      <c r="AL75" s="9"/>
      <c r="AM75" s="15"/>
      <c r="AN75" s="9"/>
      <c r="AO75" s="15"/>
      <c r="AP75" s="99"/>
      <c r="AQ75" s="15"/>
      <c r="AR75" s="9">
        <v>2350</v>
      </c>
      <c r="AS75" s="15" t="s">
        <v>2430</v>
      </c>
      <c r="AT75" s="9">
        <v>1970</v>
      </c>
      <c r="AU75" s="15" t="s">
        <v>2350</v>
      </c>
      <c r="AV75" s="9"/>
      <c r="AW75" s="15"/>
      <c r="AX75" s="9"/>
      <c r="AY75" s="15"/>
      <c r="AZ75" s="9">
        <f>790.69-44.79</f>
        <v>745.90000000000009</v>
      </c>
      <c r="BA75" s="15" t="s">
        <v>2502</v>
      </c>
      <c r="BB75" s="9"/>
      <c r="BC75" s="15"/>
      <c r="BD75" s="7"/>
      <c r="BE75" s="26"/>
      <c r="BF75" s="9"/>
      <c r="BG75" s="15"/>
      <c r="BH75" s="9"/>
      <c r="BI75" s="15"/>
      <c r="BJ75" s="9"/>
      <c r="BK75" s="15"/>
      <c r="BL75" s="9"/>
      <c r="BM75" s="15"/>
      <c r="BN75" s="9"/>
      <c r="BO75" s="15"/>
      <c r="BP75" s="9"/>
      <c r="BQ75" s="15"/>
      <c r="BR75" s="9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</row>
    <row r="76" spans="1:92" x14ac:dyDescent="0.25">
      <c r="A76" s="41"/>
      <c r="B76" s="9"/>
      <c r="C76" s="15"/>
      <c r="D76" s="9"/>
      <c r="E76" s="15"/>
      <c r="F76" s="9">
        <v>374.42</v>
      </c>
      <c r="G76" s="15" t="s">
        <v>1582</v>
      </c>
      <c r="H76" s="15"/>
      <c r="I76" s="15"/>
      <c r="J76" s="15"/>
      <c r="K76" s="9"/>
      <c r="L76" s="9"/>
      <c r="M76" s="15"/>
      <c r="N76" s="9">
        <v>3169</v>
      </c>
      <c r="O76" s="15" t="s">
        <v>1687</v>
      </c>
      <c r="P76" s="9"/>
      <c r="Q76" s="15"/>
      <c r="R76" s="9"/>
      <c r="S76" s="15"/>
      <c r="T76" s="9"/>
      <c r="U76" s="15"/>
      <c r="V76" s="9"/>
      <c r="W76" s="15"/>
      <c r="X76" s="9">
        <v>1099.01</v>
      </c>
      <c r="Y76" s="15" t="s">
        <v>1853</v>
      </c>
      <c r="Z76" s="9"/>
      <c r="AA76" s="15"/>
      <c r="AB76" s="9">
        <v>9838.74</v>
      </c>
      <c r="AC76" s="15" t="s">
        <v>1987</v>
      </c>
      <c r="AD76" s="9"/>
      <c r="AE76" s="15"/>
      <c r="AF76" s="9">
        <v>1099.01</v>
      </c>
      <c r="AG76" s="15" t="s">
        <v>2093</v>
      </c>
      <c r="AH76" s="72"/>
      <c r="AI76" s="15"/>
      <c r="AJ76" s="9"/>
      <c r="AK76" s="15"/>
      <c r="AL76" s="9"/>
      <c r="AM76" s="15"/>
      <c r="AN76" s="9"/>
      <c r="AO76" s="15"/>
      <c r="AP76" s="9"/>
      <c r="AQ76" s="15"/>
      <c r="AR76" s="9">
        <v>3246</v>
      </c>
      <c r="AS76" s="15" t="s">
        <v>2431</v>
      </c>
      <c r="AT76" s="9">
        <v>1969.99</v>
      </c>
      <c r="AU76" s="15" t="s">
        <v>2353</v>
      </c>
      <c r="AV76" s="9"/>
      <c r="AW76" s="15"/>
      <c r="AX76" s="9"/>
      <c r="AY76" s="15"/>
      <c r="AZ76" s="9">
        <v>702.06</v>
      </c>
      <c r="BA76" s="26" t="s">
        <v>2449</v>
      </c>
      <c r="BB76" s="9"/>
      <c r="BC76" s="15"/>
      <c r="BD76" s="24"/>
      <c r="BE76" s="15"/>
      <c r="BF76" s="9"/>
      <c r="BG76" s="15"/>
      <c r="BH76" s="9"/>
      <c r="BI76" s="15"/>
      <c r="BJ76" s="9"/>
      <c r="BK76" s="15"/>
      <c r="BL76" s="9"/>
      <c r="BM76" s="15"/>
      <c r="BN76" s="9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</row>
    <row r="77" spans="1:92" x14ac:dyDescent="0.25">
      <c r="A77" s="41"/>
      <c r="B77" s="9"/>
      <c r="C77" s="15"/>
      <c r="D77" s="9"/>
      <c r="E77" s="15"/>
      <c r="F77" s="9">
        <v>150</v>
      </c>
      <c r="G77" s="15" t="s">
        <v>1585</v>
      </c>
      <c r="H77" s="9"/>
      <c r="I77" s="15"/>
      <c r="J77" s="9"/>
      <c r="K77" s="9"/>
      <c r="L77" s="9"/>
      <c r="M77" s="15"/>
      <c r="N77" s="9">
        <v>1969.99</v>
      </c>
      <c r="O77" s="15" t="s">
        <v>1688</v>
      </c>
      <c r="P77" s="9"/>
      <c r="Q77" s="15"/>
      <c r="R77" s="9"/>
      <c r="S77" s="15"/>
      <c r="T77" s="9"/>
      <c r="U77" s="15"/>
      <c r="V77" s="9"/>
      <c r="W77" s="15"/>
      <c r="X77" s="9">
        <v>1969.99</v>
      </c>
      <c r="Y77" s="15" t="s">
        <v>1855</v>
      </c>
      <c r="Z77" s="9"/>
      <c r="AA77" s="15"/>
      <c r="AB77" s="9">
        <v>1970</v>
      </c>
      <c r="AC77" s="15" t="s">
        <v>1988</v>
      </c>
      <c r="AD77" s="9"/>
      <c r="AE77" s="15"/>
      <c r="AF77" s="9">
        <v>579.55999999999995</v>
      </c>
      <c r="AG77" s="15" t="s">
        <v>2097</v>
      </c>
      <c r="AH77" s="72"/>
      <c r="AI77" s="15"/>
      <c r="AJ77" s="24"/>
      <c r="AK77" s="15"/>
      <c r="AL77" s="9"/>
      <c r="AM77" s="15"/>
      <c r="AN77" s="9"/>
      <c r="AO77" s="15"/>
      <c r="AP77" s="9"/>
      <c r="AQ77" s="15"/>
      <c r="AR77" s="125">
        <f>SUM(AR67:AR76)</f>
        <v>47347.540000000008</v>
      </c>
      <c r="AS77" s="15"/>
      <c r="AT77" s="9">
        <v>422.05</v>
      </c>
      <c r="AU77" s="15" t="s">
        <v>2358</v>
      </c>
      <c r="AV77" s="9"/>
      <c r="AW77" s="15"/>
      <c r="AX77" s="9"/>
      <c r="AY77" s="15"/>
      <c r="AZ77" s="137">
        <v>5000</v>
      </c>
      <c r="BA77" s="15" t="s">
        <v>2471</v>
      </c>
      <c r="BB77" s="9"/>
      <c r="BC77" s="15"/>
      <c r="BD77" s="24"/>
      <c r="BE77" s="15"/>
      <c r="BF77" s="9"/>
      <c r="BG77" s="15"/>
      <c r="BH77" s="9"/>
      <c r="BI77" s="15"/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</row>
    <row r="78" spans="1:92" x14ac:dyDescent="0.25">
      <c r="A78" s="41"/>
      <c r="B78" s="9"/>
      <c r="C78" s="15"/>
      <c r="D78" s="9"/>
      <c r="E78" s="15"/>
      <c r="F78" s="9">
        <v>840.83600000000001</v>
      </c>
      <c r="G78" s="15" t="s">
        <v>1586</v>
      </c>
      <c r="H78" s="9"/>
      <c r="I78" s="15"/>
      <c r="J78" s="9"/>
      <c r="K78" s="15"/>
      <c r="L78" s="9"/>
      <c r="M78" s="15"/>
      <c r="N78" s="99">
        <f>+SUM(N73:N77)</f>
        <v>24026.35</v>
      </c>
      <c r="O78" s="15"/>
      <c r="P78" s="9"/>
      <c r="Q78" s="15"/>
      <c r="R78" s="9"/>
      <c r="S78" s="15"/>
      <c r="T78" s="9"/>
      <c r="U78" s="15"/>
      <c r="V78" s="9"/>
      <c r="W78" s="15"/>
      <c r="X78" s="9">
        <v>1099.01</v>
      </c>
      <c r="Y78" s="15" t="s">
        <v>1856</v>
      </c>
      <c r="Z78" s="9"/>
      <c r="AA78" s="15"/>
      <c r="AB78" s="51">
        <f>SUM(AB74:AB77)</f>
        <v>62808.74</v>
      </c>
      <c r="AC78" s="15"/>
      <c r="AD78" s="9"/>
      <c r="AE78" s="15"/>
      <c r="AF78" s="9">
        <v>1279.99</v>
      </c>
      <c r="AG78" s="15" t="s">
        <v>2092</v>
      </c>
      <c r="AH78" s="72"/>
      <c r="AI78" s="15"/>
      <c r="AJ78" s="9"/>
      <c r="AK78" s="15"/>
      <c r="AL78" s="9"/>
      <c r="AM78" s="15"/>
      <c r="AN78" s="9"/>
      <c r="AO78" s="15"/>
      <c r="AP78" s="9"/>
      <c r="AQ78" s="15"/>
      <c r="AR78" s="9"/>
      <c r="AS78" s="15"/>
      <c r="AT78" s="132">
        <f>SUM(AT60:AT77)</f>
        <v>64707.57</v>
      </c>
      <c r="AU78" s="15"/>
      <c r="AV78" s="9"/>
      <c r="AW78" s="15"/>
      <c r="AX78" s="9"/>
      <c r="AY78" s="15"/>
      <c r="AZ78" s="132">
        <f>SUM(AZ60:AZ77)</f>
        <v>122495.53999999996</v>
      </c>
      <c r="BA78" s="15"/>
      <c r="BB78" s="9"/>
      <c r="BC78" s="15"/>
      <c r="BD78" s="9"/>
      <c r="BE78" s="15"/>
      <c r="BF78" s="9"/>
      <c r="BG78" s="15"/>
      <c r="BH78" s="9"/>
      <c r="BI78" s="15"/>
      <c r="BJ78" s="9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</row>
    <row r="79" spans="1:92" x14ac:dyDescent="0.25">
      <c r="A79" s="41"/>
      <c r="B79" s="9"/>
      <c r="C79" s="15"/>
      <c r="D79" s="9"/>
      <c r="E79" s="15"/>
      <c r="F79" s="9">
        <v>1390.14</v>
      </c>
      <c r="G79" s="15" t="s">
        <v>1587</v>
      </c>
      <c r="H79" s="9"/>
      <c r="I79" s="15"/>
      <c r="J79" s="9"/>
      <c r="K79" s="15"/>
      <c r="L79" s="9"/>
      <c r="M79" s="15"/>
      <c r="N79" s="9"/>
      <c r="O79" s="15"/>
      <c r="P79" s="9"/>
      <c r="Q79" s="15"/>
      <c r="R79" s="9"/>
      <c r="S79" s="15"/>
      <c r="T79" s="9"/>
      <c r="U79" s="15"/>
      <c r="V79" s="9"/>
      <c r="W79" s="15"/>
      <c r="X79" s="9">
        <v>70.180000000000007</v>
      </c>
      <c r="Y79" s="15" t="s">
        <v>1859</v>
      </c>
      <c r="Z79" s="9"/>
      <c r="AA79" s="15"/>
      <c r="AB79" s="9"/>
      <c r="AC79" s="15"/>
      <c r="AD79" s="9"/>
      <c r="AE79" s="15"/>
      <c r="AF79" s="51">
        <f>SUM(AF75:AF78)</f>
        <v>12349.449999999999</v>
      </c>
      <c r="AG79" s="15"/>
      <c r="AH79" s="72"/>
      <c r="AI79" s="15"/>
      <c r="AJ79" s="9"/>
      <c r="AK79" s="15"/>
      <c r="AL79" s="9"/>
      <c r="AM79" s="15"/>
      <c r="AN79" s="9"/>
      <c r="AO79" s="15"/>
      <c r="AP79" s="9"/>
      <c r="AQ79" s="15"/>
      <c r="AT79" s="9"/>
      <c r="AU79" s="15"/>
      <c r="AV79" s="9"/>
      <c r="AW79" s="15"/>
      <c r="AX79" s="9"/>
      <c r="AY79" s="15"/>
      <c r="AZ79" s="24"/>
      <c r="BA79" s="15"/>
      <c r="BB79" s="9"/>
      <c r="BC79" s="15"/>
      <c r="BD79" s="9"/>
      <c r="BE79" s="15"/>
      <c r="BF79" s="9"/>
      <c r="BG79" s="15"/>
      <c r="BH79" s="9"/>
      <c r="BI79" s="15"/>
      <c r="BJ79" s="9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</row>
    <row r="80" spans="1:92" x14ac:dyDescent="0.25">
      <c r="A80" s="41"/>
      <c r="B80" s="9"/>
      <c r="C80" s="15"/>
      <c r="D80" s="9"/>
      <c r="E80" s="15"/>
      <c r="F80" s="99">
        <f>+SUM(F60:F79)</f>
        <v>53360.256000000001</v>
      </c>
      <c r="G80" s="15"/>
      <c r="H80" s="9"/>
      <c r="I80" s="15"/>
      <c r="J80" s="9"/>
      <c r="K80" s="15"/>
      <c r="L80" s="9"/>
      <c r="M80" s="15"/>
      <c r="N80" s="9"/>
      <c r="O80" s="15"/>
      <c r="P80" s="9"/>
      <c r="Q80" s="15"/>
      <c r="R80" s="9"/>
      <c r="S80" s="15"/>
      <c r="T80" s="9"/>
      <c r="U80" s="15"/>
      <c r="V80" s="9"/>
      <c r="W80" s="15"/>
      <c r="X80">
        <f>1630.21-600</f>
        <v>1030.21</v>
      </c>
      <c r="Y80" s="15" t="s">
        <v>1864</v>
      </c>
      <c r="Z80" s="9"/>
      <c r="AA80" s="15"/>
      <c r="AB80" s="9"/>
      <c r="AC80" s="15"/>
      <c r="AD80" s="9"/>
      <c r="AE80" s="15"/>
      <c r="AG80" s="15"/>
      <c r="AH80" s="72"/>
      <c r="AI80" s="15"/>
      <c r="AJ80" s="9"/>
      <c r="AK80" s="15"/>
      <c r="AL80" s="9"/>
      <c r="AM80" s="15"/>
      <c r="AN80" s="9"/>
      <c r="AO80" s="15"/>
      <c r="AP80" s="9"/>
      <c r="AQ80" s="15"/>
      <c r="AR80" s="9"/>
      <c r="AS80" s="15"/>
      <c r="AT80" s="133"/>
      <c r="AU80" s="15"/>
      <c r="AV80" s="9"/>
      <c r="AW80" s="15"/>
      <c r="AX80" s="9"/>
      <c r="AY80" s="15"/>
      <c r="AZ80" s="9"/>
      <c r="BA80" s="9"/>
      <c r="BB80" s="9"/>
      <c r="BC80" s="15"/>
      <c r="BD80" s="9"/>
      <c r="BE80" s="15"/>
      <c r="BF80" s="9"/>
      <c r="BG80" s="15"/>
      <c r="BH80" s="9"/>
      <c r="BI80" s="15"/>
      <c r="BJ80" s="9"/>
      <c r="BK80" s="15"/>
      <c r="BL80" s="9"/>
      <c r="BM80" s="15"/>
      <c r="BN80" s="9"/>
      <c r="BO80" s="15"/>
      <c r="BP80" s="9"/>
      <c r="BQ80" s="15"/>
      <c r="BR80" s="9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</row>
    <row r="81" spans="1:92" x14ac:dyDescent="0.25">
      <c r="A81" s="41"/>
      <c r="B81" s="9"/>
      <c r="C81" s="15"/>
      <c r="D81" s="9"/>
      <c r="E81" s="15"/>
      <c r="F81" s="9"/>
      <c r="G81" s="15"/>
      <c r="H81" s="9"/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9"/>
      <c r="W81" s="15"/>
      <c r="X81" s="51">
        <f>SUM(X60:X80)</f>
        <v>143488.95999999999</v>
      </c>
      <c r="Y81" s="15"/>
      <c r="Z81" s="9"/>
      <c r="AA81" s="15"/>
      <c r="AB81" s="9"/>
      <c r="AC81" s="15"/>
      <c r="AD81" s="9"/>
      <c r="AE81" s="15"/>
      <c r="AF81" s="9"/>
      <c r="AG81" s="15"/>
      <c r="AH81" s="72"/>
      <c r="AI81" s="15"/>
      <c r="AJ81" s="9"/>
      <c r="AK81" s="15"/>
      <c r="AL81" s="9"/>
      <c r="AM81" s="15"/>
      <c r="AN81" s="9"/>
      <c r="AO81" s="15"/>
      <c r="AP81" s="9"/>
      <c r="AQ81" s="15"/>
      <c r="AR81" s="9"/>
      <c r="AS81" s="15"/>
      <c r="AT81" s="9"/>
      <c r="AU81" s="15"/>
      <c r="AV81" s="9"/>
      <c r="AW81" s="15"/>
      <c r="AX81" s="9"/>
      <c r="AY81" s="15"/>
      <c r="AZ81" s="9"/>
      <c r="BA81" s="15"/>
      <c r="BB81" s="9"/>
      <c r="BC81" s="15"/>
      <c r="BD81" s="9"/>
      <c r="BE81" s="15"/>
      <c r="BF81" s="9"/>
      <c r="BG81" s="15"/>
      <c r="BH81" s="9"/>
      <c r="BI81" s="15"/>
      <c r="BJ81" s="9"/>
      <c r="BK81" s="15"/>
      <c r="BL81" s="9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</row>
    <row r="82" spans="1:92" x14ac:dyDescent="0.25">
      <c r="A82" s="42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4"/>
      <c r="AI82" s="23"/>
      <c r="AJ82" s="23"/>
      <c r="AK82" s="23"/>
      <c r="AL82" s="14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</row>
    <row r="83" spans="1:92" x14ac:dyDescent="0.25">
      <c r="A83" s="41"/>
      <c r="B83" s="9"/>
      <c r="C83" s="15"/>
      <c r="D83" s="9"/>
      <c r="E83" s="15"/>
      <c r="F83" s="9"/>
      <c r="G83" s="15"/>
      <c r="H83" s="9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9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24"/>
      <c r="AM83" s="15"/>
      <c r="AN83" s="9"/>
      <c r="AO83" s="15"/>
      <c r="AP83" s="9"/>
      <c r="AQ83" s="15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</row>
    <row r="84" spans="1:92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9"/>
      <c r="Q84" s="15"/>
      <c r="R84" s="9"/>
      <c r="S84" s="15"/>
      <c r="T84" s="9"/>
      <c r="U84" s="15"/>
      <c r="V84" s="9"/>
      <c r="W84" s="15"/>
      <c r="X84" s="9">
        <v>3000</v>
      </c>
      <c r="Y84" s="15" t="s">
        <v>1865</v>
      </c>
      <c r="Z84" s="9"/>
      <c r="AA84" s="15"/>
      <c r="AD84" s="9"/>
      <c r="AE84" s="15"/>
      <c r="AF84" s="9"/>
      <c r="AG84" s="15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</row>
    <row r="85" spans="1:92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9"/>
      <c r="M85" s="15"/>
      <c r="N85" s="9"/>
      <c r="O85" s="15"/>
      <c r="P85" s="9"/>
      <c r="Q85" s="15"/>
      <c r="R85" s="9"/>
      <c r="S85" s="15"/>
      <c r="T85" s="9"/>
      <c r="U85" s="15"/>
      <c r="V85" s="9"/>
      <c r="W85" s="15"/>
      <c r="X85" s="9">
        <v>10000</v>
      </c>
      <c r="Y85" s="15" t="s">
        <v>1869</v>
      </c>
      <c r="Z85" s="9"/>
      <c r="AA85" s="15"/>
      <c r="AD85" s="9"/>
      <c r="AE85" s="15"/>
      <c r="AF85" s="9"/>
      <c r="AG85" s="15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</row>
    <row r="86" spans="1:92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>
        <v>3195.24</v>
      </c>
      <c r="Y86" s="15" t="s">
        <v>1874</v>
      </c>
      <c r="Z86" s="9"/>
      <c r="AA86" s="15"/>
      <c r="AD86" s="9"/>
      <c r="AE86" s="15"/>
      <c r="AF86" s="9"/>
      <c r="AG86" s="15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</row>
    <row r="87" spans="1:92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>
        <v>3250</v>
      </c>
      <c r="Y87" s="13" t="s">
        <v>1877</v>
      </c>
      <c r="Z87" s="11"/>
      <c r="AA87" s="13"/>
      <c r="AD87" s="11"/>
      <c r="AE87" s="13"/>
      <c r="AF87" s="11"/>
      <c r="AG87" s="13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</row>
    <row r="88" spans="1:92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80">
        <f>SUM(X84:X87)</f>
        <v>19445.239999999998</v>
      </c>
      <c r="Y88" s="13"/>
      <c r="Z88" s="13"/>
      <c r="AA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</row>
    <row r="89" spans="1:92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</row>
    <row r="90" spans="1:92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</row>
    <row r="91" spans="1:92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</row>
    <row r="92" spans="1:92" x14ac:dyDescent="0.25">
      <c r="A92" s="41" t="s">
        <v>6</v>
      </c>
      <c r="B92" s="9"/>
      <c r="C92" s="15"/>
      <c r="D92" s="9"/>
      <c r="E92" s="15"/>
      <c r="F92" s="9"/>
      <c r="G92" s="15"/>
      <c r="H92" s="9"/>
      <c r="I92" s="15"/>
      <c r="J92" s="9"/>
      <c r="K92" s="15"/>
      <c r="L92" s="9"/>
      <c r="M92" s="15"/>
      <c r="N92" s="9"/>
      <c r="O92" s="15"/>
      <c r="P92" s="9"/>
      <c r="Q92" s="15"/>
      <c r="R92" s="9"/>
      <c r="S92" s="15"/>
      <c r="T92" s="9"/>
      <c r="U92" s="15"/>
      <c r="V92" s="9"/>
      <c r="W92" s="15"/>
      <c r="X92" s="9"/>
      <c r="Y92" s="15"/>
      <c r="Z92" s="9"/>
      <c r="AA92" s="15"/>
      <c r="AB92" s="9"/>
      <c r="AC92" s="15"/>
      <c r="AD92" s="9"/>
      <c r="AE92" s="15"/>
      <c r="AF92" s="9"/>
      <c r="AG92" s="15"/>
      <c r="AH92" s="9"/>
      <c r="AI92" s="15"/>
      <c r="AJ92" s="9"/>
      <c r="AK92" s="15"/>
      <c r="AL92" s="9"/>
      <c r="AM92" s="15"/>
      <c r="AN92" s="9"/>
      <c r="AO92" s="15"/>
      <c r="AP92" s="9"/>
      <c r="AQ92" s="15"/>
      <c r="AR92" s="9"/>
      <c r="AS92" s="15"/>
      <c r="AT92" s="9"/>
      <c r="AU92" s="15"/>
      <c r="AV92" s="9"/>
      <c r="AW92" s="15"/>
      <c r="AX92" s="9"/>
      <c r="AY92" s="15"/>
      <c r="AZ92" s="9"/>
      <c r="BA92" s="15"/>
      <c r="BB92" s="9"/>
      <c r="BC92" s="15"/>
      <c r="BD92" s="9"/>
      <c r="BE92" s="15"/>
      <c r="BF92" s="9"/>
      <c r="BG92" s="15"/>
      <c r="BH92" s="9"/>
      <c r="BI92" s="15"/>
      <c r="BJ92" s="9"/>
      <c r="BK92" s="15"/>
      <c r="BL92" s="9"/>
      <c r="BM92" s="15"/>
      <c r="BN92" s="9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</row>
    <row r="93" spans="1:92" x14ac:dyDescent="0.25">
      <c r="A93" s="41"/>
      <c r="B93" s="9">
        <v>11249.36</v>
      </c>
      <c r="C93" s="15" t="s">
        <v>1369</v>
      </c>
      <c r="D93" s="121">
        <v>5422.37</v>
      </c>
      <c r="E93" s="15" t="s">
        <v>1479</v>
      </c>
      <c r="F93" s="9">
        <v>3000</v>
      </c>
      <c r="G93" s="15" t="s">
        <v>1549</v>
      </c>
      <c r="H93" s="9"/>
      <c r="I93" s="15"/>
      <c r="J93" s="9"/>
      <c r="K93" s="15"/>
      <c r="L93" s="9">
        <v>918.15</v>
      </c>
      <c r="M93" s="15" t="s">
        <v>1607</v>
      </c>
      <c r="N93" s="15">
        <v>625</v>
      </c>
      <c r="O93" s="15" t="s">
        <v>1668</v>
      </c>
      <c r="P93" s="9"/>
      <c r="Q93" s="15"/>
      <c r="R93" s="9">
        <v>2112.02</v>
      </c>
      <c r="S93" s="15" t="s">
        <v>1734</v>
      </c>
      <c r="T93" s="9">
        <v>600</v>
      </c>
      <c r="U93" s="15" t="s">
        <v>1765</v>
      </c>
      <c r="V93" s="9"/>
      <c r="W93" s="15"/>
      <c r="X93" s="9">
        <v>20000</v>
      </c>
      <c r="Y93" s="15" t="s">
        <v>1836</v>
      </c>
      <c r="Z93" s="9">
        <v>1099.01</v>
      </c>
      <c r="AA93" s="15" t="s">
        <v>1921</v>
      </c>
      <c r="AB93" s="72">
        <v>3250</v>
      </c>
      <c r="AC93" s="15" t="s">
        <v>1981</v>
      </c>
      <c r="AD93" s="9">
        <v>20000</v>
      </c>
      <c r="AE93" s="15" t="s">
        <v>2006</v>
      </c>
      <c r="AF93" s="9">
        <v>5000</v>
      </c>
      <c r="AG93" s="15" t="s">
        <v>2056</v>
      </c>
      <c r="AH93" s="9">
        <v>1044.48</v>
      </c>
      <c r="AI93" s="15" t="s">
        <v>2099</v>
      </c>
      <c r="AJ93" s="9"/>
      <c r="AK93" s="15"/>
      <c r="AL93" s="9">
        <v>5000</v>
      </c>
      <c r="AM93" s="15" t="s">
        <v>2139</v>
      </c>
      <c r="AN93" s="9">
        <v>1995</v>
      </c>
      <c r="AO93" s="15" t="s">
        <v>2196</v>
      </c>
      <c r="AP93" s="9">
        <v>5000</v>
      </c>
      <c r="AQ93" s="15" t="s">
        <v>2250</v>
      </c>
      <c r="AR93" s="9">
        <v>2312.6999999999998</v>
      </c>
      <c r="AS93" s="15" t="s">
        <v>2301</v>
      </c>
      <c r="AT93" s="9">
        <v>1995</v>
      </c>
      <c r="AU93" s="15" t="s">
        <v>2351</v>
      </c>
      <c r="AV93" s="9">
        <v>5000</v>
      </c>
      <c r="AW93" s="15" t="s">
        <v>2361</v>
      </c>
      <c r="AX93" s="10">
        <v>5000</v>
      </c>
      <c r="AY93" s="12" t="s">
        <v>2394</v>
      </c>
      <c r="AZ93" s="9">
        <v>2497</v>
      </c>
      <c r="BA93" s="15" t="s">
        <v>2455</v>
      </c>
      <c r="BB93" s="9"/>
      <c r="BC93" s="15"/>
      <c r="BD93" s="9"/>
      <c r="BE93" s="15"/>
      <c r="BF93" s="9"/>
      <c r="BG93" s="15"/>
      <c r="BH93" s="9"/>
      <c r="BI93" s="15"/>
      <c r="BJ93" s="9"/>
      <c r="BK93" s="15"/>
      <c r="BL93" s="9"/>
      <c r="BM93" s="15"/>
      <c r="BN93" s="9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</row>
    <row r="94" spans="1:92" x14ac:dyDescent="0.25">
      <c r="A94" s="41"/>
      <c r="B94" s="9">
        <v>896</v>
      </c>
      <c r="C94" s="15" t="s">
        <v>1375</v>
      </c>
      <c r="D94" s="121">
        <v>2827.18</v>
      </c>
      <c r="E94" s="15" t="s">
        <v>1480</v>
      </c>
      <c r="F94" s="9">
        <v>1399.01</v>
      </c>
      <c r="G94" s="15" t="s">
        <v>1555</v>
      </c>
      <c r="H94" s="15"/>
      <c r="I94" s="15"/>
      <c r="J94" s="9"/>
      <c r="K94" s="15"/>
      <c r="L94" s="9">
        <v>556.41</v>
      </c>
      <c r="M94" s="15" t="s">
        <v>1611</v>
      </c>
      <c r="N94" s="9"/>
      <c r="O94" s="15"/>
      <c r="P94" s="15">
        <v>17870.11</v>
      </c>
      <c r="Q94" s="15" t="s">
        <v>1718</v>
      </c>
      <c r="R94" s="51">
        <f>SUM(R93)</f>
        <v>2112.02</v>
      </c>
      <c r="S94" s="15"/>
      <c r="T94" s="15">
        <v>441.18</v>
      </c>
      <c r="U94" s="15" t="s">
        <v>1767</v>
      </c>
      <c r="V94" s="15"/>
      <c r="W94" s="15"/>
      <c r="X94" s="15">
        <v>1099</v>
      </c>
      <c r="Y94" s="15" t="s">
        <v>1841</v>
      </c>
      <c r="Z94" s="15">
        <v>1099.01</v>
      </c>
      <c r="AA94" s="15" t="s">
        <v>1922</v>
      </c>
      <c r="AB94" s="51">
        <f>SUM(AB93)</f>
        <v>3250</v>
      </c>
      <c r="AC94" s="15"/>
      <c r="AD94" s="15">
        <v>1970</v>
      </c>
      <c r="AE94" s="15" t="s">
        <v>2013</v>
      </c>
      <c r="AF94" s="9">
        <v>420</v>
      </c>
      <c r="AG94" s="15" t="s">
        <v>2062</v>
      </c>
      <c r="AH94" s="15">
        <v>9360</v>
      </c>
      <c r="AI94" s="15" t="s">
        <v>2103</v>
      </c>
      <c r="AJ94" s="15"/>
      <c r="AK94" s="15"/>
      <c r="AL94">
        <v>1969.99</v>
      </c>
      <c r="AM94" t="s">
        <v>2151</v>
      </c>
      <c r="AP94" s="9">
        <v>2882.79</v>
      </c>
      <c r="AQ94" s="15" t="s">
        <v>2273</v>
      </c>
      <c r="AR94" s="9">
        <v>4395</v>
      </c>
      <c r="AS94" s="15" t="s">
        <v>2302</v>
      </c>
      <c r="AT94" s="9">
        <v>1967.28</v>
      </c>
      <c r="AU94" s="15" t="s">
        <v>2354</v>
      </c>
      <c r="AV94" s="9">
        <v>3250</v>
      </c>
      <c r="AW94" s="15" t="s">
        <v>2367</v>
      </c>
      <c r="AX94" s="15"/>
      <c r="AY94" s="15"/>
      <c r="AZ94" s="9">
        <v>40000</v>
      </c>
      <c r="BA94" s="15" t="s">
        <v>2462</v>
      </c>
      <c r="BB94" s="9">
        <v>10000</v>
      </c>
      <c r="BC94" s="15" t="s">
        <v>2530</v>
      </c>
      <c r="BD94" s="9"/>
      <c r="BE94" s="15"/>
      <c r="BF94" s="9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</row>
    <row r="95" spans="1:92" x14ac:dyDescent="0.25">
      <c r="A95" s="41"/>
      <c r="B95" s="9">
        <v>1099.01</v>
      </c>
      <c r="C95" s="15" t="s">
        <v>1396</v>
      </c>
      <c r="D95" s="121">
        <v>1969.99</v>
      </c>
      <c r="E95" s="15" t="s">
        <v>1494</v>
      </c>
      <c r="F95" s="9">
        <v>4395</v>
      </c>
      <c r="G95" s="15" t="s">
        <v>1556</v>
      </c>
      <c r="H95" s="9"/>
      <c r="I95" s="15"/>
      <c r="J95" s="9"/>
      <c r="K95" s="15"/>
      <c r="L95" s="9">
        <v>1035.01</v>
      </c>
      <c r="M95" s="15" t="s">
        <v>1633</v>
      </c>
      <c r="N95" s="9">
        <v>1099.01</v>
      </c>
      <c r="O95" s="15" t="s">
        <v>1689</v>
      </c>
      <c r="P95" s="9"/>
      <c r="Q95" s="15"/>
      <c r="R95" s="9"/>
      <c r="S95" s="15"/>
      <c r="T95" s="9">
        <v>1099.01</v>
      </c>
      <c r="U95" s="15" t="s">
        <v>1780</v>
      </c>
      <c r="V95" s="9"/>
      <c r="W95" s="15"/>
      <c r="X95" s="9">
        <v>4395</v>
      </c>
      <c r="Y95" s="15" t="s">
        <v>1854</v>
      </c>
      <c r="Z95" s="9">
        <v>1099</v>
      </c>
      <c r="AA95" s="15" t="s">
        <v>1923</v>
      </c>
      <c r="AB95" s="9"/>
      <c r="AC95" s="15"/>
      <c r="AD95" s="9">
        <v>1099.01</v>
      </c>
      <c r="AE95" s="15" t="s">
        <v>2018</v>
      </c>
      <c r="AF95" s="9">
        <v>2350.0100000000002</v>
      </c>
      <c r="AG95" s="15" t="s">
        <v>2064</v>
      </c>
      <c r="AH95" s="9">
        <v>6229.76</v>
      </c>
      <c r="AI95" s="15" t="s">
        <v>2105</v>
      </c>
      <c r="AJ95" s="9"/>
      <c r="AK95" s="15"/>
      <c r="AL95" s="9">
        <v>1970</v>
      </c>
      <c r="AM95" s="15" t="s">
        <v>2160</v>
      </c>
      <c r="AP95" s="9">
        <v>82.93</v>
      </c>
      <c r="AQ95" s="15" t="s">
        <v>2275</v>
      </c>
      <c r="AR95" s="9">
        <v>250</v>
      </c>
      <c r="AS95" s="15" t="s">
        <v>2304</v>
      </c>
      <c r="AT95" s="123">
        <f>SUM(AT93:AT94)</f>
        <v>3962.2799999999997</v>
      </c>
      <c r="AU95" s="15"/>
      <c r="AV95" s="9">
        <v>3200</v>
      </c>
      <c r="AW95" s="15" t="s">
        <v>2369</v>
      </c>
      <c r="AX95" s="9"/>
      <c r="AY95" s="15"/>
      <c r="AZ95" s="9">
        <v>2009.51</v>
      </c>
      <c r="BA95" s="15" t="s">
        <v>2464</v>
      </c>
      <c r="BB95" s="9">
        <v>2692.94</v>
      </c>
      <c r="BC95" s="15" t="s">
        <v>2540</v>
      </c>
      <c r="BD95" s="15"/>
      <c r="BE95" s="15"/>
      <c r="BF95" s="9"/>
      <c r="BG95" s="15"/>
      <c r="BH95" s="9"/>
      <c r="BI95" s="15"/>
      <c r="BJ95" s="9"/>
      <c r="BK95" s="15"/>
      <c r="BL95" s="9"/>
      <c r="BM95" s="15"/>
      <c r="BN95" s="9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</row>
    <row r="96" spans="1:92" x14ac:dyDescent="0.25">
      <c r="A96" s="41"/>
      <c r="B96" s="9">
        <v>1970</v>
      </c>
      <c r="C96" s="15" t="s">
        <v>1397</v>
      </c>
      <c r="D96" s="95">
        <f>+D93+D94+D95</f>
        <v>10219.539999999999</v>
      </c>
      <c r="E96" s="26"/>
      <c r="F96" s="9">
        <v>2689.99</v>
      </c>
      <c r="G96" s="15" t="s">
        <v>1572</v>
      </c>
      <c r="H96" s="9"/>
      <c r="I96" s="15"/>
      <c r="J96" s="9"/>
      <c r="K96" s="15"/>
      <c r="L96" s="95">
        <f>+L93+L94+L95</f>
        <v>2509.5699999999997</v>
      </c>
      <c r="M96" s="15"/>
      <c r="N96" s="9">
        <v>2457.9899999999998</v>
      </c>
      <c r="O96" s="15" t="s">
        <v>1691</v>
      </c>
      <c r="P96" s="9">
        <v>1099</v>
      </c>
      <c r="Q96" s="15" t="s">
        <v>1892</v>
      </c>
      <c r="R96" s="72"/>
      <c r="S96" s="24"/>
      <c r="T96" s="15">
        <v>4395.01</v>
      </c>
      <c r="U96" s="9" t="s">
        <v>1784</v>
      </c>
      <c r="V96" s="9"/>
      <c r="W96" s="15"/>
      <c r="X96" s="9">
        <v>1099.01</v>
      </c>
      <c r="Y96" s="15" t="s">
        <v>1857</v>
      </c>
      <c r="Z96" s="51">
        <f>SUM(Z93:Z95)</f>
        <v>3297.02</v>
      </c>
      <c r="AA96" s="15"/>
      <c r="AB96" s="11">
        <v>494.08</v>
      </c>
      <c r="AC96" s="13" t="s">
        <v>1994</v>
      </c>
      <c r="AD96" s="9">
        <v>3250.01</v>
      </c>
      <c r="AE96" s="15" t="s">
        <v>2019</v>
      </c>
      <c r="AF96" s="9">
        <v>1994.99</v>
      </c>
      <c r="AG96" s="15" t="s">
        <v>2076</v>
      </c>
      <c r="AH96" s="15">
        <v>1970</v>
      </c>
      <c r="AI96" s="15" t="s">
        <v>2111</v>
      </c>
      <c r="AJ96" s="9"/>
      <c r="AK96" s="15"/>
      <c r="AL96" s="51">
        <f>SUM(AL93:AL95)</f>
        <v>8939.99</v>
      </c>
      <c r="AM96" s="15"/>
      <c r="AN96" s="15">
        <v>3250.01</v>
      </c>
      <c r="AO96" s="15" t="s">
        <v>2211</v>
      </c>
      <c r="AP96" s="123">
        <f>SUM(AP93:AP95)</f>
        <v>7965.72</v>
      </c>
      <c r="AR96" s="9">
        <v>2185.02</v>
      </c>
      <c r="AS96" s="15" t="s">
        <v>2313</v>
      </c>
      <c r="AT96" s="9"/>
      <c r="AU96" s="15"/>
      <c r="AV96" s="9">
        <v>1099.01</v>
      </c>
      <c r="AW96" s="15" t="s">
        <v>2382</v>
      </c>
      <c r="AX96" s="9"/>
      <c r="AY96" s="15"/>
      <c r="AZ96" s="9">
        <v>120</v>
      </c>
      <c r="BA96" s="15" t="s">
        <v>2477</v>
      </c>
      <c r="BB96" s="9">
        <v>4395.01</v>
      </c>
      <c r="BC96" s="15" t="s">
        <v>2548</v>
      </c>
      <c r="BD96" s="9"/>
      <c r="BE96" s="15"/>
      <c r="BF96" s="9"/>
      <c r="BG96" s="15"/>
      <c r="BH96" s="9"/>
      <c r="BI96" s="15"/>
      <c r="BJ96" s="9"/>
      <c r="BK96" s="15"/>
      <c r="BL96" s="9"/>
      <c r="BM96" s="15"/>
      <c r="BN96" s="9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</row>
    <row r="97" spans="1:92" x14ac:dyDescent="0.25">
      <c r="A97" s="41"/>
      <c r="B97" s="9">
        <v>1970</v>
      </c>
      <c r="C97" s="15" t="s">
        <v>1403</v>
      </c>
      <c r="D97" s="9"/>
      <c r="E97" s="15"/>
      <c r="F97" s="9">
        <v>1099.01</v>
      </c>
      <c r="G97" s="15" t="s">
        <v>1575</v>
      </c>
      <c r="H97" s="15"/>
      <c r="I97" s="15"/>
      <c r="J97" s="15"/>
      <c r="K97" s="15"/>
      <c r="L97" s="15"/>
      <c r="M97" s="15"/>
      <c r="N97" s="9">
        <v>450</v>
      </c>
      <c r="O97" s="15" t="s">
        <v>1692</v>
      </c>
      <c r="P97" s="9">
        <v>1099.01</v>
      </c>
      <c r="Q97" s="15" t="s">
        <v>1895</v>
      </c>
      <c r="R97" s="15">
        <v>10000</v>
      </c>
      <c r="S97" s="15" t="s">
        <v>1747</v>
      </c>
      <c r="T97" s="15">
        <v>3512</v>
      </c>
      <c r="U97" s="15" t="s">
        <v>1785</v>
      </c>
      <c r="V97" s="15"/>
      <c r="W97" s="15"/>
      <c r="X97" s="15">
        <v>1099.01</v>
      </c>
      <c r="Y97" s="15" t="s">
        <v>1863</v>
      </c>
      <c r="Z97" s="15"/>
      <c r="AA97" s="15"/>
      <c r="AB97" s="126">
        <f>SUM(AB96)</f>
        <v>494.08</v>
      </c>
      <c r="AC97" s="13"/>
      <c r="AD97" s="15">
        <v>1099.01</v>
      </c>
      <c r="AE97" s="15" t="s">
        <v>2023</v>
      </c>
      <c r="AF97" s="123">
        <f>SUM(AF93:AF96)</f>
        <v>9765</v>
      </c>
      <c r="AH97" s="15">
        <v>1970</v>
      </c>
      <c r="AI97" s="15" t="s">
        <v>2115</v>
      </c>
      <c r="AJ97" s="15"/>
      <c r="AK97" s="15"/>
      <c r="AL97" s="9"/>
      <c r="AM97" s="15"/>
      <c r="AN97" s="9">
        <v>1099.01</v>
      </c>
      <c r="AO97" s="15" t="s">
        <v>2234</v>
      </c>
      <c r="AP97" s="9"/>
      <c r="AQ97" s="15"/>
      <c r="AR97" s="51">
        <f>SUM(AR93:AR96)</f>
        <v>9142.7199999999993</v>
      </c>
      <c r="AS97" s="15"/>
      <c r="AT97" s="9"/>
      <c r="AU97" s="15"/>
      <c r="AV97" s="9">
        <v>464</v>
      </c>
      <c r="AW97" s="15" t="s">
        <v>2383</v>
      </c>
      <c r="AX97" s="15"/>
      <c r="AY97" s="15"/>
      <c r="AZ97" s="9">
        <v>5341</v>
      </c>
      <c r="BA97" s="15" t="s">
        <v>2483</v>
      </c>
      <c r="BB97" s="9">
        <v>505.01</v>
      </c>
      <c r="BC97" s="15" t="s">
        <v>2549</v>
      </c>
      <c r="BD97" s="15"/>
      <c r="BE97" s="15"/>
      <c r="BF97" s="9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</row>
    <row r="98" spans="1:92" x14ac:dyDescent="0.25">
      <c r="A98" s="41"/>
      <c r="B98" s="95">
        <f>SUM(B91:B97)</f>
        <v>17184.370000000003</v>
      </c>
      <c r="C98" s="15"/>
      <c r="D98" s="15"/>
      <c r="E98" s="15"/>
      <c r="F98" s="95">
        <f>+SUM(F92:F97)</f>
        <v>12583.01</v>
      </c>
      <c r="G98" s="15"/>
      <c r="H98" s="15"/>
      <c r="I98" s="15"/>
      <c r="J98" s="15"/>
      <c r="K98" s="15"/>
      <c r="L98" s="15"/>
      <c r="M98" s="15"/>
      <c r="N98" s="95">
        <f>+N95+N96+N97</f>
        <v>4007</v>
      </c>
      <c r="O98" s="15"/>
      <c r="P98" s="9">
        <v>2050</v>
      </c>
      <c r="Q98" s="15" t="s">
        <v>1902</v>
      </c>
      <c r="R98" s="15">
        <v>3250</v>
      </c>
      <c r="S98" s="15" t="s">
        <v>1756</v>
      </c>
      <c r="T98" s="15">
        <v>1519.01</v>
      </c>
      <c r="U98" s="15" t="s">
        <v>1794</v>
      </c>
      <c r="V98" s="15"/>
      <c r="W98" s="15"/>
      <c r="X98" s="51">
        <f>SUM(X93:X97)</f>
        <v>27692.019999999997</v>
      </c>
      <c r="Y98" s="15"/>
      <c r="Z98" s="15"/>
      <c r="AA98" s="15"/>
      <c r="AB98" s="15"/>
      <c r="AC98" s="15"/>
      <c r="AD98" s="15">
        <v>1099.01</v>
      </c>
      <c r="AE98" s="15" t="s">
        <v>2027</v>
      </c>
      <c r="AF98" s="15"/>
      <c r="AG98" s="15"/>
      <c r="AH98" s="9">
        <v>1099.01</v>
      </c>
      <c r="AI98" s="15" t="s">
        <v>2121</v>
      </c>
      <c r="AJ98" s="15"/>
      <c r="AK98" s="15"/>
      <c r="AL98" s="9"/>
      <c r="AM98" s="15"/>
      <c r="AN98" s="9">
        <v>347.97</v>
      </c>
      <c r="AO98" s="15" t="s">
        <v>2241</v>
      </c>
      <c r="AP98" s="9"/>
      <c r="AQ98" s="15"/>
      <c r="AR98" s="95"/>
      <c r="AS98" s="15"/>
      <c r="AT98" s="15"/>
      <c r="AU98" s="15"/>
      <c r="AV98" s="9">
        <v>4395</v>
      </c>
      <c r="AW98" s="15" t="s">
        <v>2384</v>
      </c>
      <c r="AX98" s="15"/>
      <c r="AY98" s="15"/>
      <c r="AZ98" s="9">
        <v>1970</v>
      </c>
      <c r="BA98" s="15" t="s">
        <v>2487</v>
      </c>
      <c r="BB98" s="9">
        <v>505.01</v>
      </c>
      <c r="BC98" s="15" t="s">
        <v>2559</v>
      </c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</row>
    <row r="99" spans="1:92" x14ac:dyDescent="0.25">
      <c r="A99" s="41"/>
      <c r="B99" s="9"/>
      <c r="C99" s="15"/>
      <c r="D99" s="9"/>
      <c r="E99" s="15"/>
      <c r="F99" s="95"/>
      <c r="G99" s="15"/>
      <c r="H99" s="9"/>
      <c r="I99" s="15"/>
      <c r="J99" s="9"/>
      <c r="K99" s="15"/>
      <c r="L99" s="15"/>
      <c r="M99" s="15"/>
      <c r="N99" s="9"/>
      <c r="O99" s="15"/>
      <c r="P99" s="9">
        <v>1949.99</v>
      </c>
      <c r="Q99" s="15" t="s">
        <v>1903</v>
      </c>
      <c r="R99" s="51">
        <f>SUM(R97:R98)</f>
        <v>13250</v>
      </c>
      <c r="S99" s="15"/>
      <c r="T99" s="9">
        <v>1970</v>
      </c>
      <c r="U99" s="15" t="s">
        <v>1796</v>
      </c>
      <c r="V99" s="9"/>
      <c r="W99" s="15"/>
      <c r="X99" s="15"/>
      <c r="Y99" s="15"/>
      <c r="Z99" s="9"/>
      <c r="AA99" s="15"/>
      <c r="AB99" s="9"/>
      <c r="AC99" s="15"/>
      <c r="AD99" s="51">
        <f>SUM(AD93:AD98)</f>
        <v>28517.039999999994</v>
      </c>
      <c r="AE99" s="15"/>
      <c r="AF99" s="9"/>
      <c r="AG99" s="15"/>
      <c r="AH99" s="15">
        <v>1099.01</v>
      </c>
      <c r="AI99" s="15" t="s">
        <v>2131</v>
      </c>
      <c r="AJ99" s="9"/>
      <c r="AK99" s="15"/>
      <c r="AL99" s="9">
        <v>505.01</v>
      </c>
      <c r="AM99" s="15" t="s">
        <v>2184</v>
      </c>
      <c r="AN99" s="51">
        <f>SUM(AN96:AN98)</f>
        <v>4696.9900000000007</v>
      </c>
      <c r="AO99" s="15"/>
      <c r="AP99" s="9"/>
      <c r="AQ99" s="15"/>
      <c r="AR99" s="9"/>
      <c r="AS99" s="15"/>
      <c r="AT99" s="9"/>
      <c r="AU99" s="15"/>
      <c r="AV99" s="51">
        <f>SUM(AV93:AV98)</f>
        <v>17408.010000000002</v>
      </c>
      <c r="AW99" s="15"/>
      <c r="AX99" s="9"/>
      <c r="AY99" s="15"/>
      <c r="AZ99" s="9">
        <v>1099.01</v>
      </c>
      <c r="BA99" s="15" t="s">
        <v>2489</v>
      </c>
      <c r="BB99" s="139">
        <v>5033.0200000000004</v>
      </c>
      <c r="BC99" s="24" t="s">
        <v>2536</v>
      </c>
      <c r="BD99" s="9"/>
      <c r="BE99" s="15"/>
      <c r="BF99" s="9"/>
      <c r="BG99" s="15"/>
      <c r="BH99" s="9"/>
      <c r="BI99" s="15"/>
      <c r="BJ99" s="9"/>
      <c r="BK99" s="15"/>
      <c r="BL99" s="9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</row>
    <row r="100" spans="1:92" x14ac:dyDescent="0.25">
      <c r="A100" s="41"/>
      <c r="B100" s="15"/>
      <c r="C100" s="15"/>
      <c r="D100" s="9"/>
      <c r="E100" s="15"/>
      <c r="F100" s="15"/>
      <c r="G100" s="15"/>
      <c r="H100" s="9"/>
      <c r="I100" s="15"/>
      <c r="J100" s="9"/>
      <c r="K100" s="15"/>
      <c r="L100" s="9"/>
      <c r="M100" s="15"/>
      <c r="N100" s="9"/>
      <c r="O100" s="15"/>
      <c r="P100" s="95">
        <f>+P97+P98+P99+P96</f>
        <v>6198</v>
      </c>
      <c r="Q100" s="15"/>
      <c r="R100" s="9"/>
      <c r="S100" s="15"/>
      <c r="T100" s="51">
        <f>SUM(T93:T99)</f>
        <v>13536.210000000001</v>
      </c>
      <c r="U100" s="15"/>
      <c r="V100" s="9"/>
      <c r="W100" s="15"/>
      <c r="X100" s="9"/>
      <c r="Y100" s="15"/>
      <c r="Z100" s="9"/>
      <c r="AA100" s="15"/>
      <c r="AB100" s="9"/>
      <c r="AC100" s="15"/>
      <c r="AD100" s="9"/>
      <c r="AE100" s="15"/>
      <c r="AF100" s="9"/>
      <c r="AG100" s="15"/>
      <c r="AH100" s="51">
        <f>SUM(AH93:AH99)</f>
        <v>22772.259999999995</v>
      </c>
      <c r="AI100" s="15"/>
      <c r="AJ100" s="9"/>
      <c r="AK100" s="15"/>
      <c r="AL100" s="51">
        <f>SUM(AL99)</f>
        <v>505.01</v>
      </c>
      <c r="AM100" s="15"/>
      <c r="AN100" s="9"/>
      <c r="AO100" s="15"/>
      <c r="AP100" s="9"/>
      <c r="AQ100" s="15"/>
      <c r="AR100" s="9">
        <v>7189.94</v>
      </c>
      <c r="AS100" s="15" t="s">
        <v>2400</v>
      </c>
      <c r="AT100" s="9"/>
      <c r="AU100" s="15"/>
      <c r="AV100" s="9"/>
      <c r="AW100" s="15"/>
      <c r="AX100" s="9"/>
      <c r="AY100" s="15"/>
      <c r="AZ100" s="9">
        <f>2464.29-2312.7</f>
        <v>151.59000000000015</v>
      </c>
      <c r="BA100" s="15" t="s">
        <v>2497</v>
      </c>
      <c r="BB100" s="51">
        <f>SUM(BB92:BB99)</f>
        <v>23130.989999999998</v>
      </c>
      <c r="BC100" s="15"/>
      <c r="BD100" s="9"/>
      <c r="BE100" s="15"/>
      <c r="BF100" s="15"/>
      <c r="BG100" s="15"/>
      <c r="BH100" s="9"/>
      <c r="BI100" s="15"/>
      <c r="BJ100" s="9"/>
      <c r="BK100" s="15"/>
      <c r="BL100" s="9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</row>
    <row r="101" spans="1:92" x14ac:dyDescent="0.25">
      <c r="A101" s="41"/>
      <c r="B101" s="9"/>
      <c r="C101" s="15"/>
      <c r="D101" s="9"/>
      <c r="E101" s="15"/>
      <c r="F101" s="9"/>
      <c r="G101" s="15"/>
      <c r="H101" s="15"/>
      <c r="I101" s="15"/>
      <c r="J101" s="9"/>
      <c r="K101" s="15"/>
      <c r="L101" s="9"/>
      <c r="M101" s="15"/>
      <c r="N101" s="9"/>
      <c r="O101" s="15"/>
      <c r="P101" s="9"/>
      <c r="Q101" s="15"/>
      <c r="R101" s="9"/>
      <c r="S101" s="15"/>
      <c r="T101" s="9"/>
      <c r="U101" s="15"/>
      <c r="V101" s="9"/>
      <c r="W101" s="15"/>
      <c r="X101" s="9"/>
      <c r="Y101" s="15"/>
      <c r="Z101" s="9"/>
      <c r="AA101" s="15"/>
      <c r="AB101" s="9"/>
      <c r="AC101" s="15"/>
      <c r="AD101" s="9"/>
      <c r="AE101" s="15"/>
      <c r="AF101" s="9"/>
      <c r="AG101" s="15"/>
      <c r="AH101" s="9"/>
      <c r="AI101" s="15"/>
      <c r="AJ101" s="9"/>
      <c r="AK101" s="15"/>
      <c r="AL101" s="9"/>
      <c r="AM101" s="15"/>
      <c r="AN101" s="9"/>
      <c r="AO101" s="15"/>
      <c r="AP101" s="9"/>
      <c r="AQ101" s="15"/>
      <c r="AR101" s="9">
        <v>1979.47</v>
      </c>
      <c r="AS101" s="15" t="s">
        <v>2414</v>
      </c>
      <c r="AT101" s="9"/>
      <c r="AU101" s="15"/>
      <c r="AV101" s="9"/>
      <c r="AW101" s="15"/>
      <c r="AX101" s="9"/>
      <c r="AY101" s="15"/>
      <c r="AZ101" s="51">
        <f>SUM(AZ93:AZ100)</f>
        <v>53188.11</v>
      </c>
      <c r="BA101" s="15"/>
      <c r="BB101" s="9"/>
      <c r="BC101" s="15"/>
      <c r="BD101" s="9"/>
      <c r="BE101" s="15"/>
      <c r="BF101" s="9"/>
      <c r="BG101" s="15"/>
      <c r="BH101" s="9"/>
      <c r="BI101" s="15"/>
      <c r="BJ101" s="9"/>
      <c r="BK101" s="1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</row>
    <row r="102" spans="1:92" x14ac:dyDescent="0.25">
      <c r="A102" s="41"/>
      <c r="B102" s="9"/>
      <c r="C102" s="15"/>
      <c r="D102" s="9"/>
      <c r="E102" s="15"/>
      <c r="F102" s="9"/>
      <c r="G102" s="15"/>
      <c r="H102" s="9"/>
      <c r="I102" s="15"/>
      <c r="J102" s="9"/>
      <c r="K102" s="15"/>
      <c r="L102" s="9"/>
      <c r="M102" s="15"/>
      <c r="N102" s="9"/>
      <c r="O102" s="15"/>
      <c r="P102" s="9"/>
      <c r="Q102" s="15"/>
      <c r="R102" s="9"/>
      <c r="S102" s="15"/>
      <c r="T102" s="9"/>
      <c r="U102" s="15"/>
      <c r="V102" s="9"/>
      <c r="W102" s="15"/>
      <c r="X102" s="9"/>
      <c r="Y102" s="15"/>
      <c r="Z102" s="9"/>
      <c r="AA102" s="15"/>
      <c r="AB102" s="9"/>
      <c r="AC102" s="15"/>
      <c r="AD102" s="9">
        <v>7500</v>
      </c>
      <c r="AE102" s="15" t="s">
        <v>2040</v>
      </c>
      <c r="AF102" s="9"/>
      <c r="AG102" s="15"/>
      <c r="AH102" s="9"/>
      <c r="AI102" s="15"/>
      <c r="AJ102" s="9"/>
      <c r="AK102" s="15"/>
      <c r="AL102" s="9"/>
      <c r="AM102" s="15"/>
      <c r="AN102" s="9"/>
      <c r="AO102" s="15"/>
      <c r="AP102" s="9"/>
      <c r="AQ102" s="15"/>
      <c r="AR102" s="9">
        <v>2320</v>
      </c>
      <c r="AS102" s="15" t="s">
        <v>2422</v>
      </c>
      <c r="AT102" s="9"/>
      <c r="AU102" s="15"/>
      <c r="AV102" s="9"/>
      <c r="AW102" s="15"/>
      <c r="AX102" s="9"/>
      <c r="AY102" s="15"/>
      <c r="AZ102" s="9"/>
      <c r="BA102" s="15"/>
      <c r="BB102" s="9"/>
      <c r="BC102" s="15"/>
      <c r="BD102" s="9"/>
      <c r="BE102" s="15"/>
      <c r="BF102" s="9"/>
      <c r="BG102" s="15"/>
      <c r="BH102" s="9"/>
      <c r="BI102" s="15"/>
      <c r="BJ102" s="9"/>
      <c r="BK102" s="1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</row>
    <row r="103" spans="1:92" x14ac:dyDescent="0.25">
      <c r="A103" s="41"/>
      <c r="B103" s="9"/>
      <c r="C103" s="15"/>
      <c r="D103" s="9"/>
      <c r="E103" s="15"/>
      <c r="F103" s="9"/>
      <c r="G103" s="15"/>
      <c r="H103" s="9"/>
      <c r="I103" s="15"/>
      <c r="J103" s="9"/>
      <c r="K103" s="15"/>
      <c r="L103" s="9"/>
      <c r="M103" s="15"/>
      <c r="N103" s="9"/>
      <c r="O103" s="15"/>
      <c r="P103" s="9"/>
      <c r="Q103" s="15"/>
      <c r="R103" s="9"/>
      <c r="S103" s="15"/>
      <c r="T103" s="9"/>
      <c r="U103" s="15"/>
      <c r="V103" s="9"/>
      <c r="W103" s="15"/>
      <c r="X103" s="9"/>
      <c r="Y103" s="15"/>
      <c r="Z103" s="9"/>
      <c r="AA103" s="15"/>
      <c r="AB103" s="9"/>
      <c r="AC103" s="15"/>
      <c r="AD103" s="51">
        <f>SUM(AD102)</f>
        <v>7500</v>
      </c>
      <c r="AE103" s="15"/>
      <c r="AF103" s="9"/>
      <c r="AG103" s="15"/>
      <c r="AH103" s="9"/>
      <c r="AI103" s="15"/>
      <c r="AJ103" s="9"/>
      <c r="AK103" s="15"/>
      <c r="AL103" s="9"/>
      <c r="AM103" s="15"/>
      <c r="AN103" s="9"/>
      <c r="AO103" s="15"/>
      <c r="AP103" s="9"/>
      <c r="AQ103" s="15"/>
      <c r="AR103" s="9">
        <v>1970</v>
      </c>
      <c r="AS103" s="15" t="s">
        <v>2424</v>
      </c>
      <c r="AT103" s="9"/>
      <c r="AU103" s="15"/>
      <c r="AV103" s="9"/>
      <c r="AW103" s="15"/>
      <c r="AX103" s="9"/>
      <c r="AY103" s="15"/>
      <c r="AZ103" s="9"/>
      <c r="BA103" s="15"/>
      <c r="BB103" s="9"/>
      <c r="BC103" s="15"/>
      <c r="BD103" s="9"/>
      <c r="BE103" s="15"/>
      <c r="BF103" s="9"/>
      <c r="BG103" s="15"/>
      <c r="BH103" s="9"/>
      <c r="BI103" s="15"/>
      <c r="BJ103" s="9"/>
      <c r="BK103" s="1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</row>
    <row r="104" spans="1:92" x14ac:dyDescent="0.25">
      <c r="A104" s="41"/>
      <c r="B104" s="9"/>
      <c r="C104" s="15"/>
      <c r="D104" s="9"/>
      <c r="E104" s="15"/>
      <c r="F104" s="9"/>
      <c r="G104" s="15"/>
      <c r="H104" s="9"/>
      <c r="I104" s="15"/>
      <c r="J104" s="9"/>
      <c r="K104" s="15"/>
      <c r="L104" s="9"/>
      <c r="M104" s="15"/>
      <c r="N104" s="9"/>
      <c r="O104" s="15"/>
      <c r="P104" s="9"/>
      <c r="Q104" s="15"/>
      <c r="R104" s="9"/>
      <c r="S104" s="15"/>
      <c r="T104" s="9"/>
      <c r="U104" s="15"/>
      <c r="V104" s="9"/>
      <c r="W104" s="15"/>
      <c r="X104" s="9"/>
      <c r="Y104" s="15"/>
      <c r="Z104" s="9"/>
      <c r="AA104" s="15"/>
      <c r="AB104" s="9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"/>
      <c r="AQ104" s="15"/>
      <c r="AR104" s="9">
        <v>1099.01</v>
      </c>
      <c r="AS104" s="15" t="s">
        <v>2425</v>
      </c>
      <c r="AT104" s="9"/>
      <c r="AU104" s="15"/>
      <c r="AV104" s="9"/>
      <c r="AW104" s="15"/>
      <c r="AX104" s="9"/>
      <c r="AY104" s="15"/>
      <c r="AZ104" s="9"/>
      <c r="BA104" s="15"/>
      <c r="BB104" s="9"/>
      <c r="BC104" s="15"/>
      <c r="BD104" s="9"/>
      <c r="BE104" s="15"/>
      <c r="BF104" s="9"/>
      <c r="BG104" s="15"/>
      <c r="BH104" s="9"/>
      <c r="BI104" s="15"/>
      <c r="BJ104" s="9"/>
      <c r="BK104" s="1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</row>
    <row r="105" spans="1:92" x14ac:dyDescent="0.25">
      <c r="A105" s="41"/>
      <c r="B105" s="9"/>
      <c r="C105" s="15"/>
      <c r="D105" s="9"/>
      <c r="E105" s="15"/>
      <c r="F105" s="9"/>
      <c r="G105" s="15"/>
      <c r="H105" s="9"/>
      <c r="I105" s="15"/>
      <c r="J105" s="9"/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9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9"/>
      <c r="AM105" s="15"/>
      <c r="AN105" s="9"/>
      <c r="AO105" s="15"/>
      <c r="AP105" s="15"/>
      <c r="AQ105" s="15"/>
      <c r="AR105" s="51">
        <f>SUM(AR100:AR104)</f>
        <v>14558.42</v>
      </c>
      <c r="AS105" s="15"/>
      <c r="AT105" s="9"/>
      <c r="AU105" s="15"/>
      <c r="AV105" s="9"/>
      <c r="AW105" s="15"/>
      <c r="AX105" s="9"/>
      <c r="AY105" s="15"/>
      <c r="AZ105" s="9"/>
      <c r="BA105" s="15"/>
      <c r="BB105" s="9"/>
      <c r="BC105" s="15"/>
      <c r="BD105" s="9"/>
      <c r="BE105" s="15"/>
      <c r="BF105" s="9"/>
      <c r="BG105" s="15"/>
      <c r="BH105" s="9"/>
      <c r="BI105" s="15"/>
      <c r="BJ105" s="9"/>
      <c r="BK105" s="1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</row>
    <row r="106" spans="1:92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9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9"/>
      <c r="AA106" s="15"/>
      <c r="AB106" s="9"/>
      <c r="AC106" s="15"/>
      <c r="AD106" s="9"/>
      <c r="AE106" s="15"/>
      <c r="AF106" s="9"/>
      <c r="AG106" s="15"/>
      <c r="AH106" s="9"/>
      <c r="AI106" s="15"/>
      <c r="AJ106" s="9"/>
      <c r="AK106" s="15"/>
      <c r="AL106" s="9"/>
      <c r="AM106" s="15"/>
      <c r="AN106" s="9"/>
      <c r="AO106" s="15"/>
      <c r="AP106" s="9"/>
      <c r="AQ106" s="15"/>
      <c r="AR106" s="9"/>
      <c r="AS106" s="15"/>
      <c r="AT106" s="9"/>
      <c r="AU106" s="15"/>
      <c r="AV106" s="9"/>
      <c r="AW106" s="15"/>
      <c r="AX106" s="9"/>
      <c r="AY106" s="15"/>
      <c r="AZ106" s="9"/>
      <c r="BA106" s="15"/>
      <c r="BB106" s="9"/>
      <c r="BC106" s="15"/>
      <c r="BD106" s="9"/>
      <c r="BE106" s="15"/>
      <c r="BF106" s="9"/>
      <c r="BG106" s="15"/>
      <c r="BH106" s="9"/>
      <c r="BI106" s="15"/>
      <c r="BJ106" s="9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</row>
    <row r="107" spans="1:92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9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9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9"/>
      <c r="AU107" s="15"/>
      <c r="AV107" s="9"/>
      <c r="AW107" s="15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9"/>
      <c r="BI107" s="15"/>
      <c r="BJ107" s="9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</row>
    <row r="108" spans="1:92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9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</row>
    <row r="109" spans="1:92" x14ac:dyDescent="0.25">
      <c r="A109" s="41"/>
      <c r="B109" s="9"/>
      <c r="C109" s="15"/>
      <c r="D109" s="9"/>
      <c r="E109" s="15"/>
      <c r="F109" s="9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9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</row>
    <row r="110" spans="1:92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1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</row>
    <row r="111" spans="1:92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1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11"/>
      <c r="AS111" s="13"/>
      <c r="AT111" s="11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</row>
    <row r="112" spans="1:92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1"/>
      <c r="AA112" s="13"/>
      <c r="AB112" s="11"/>
      <c r="AC112" s="13"/>
      <c r="AD112" s="11"/>
      <c r="AE112" s="1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1"/>
      <c r="AS112" s="13"/>
      <c r="AT112" s="11"/>
      <c r="AU112" s="13"/>
      <c r="AV112" s="11"/>
      <c r="AW112" s="13"/>
      <c r="AX112" s="11"/>
      <c r="AY112" s="13"/>
      <c r="AZ112" s="11"/>
      <c r="BA112" s="13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</row>
    <row r="113" spans="1:92" x14ac:dyDescent="0.25">
      <c r="A113" s="42" t="s">
        <v>7</v>
      </c>
      <c r="B113" s="14"/>
      <c r="C113" s="23"/>
      <c r="D113" s="14">
        <v>600.01</v>
      </c>
      <c r="E113" s="23" t="s">
        <v>1506</v>
      </c>
      <c r="F113" s="14"/>
      <c r="G113" s="23"/>
      <c r="H113" s="14"/>
      <c r="I113" s="23"/>
      <c r="J113" s="14"/>
      <c r="K113" s="23"/>
      <c r="L113" s="14"/>
      <c r="M113" s="23"/>
      <c r="N113" s="14">
        <v>4873.4799999999996</v>
      </c>
      <c r="O113" s="23" t="s">
        <v>1671</v>
      </c>
      <c r="P113" s="14">
        <v>1099.01</v>
      </c>
      <c r="Q113" s="23" t="s">
        <v>1713</v>
      </c>
      <c r="R113" s="14"/>
      <c r="S113" s="23"/>
      <c r="T113" s="14"/>
      <c r="U113" s="23"/>
      <c r="V113" s="14"/>
      <c r="W113" s="23"/>
      <c r="X113" s="14"/>
      <c r="Y113" s="23"/>
      <c r="Z113" s="14"/>
      <c r="AA113" s="23"/>
      <c r="AB113" s="14"/>
      <c r="AC113" s="23"/>
      <c r="AD113" s="14"/>
      <c r="AE113" s="23"/>
      <c r="AF113" s="14">
        <v>3168.99</v>
      </c>
      <c r="AG113" s="23" t="s">
        <v>2071</v>
      </c>
      <c r="AH113" s="14">
        <v>1099.01</v>
      </c>
      <c r="AI113" s="23" t="s">
        <v>2124</v>
      </c>
      <c r="AJ113" s="14"/>
      <c r="AK113" s="23"/>
      <c r="AL113" s="14">
        <v>2050</v>
      </c>
      <c r="AM113" s="23" t="s">
        <v>2173</v>
      </c>
      <c r="AN113" s="14"/>
      <c r="AO113" s="23"/>
      <c r="AP113" s="14"/>
      <c r="AQ113" s="23"/>
      <c r="AR113" s="14"/>
      <c r="AS113" s="23"/>
      <c r="AT113" s="14"/>
      <c r="AU113" s="23"/>
      <c r="AV113" s="14"/>
      <c r="AW113" s="23"/>
      <c r="AX113" s="14"/>
      <c r="AY113" s="23"/>
      <c r="AZ113" s="14">
        <v>1823.66</v>
      </c>
      <c r="BA113" s="23" t="s">
        <v>2458</v>
      </c>
      <c r="BB113" s="14"/>
      <c r="BC113" s="23"/>
      <c r="BD113" s="14"/>
      <c r="BE113" s="23"/>
      <c r="BF113" s="14"/>
      <c r="BG113" s="23"/>
      <c r="BH113" s="14"/>
      <c r="BI113" s="23"/>
      <c r="BJ113" s="14"/>
      <c r="BK113" s="23"/>
      <c r="BL113" s="14"/>
      <c r="BM113" s="23"/>
      <c r="BN113" s="14"/>
      <c r="BO113" s="23"/>
      <c r="BP113" s="14"/>
      <c r="BQ113" s="23"/>
      <c r="BR113" s="14"/>
      <c r="BS113" s="23"/>
      <c r="BT113" s="14"/>
      <c r="BU113" s="23"/>
      <c r="BV113" s="14"/>
      <c r="BW113" s="23"/>
      <c r="BX113" s="14"/>
      <c r="BY113" s="23"/>
      <c r="BZ113" s="14"/>
      <c r="CA113" s="23"/>
      <c r="CB113" s="14"/>
      <c r="CC113" s="23"/>
      <c r="CD113" s="14"/>
      <c r="CE113" s="23"/>
      <c r="CF113" s="14"/>
      <c r="CG113" s="23"/>
      <c r="CH113" s="14"/>
      <c r="CI113" s="23"/>
      <c r="CJ113" s="14"/>
      <c r="CK113" s="23"/>
      <c r="CL113" s="14"/>
      <c r="CM113" s="23"/>
      <c r="CN113" s="14"/>
    </row>
    <row r="114" spans="1:92" x14ac:dyDescent="0.25">
      <c r="A114" s="42"/>
      <c r="B114" s="14"/>
      <c r="C114" s="23"/>
      <c r="D114" s="14">
        <v>4126.93</v>
      </c>
      <c r="E114" s="23" t="s">
        <v>1511</v>
      </c>
      <c r="F114" s="14"/>
      <c r="G114" s="23"/>
      <c r="H114" s="14"/>
      <c r="I114" s="23"/>
      <c r="J114" s="14"/>
      <c r="K114" s="23"/>
      <c r="L114" s="14"/>
      <c r="M114" s="23"/>
      <c r="N114" s="14"/>
      <c r="O114" s="23"/>
      <c r="P114" s="14"/>
      <c r="Q114" s="23"/>
      <c r="R114" s="14"/>
      <c r="S114" s="23"/>
      <c r="T114" s="14"/>
      <c r="U114" s="23"/>
      <c r="V114" s="14"/>
      <c r="W114" s="23"/>
      <c r="X114" s="14"/>
      <c r="Y114" s="23"/>
      <c r="Z114" s="14"/>
      <c r="AA114" s="23"/>
      <c r="AB114" s="14"/>
      <c r="AC114" s="23"/>
      <c r="AD114" s="14"/>
      <c r="AE114" s="23"/>
      <c r="AF114" s="80">
        <f>SUM(AF113)</f>
        <v>3168.99</v>
      </c>
      <c r="AG114" s="23"/>
      <c r="AH114" s="14"/>
      <c r="AI114" s="23"/>
      <c r="AJ114" s="14"/>
      <c r="AK114" s="23"/>
      <c r="AL114" s="80">
        <f>SUM(AL113)</f>
        <v>2050</v>
      </c>
      <c r="AM114" s="23"/>
      <c r="AN114" s="14"/>
      <c r="AO114" s="23"/>
      <c r="AP114" s="14"/>
      <c r="AQ114" s="23"/>
      <c r="AR114" s="14"/>
      <c r="AS114" s="23"/>
      <c r="AT114" s="14"/>
      <c r="AU114" s="23"/>
      <c r="AV114" s="14"/>
      <c r="AW114" s="23"/>
      <c r="AX114" s="14"/>
      <c r="AY114" s="23"/>
      <c r="AZ114" s="14"/>
      <c r="BA114" s="23"/>
      <c r="BB114" s="14"/>
      <c r="BC114" s="23"/>
      <c r="BD114" s="14"/>
      <c r="BE114" s="23"/>
      <c r="BF114" s="14"/>
      <c r="BG114" s="23"/>
      <c r="BH114" s="14"/>
      <c r="BI114" s="23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</row>
    <row r="115" spans="1:92" x14ac:dyDescent="0.25">
      <c r="A115" s="42"/>
      <c r="B115" s="23"/>
      <c r="C115" s="23"/>
      <c r="D115" s="111">
        <f>+D114+D113</f>
        <v>4726.9400000000005</v>
      </c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92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14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</row>
    <row r="116" spans="1:92" x14ac:dyDescent="0.25">
      <c r="A116" s="43"/>
      <c r="B116" s="11"/>
      <c r="C116" s="13"/>
      <c r="D116" s="11"/>
      <c r="E116" s="13"/>
      <c r="F116" s="11"/>
      <c r="G116" s="13"/>
      <c r="H116" s="11"/>
      <c r="I116" s="13"/>
      <c r="J116" s="11"/>
      <c r="K116" s="13"/>
      <c r="L116" s="11"/>
      <c r="M116" s="13"/>
      <c r="N116" s="11"/>
      <c r="O116" s="13"/>
      <c r="P116" s="23"/>
      <c r="Q116" s="13"/>
      <c r="R116" s="23"/>
      <c r="S116" s="13"/>
      <c r="T116" s="11"/>
      <c r="U116" s="13"/>
      <c r="V116" s="11"/>
      <c r="W116" s="13"/>
      <c r="X116" s="11"/>
      <c r="Y116" s="13"/>
      <c r="Z116" s="11"/>
      <c r="AA116" s="13"/>
      <c r="AB116" s="11"/>
      <c r="AC116" s="13"/>
      <c r="AD116" s="14"/>
      <c r="AE116" s="13"/>
      <c r="AF116" s="11"/>
      <c r="AG116" s="13"/>
      <c r="AH116" s="11"/>
      <c r="AI116" s="13"/>
      <c r="AJ116" s="11"/>
      <c r="AK116" s="13"/>
      <c r="AL116" s="11"/>
      <c r="AM116" s="13"/>
      <c r="AN116" s="11"/>
      <c r="AO116" s="13"/>
      <c r="AP116" s="11"/>
      <c r="AQ116" s="13"/>
      <c r="AR116" s="11"/>
      <c r="AS116" s="13"/>
      <c r="AT116" s="11"/>
      <c r="AU116" s="13"/>
      <c r="AV116" s="23"/>
      <c r="AW116" s="13"/>
      <c r="AX116" s="11"/>
      <c r="AY116" s="13"/>
      <c r="AZ116" s="11"/>
      <c r="BA116" s="13"/>
      <c r="BB116" s="11"/>
      <c r="BC116" s="13"/>
      <c r="BD116" s="11"/>
      <c r="BE116" s="13"/>
      <c r="BF116" s="11"/>
      <c r="BG116" s="13"/>
      <c r="BH116" s="11"/>
      <c r="BI116" s="13"/>
      <c r="BJ116" s="11"/>
      <c r="BK116" s="13"/>
      <c r="BL116" s="11"/>
      <c r="BM116" s="13"/>
      <c r="BN116" s="11"/>
      <c r="BO116" s="13"/>
      <c r="BP116" s="11"/>
      <c r="BQ116" s="13"/>
      <c r="BR116" s="11"/>
      <c r="BS116" s="13"/>
      <c r="BT116" s="11"/>
      <c r="BU116" s="13"/>
      <c r="BV116" s="11"/>
      <c r="BW116" s="13"/>
      <c r="BX116" s="11"/>
      <c r="BY116" s="13"/>
      <c r="BZ116" s="11"/>
      <c r="CA116" s="13"/>
      <c r="CB116" s="11"/>
      <c r="CC116" s="13"/>
      <c r="CD116" s="11"/>
      <c r="CE116" s="13"/>
      <c r="CF116" s="11"/>
      <c r="CG116" s="13"/>
      <c r="CH116" s="11"/>
      <c r="CI116" s="13"/>
      <c r="CJ116" s="11"/>
      <c r="CK116" s="13"/>
      <c r="CL116" s="11"/>
      <c r="CM116" s="13"/>
      <c r="CN116" s="11"/>
    </row>
    <row r="117" spans="1:92" x14ac:dyDescent="0.25">
      <c r="A117" s="43"/>
      <c r="B117" s="11"/>
      <c r="C117" s="13"/>
      <c r="D117" s="11"/>
      <c r="E117" s="13"/>
      <c r="F117" s="11"/>
      <c r="G117" s="13"/>
      <c r="H117" s="11"/>
      <c r="I117" s="13"/>
      <c r="J117" s="11"/>
      <c r="K117" s="13"/>
      <c r="L117" s="11"/>
      <c r="M117" s="13"/>
      <c r="N117" s="11"/>
      <c r="O117" s="13"/>
      <c r="P117" s="11"/>
      <c r="Q117" s="13"/>
      <c r="R117" s="11"/>
      <c r="S117" s="13"/>
      <c r="T117" s="11"/>
      <c r="U117" s="13"/>
      <c r="V117" s="11"/>
      <c r="W117" s="13"/>
      <c r="X117" s="11"/>
      <c r="Y117" s="13"/>
      <c r="Z117" s="11"/>
      <c r="AA117" s="13"/>
      <c r="AB117" s="11"/>
      <c r="AC117" s="13"/>
      <c r="AD117" s="11"/>
      <c r="AE117" s="13"/>
      <c r="AF117" s="11"/>
      <c r="AG117" s="13"/>
      <c r="AH117" s="11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"/>
      <c r="AS117" s="13"/>
      <c r="AT117" s="11"/>
      <c r="AU117" s="13"/>
      <c r="AV117" s="11"/>
      <c r="AW117" s="13"/>
      <c r="AX117" s="11"/>
      <c r="AY117" s="13"/>
      <c r="AZ117" s="11"/>
      <c r="BA117" s="13"/>
      <c r="BB117" s="11"/>
      <c r="BC117" s="13"/>
      <c r="BD117" s="11"/>
      <c r="BE117" s="13"/>
      <c r="BF117" s="11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</row>
    <row r="118" spans="1:92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11"/>
      <c r="S118" s="13"/>
      <c r="T118" s="11"/>
      <c r="U118" s="13"/>
      <c r="V118" s="11"/>
      <c r="W118" s="13"/>
      <c r="X118" s="11"/>
      <c r="Y118" s="13"/>
      <c r="Z118" s="11"/>
      <c r="AA118" s="13"/>
      <c r="AB118" s="11"/>
      <c r="AC118" s="13"/>
      <c r="AD118" s="11"/>
      <c r="AE118" s="13"/>
      <c r="AF118" s="11"/>
      <c r="AG118" s="13"/>
      <c r="AH118" s="11"/>
      <c r="AI118" s="13"/>
      <c r="AJ118" s="11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11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</row>
    <row r="119" spans="1:92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1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</row>
    <row r="120" spans="1:92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1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</row>
    <row r="121" spans="1:92" x14ac:dyDescent="0.25">
      <c r="A121" s="42" t="s">
        <v>5</v>
      </c>
      <c r="B121" s="14">
        <f>+B71</f>
        <v>20507.400000000001</v>
      </c>
      <c r="C121" s="23"/>
      <c r="D121" s="14">
        <f>+D69</f>
        <v>30337.53</v>
      </c>
      <c r="E121" s="23"/>
      <c r="F121" s="14">
        <f>+F80</f>
        <v>53360.256000000001</v>
      </c>
      <c r="G121" s="23"/>
      <c r="H121" s="14">
        <f>+H60</f>
        <v>20000</v>
      </c>
      <c r="I121" s="23"/>
      <c r="J121" s="14">
        <f>+J62</f>
        <v>15000</v>
      </c>
      <c r="K121" s="23"/>
      <c r="L121" s="14">
        <f>+L71</f>
        <v>44627.700000000004</v>
      </c>
      <c r="M121" s="23"/>
      <c r="N121" s="14">
        <f>+N71+N78</f>
        <v>94949.1</v>
      </c>
      <c r="O121" s="23"/>
      <c r="P121" s="14">
        <f>+P68</f>
        <v>31986.479999999996</v>
      </c>
      <c r="Q121" s="23"/>
      <c r="R121" s="14">
        <f>+R66+R74</f>
        <v>76254.460000000006</v>
      </c>
      <c r="S121" s="23"/>
      <c r="T121" s="14">
        <f>+T70</f>
        <v>47017.47</v>
      </c>
      <c r="U121" s="23"/>
      <c r="V121" s="14"/>
      <c r="W121" s="23"/>
      <c r="X121" s="14"/>
      <c r="Y121" s="23"/>
      <c r="Z121" s="14"/>
      <c r="AA121" s="23"/>
      <c r="AB121" s="14"/>
      <c r="AC121" s="23"/>
      <c r="AD121" s="14"/>
      <c r="AE121" s="23"/>
      <c r="AF121" s="14"/>
      <c r="AG121" s="23"/>
      <c r="AH121" s="14"/>
      <c r="AI121" s="23"/>
      <c r="AJ121" s="14"/>
      <c r="AK121" s="23"/>
      <c r="AL121" s="14"/>
      <c r="AM121" s="23"/>
      <c r="AN121" s="14"/>
      <c r="AO121" s="23"/>
      <c r="AP121" s="14"/>
      <c r="AQ121" s="23"/>
      <c r="AR121" s="14"/>
      <c r="AS121" s="23"/>
      <c r="AT121" s="14">
        <f>+AT78</f>
        <v>64707.57</v>
      </c>
      <c r="AU121" s="23"/>
      <c r="AV121" s="14">
        <f>+AV70</f>
        <v>36782.43</v>
      </c>
      <c r="AW121" s="23"/>
      <c r="AX121" s="14">
        <f>+AX62</f>
        <v>10000</v>
      </c>
      <c r="AY121" s="23"/>
      <c r="AZ121" s="14">
        <f>+AZ77</f>
        <v>5000</v>
      </c>
      <c r="BA121" s="23"/>
      <c r="BB121" s="14">
        <f>+BB71</f>
        <v>7000</v>
      </c>
      <c r="BC121" s="23"/>
      <c r="BD121" s="14"/>
      <c r="BE121" s="23"/>
      <c r="BF121" s="14"/>
      <c r="BG121" s="23"/>
      <c r="BH121" s="14"/>
      <c r="BI121" s="23"/>
      <c r="BJ121" s="14"/>
      <c r="BK121" s="23"/>
      <c r="BL121" s="14"/>
      <c r="BM121" s="23"/>
      <c r="BN121" s="14"/>
      <c r="BO121" s="23"/>
      <c r="BP121" s="14"/>
      <c r="BQ121" s="23"/>
      <c r="BR121" s="14"/>
      <c r="BS121" s="23"/>
      <c r="BT121" s="14"/>
      <c r="BU121" s="23"/>
      <c r="BV121" s="14"/>
      <c r="BW121" s="23"/>
      <c r="BX121" s="14"/>
      <c r="BY121" s="23"/>
      <c r="BZ121" s="14"/>
      <c r="CA121" s="23"/>
      <c r="CB121" s="14"/>
      <c r="CC121" s="23"/>
      <c r="CD121" s="14"/>
      <c r="CE121" s="23"/>
      <c r="CF121" s="14"/>
      <c r="CG121" s="23"/>
      <c r="CH121" s="14"/>
      <c r="CI121" s="23"/>
      <c r="CJ121" s="14"/>
      <c r="CK121" s="23"/>
      <c r="CL121" s="14"/>
      <c r="CM121" s="23"/>
      <c r="CN121" s="14"/>
    </row>
    <row r="122" spans="1:92" x14ac:dyDescent="0.25">
      <c r="A122" s="42" t="s">
        <v>8</v>
      </c>
      <c r="B122" s="14">
        <f>+B98</f>
        <v>17184.370000000003</v>
      </c>
      <c r="C122" s="23"/>
      <c r="D122" s="14">
        <f>+D96</f>
        <v>10219.539999999999</v>
      </c>
      <c r="E122" s="23"/>
      <c r="F122" s="14">
        <f>+F98</f>
        <v>12583.01</v>
      </c>
      <c r="G122" s="23"/>
      <c r="H122" s="14"/>
      <c r="I122" s="23"/>
      <c r="J122" s="14"/>
      <c r="K122" s="23"/>
      <c r="L122" s="14">
        <f>+L96</f>
        <v>2509.5699999999997</v>
      </c>
      <c r="M122" s="23"/>
      <c r="N122" s="14">
        <f>+N93+N98</f>
        <v>4632</v>
      </c>
      <c r="O122" s="23"/>
      <c r="P122" s="14">
        <f>+P94+P100</f>
        <v>24068.11</v>
      </c>
      <c r="Q122" s="23"/>
      <c r="R122" s="14">
        <f>+R94+R99</f>
        <v>15362.02</v>
      </c>
      <c r="S122" s="23"/>
      <c r="T122" s="14">
        <f>+T100</f>
        <v>13536.210000000001</v>
      </c>
      <c r="U122" s="23"/>
      <c r="V122" s="14"/>
      <c r="W122" s="23"/>
      <c r="X122" s="14"/>
      <c r="Y122" s="23"/>
      <c r="Z122" s="14"/>
      <c r="AA122" s="23"/>
      <c r="AB122" s="14"/>
      <c r="AC122" s="23"/>
      <c r="AD122" s="14"/>
      <c r="AE122" s="23"/>
      <c r="AF122" s="14"/>
      <c r="AG122" s="23"/>
      <c r="AH122" s="14"/>
      <c r="AI122" s="23"/>
      <c r="AJ122" s="14"/>
      <c r="AK122" s="23"/>
      <c r="AL122" s="14"/>
      <c r="AM122" s="23"/>
      <c r="AN122" s="14"/>
      <c r="AO122" s="23"/>
      <c r="AP122" s="14"/>
      <c r="AQ122" s="23"/>
      <c r="AR122" s="14"/>
      <c r="AS122" s="23"/>
      <c r="AT122" s="14">
        <f>+AT95</f>
        <v>3962.2799999999997</v>
      </c>
      <c r="AU122" s="23"/>
      <c r="AV122" s="14">
        <f>+AV99</f>
        <v>17408.010000000002</v>
      </c>
      <c r="AW122" s="23"/>
      <c r="AX122" s="14">
        <f>+AX93</f>
        <v>5000</v>
      </c>
      <c r="AY122" s="23"/>
      <c r="AZ122" s="14">
        <f>+AZ101</f>
        <v>53188.11</v>
      </c>
      <c r="BA122" s="23"/>
      <c r="BB122" s="14">
        <f>+BB100</f>
        <v>23130.989999999998</v>
      </c>
      <c r="BC122" s="23"/>
      <c r="BD122" s="14"/>
      <c r="BE122" s="23"/>
      <c r="BF122" s="14"/>
      <c r="BG122" s="23"/>
      <c r="BH122" s="14"/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</row>
    <row r="123" spans="1:92" x14ac:dyDescent="0.25">
      <c r="A123" s="42" t="s">
        <v>7</v>
      </c>
      <c r="B123" s="14"/>
      <c r="C123" s="23"/>
      <c r="D123" s="14">
        <f>+D115</f>
        <v>4726.9400000000005</v>
      </c>
      <c r="E123" s="23"/>
      <c r="F123" s="14">
        <f>+F115</f>
        <v>0</v>
      </c>
      <c r="G123" s="23"/>
      <c r="H123" s="14"/>
      <c r="I123" s="23"/>
      <c r="J123" s="14"/>
      <c r="K123" s="23"/>
      <c r="L123" s="14"/>
      <c r="M123" s="23"/>
      <c r="N123" s="14">
        <f>+N113</f>
        <v>4873.4799999999996</v>
      </c>
      <c r="O123" s="23"/>
      <c r="P123" s="14">
        <f>+P113</f>
        <v>1099.01</v>
      </c>
      <c r="Q123" s="23"/>
      <c r="R123" s="14"/>
      <c r="S123" s="23"/>
      <c r="T123" s="14"/>
      <c r="U123" s="23"/>
      <c r="V123" s="14"/>
      <c r="W123" s="23"/>
      <c r="X123" s="14"/>
      <c r="Y123" s="23"/>
      <c r="Z123" s="14"/>
      <c r="AA123" s="23"/>
      <c r="AB123" s="14"/>
      <c r="AC123" s="23"/>
      <c r="AD123" s="14"/>
      <c r="AE123" s="23"/>
      <c r="AF123" s="14"/>
      <c r="AG123" s="23"/>
      <c r="AH123" s="14"/>
      <c r="AI123" s="23"/>
      <c r="AJ123" s="14"/>
      <c r="AK123" s="23"/>
      <c r="AL123" s="14"/>
      <c r="AM123" s="23"/>
      <c r="AN123" s="14"/>
      <c r="AO123" s="23"/>
      <c r="AP123" s="14"/>
      <c r="AQ123" s="23"/>
      <c r="AR123" s="14"/>
      <c r="AS123" s="23"/>
      <c r="AT123" s="14"/>
      <c r="AU123" s="23"/>
      <c r="AV123" s="14"/>
      <c r="AW123" s="23"/>
      <c r="AX123" s="14"/>
      <c r="AY123" s="23"/>
      <c r="AZ123" s="14">
        <f>+AZ113</f>
        <v>1823.66</v>
      </c>
      <c r="BA123" s="23"/>
      <c r="BB123" s="14"/>
      <c r="BC123" s="23"/>
      <c r="BD123" s="14"/>
      <c r="BE123" s="23"/>
      <c r="BF123" s="14"/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</row>
    <row r="124" spans="1:92" x14ac:dyDescent="0.25">
      <c r="A124" s="44" t="s">
        <v>9</v>
      </c>
      <c r="B124" s="27">
        <f>SUM(B121:B122)</f>
        <v>37691.770000000004</v>
      </c>
      <c r="C124" s="27"/>
      <c r="D124" s="27">
        <f>SUM(D121:D122)</f>
        <v>40557.07</v>
      </c>
      <c r="E124" s="27"/>
      <c r="F124" s="27">
        <f>SUM(F121:F122)</f>
        <v>65943.266000000003</v>
      </c>
      <c r="G124" s="27"/>
      <c r="H124" s="27">
        <f>SUM(H121:H122)</f>
        <v>20000</v>
      </c>
      <c r="I124" s="27"/>
      <c r="J124" s="27">
        <f>SUM(J121:J122)</f>
        <v>15000</v>
      </c>
      <c r="K124" s="27"/>
      <c r="L124" s="27">
        <f>SUM(L121:L122)</f>
        <v>47137.270000000004</v>
      </c>
      <c r="M124" s="27"/>
      <c r="N124" s="27">
        <f>SUM(N121:N123)</f>
        <v>104454.58</v>
      </c>
      <c r="O124" s="27"/>
      <c r="P124" s="27">
        <f>SUM(P121:P123)</f>
        <v>57153.599999999999</v>
      </c>
      <c r="Q124" s="27"/>
      <c r="R124" s="27">
        <f>SUM(R121:R123)</f>
        <v>91616.48000000001</v>
      </c>
      <c r="S124" s="27"/>
      <c r="T124" s="27">
        <f>SUM(T121:T123)</f>
        <v>60553.68</v>
      </c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130">
        <f>+AT120+AT121+AT122</f>
        <v>68669.850000000006</v>
      </c>
      <c r="AU124" s="27"/>
      <c r="AV124" s="130">
        <f>+AV120+AV121+AV122</f>
        <v>54190.44</v>
      </c>
      <c r="AW124" s="27"/>
      <c r="AX124" s="130">
        <f>+AX120+AX121+AX122</f>
        <v>15000</v>
      </c>
      <c r="AY124" s="27"/>
      <c r="AZ124" s="130">
        <f>+AZ120+AZ121+AZ122</f>
        <v>58188.11</v>
      </c>
      <c r="BA124" s="27"/>
      <c r="BB124" s="130">
        <f>+BB120+BB121+BB122</f>
        <v>30130.989999999998</v>
      </c>
      <c r="BC124" s="27"/>
      <c r="BD124" s="144"/>
      <c r="BE124" s="144"/>
      <c r="BF124" s="144"/>
      <c r="BG124" s="144"/>
      <c r="BH124" s="144"/>
      <c r="BI124" s="144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</row>
    <row r="125" spans="1:92" x14ac:dyDescent="0.25">
      <c r="A125" s="44"/>
      <c r="B125" s="27">
        <f>20507.4+17184.37</f>
        <v>37691.770000000004</v>
      </c>
      <c r="C125" s="27"/>
      <c r="D125" s="27">
        <f>30337.53+10219.54</f>
        <v>40557.07</v>
      </c>
      <c r="E125" s="27"/>
      <c r="F125" s="27">
        <f>53360.25+12583.01</f>
        <v>65943.259999999995</v>
      </c>
      <c r="G125" s="27"/>
      <c r="H125" s="27">
        <v>20000</v>
      </c>
      <c r="I125" s="27"/>
      <c r="J125" s="27">
        <v>15000</v>
      </c>
      <c r="K125" s="27"/>
      <c r="L125" s="27">
        <f>44627.7+2509.57</f>
        <v>47137.27</v>
      </c>
      <c r="M125" s="27"/>
      <c r="N125" s="27">
        <f>70922.78+625+4873.48+24026.29+4007</f>
        <v>104454.54999999999</v>
      </c>
      <c r="O125" s="27"/>
      <c r="P125" s="27">
        <f>31986.48+17870.11+1099.01+6198</f>
        <v>57153.599999999999</v>
      </c>
      <c r="Q125" s="27"/>
      <c r="R125" s="27">
        <f>48782.02+27472.44+2112.02+13250</f>
        <v>91616.48</v>
      </c>
      <c r="S125" s="27"/>
      <c r="T125" s="27">
        <f>47017.48+13536.21</f>
        <v>60553.69</v>
      </c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>
        <f>64707.57+3962.28</f>
        <v>68669.850000000006</v>
      </c>
      <c r="AU125" s="27"/>
      <c r="AV125" s="27">
        <f>36782.43+17408.01</f>
        <v>54190.44</v>
      </c>
      <c r="AW125" s="27"/>
      <c r="AX125" s="27">
        <v>15000</v>
      </c>
      <c r="AY125" s="27"/>
      <c r="AZ125" s="27">
        <f>91848.88+5000+25646.66+53188.11+1823.66</f>
        <v>177507.31000000003</v>
      </c>
      <c r="BA125" s="27"/>
      <c r="BB125" s="27">
        <f>23131.05+55102.54</f>
        <v>78233.59</v>
      </c>
      <c r="BC125" s="27"/>
      <c r="BD125" s="144"/>
      <c r="BE125" s="144"/>
      <c r="BF125" s="144"/>
      <c r="BG125" s="144"/>
      <c r="BH125" s="144"/>
      <c r="BI125" s="144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</row>
    <row r="126" spans="1:92" x14ac:dyDescent="0.25">
      <c r="A126" s="44" t="s">
        <v>3</v>
      </c>
      <c r="B126" s="28">
        <f>B124-B125</f>
        <v>0</v>
      </c>
      <c r="C126" s="28"/>
      <c r="D126" s="28">
        <f>D124-D125</f>
        <v>0</v>
      </c>
      <c r="E126" s="28"/>
      <c r="F126" s="28">
        <f>F124-F125</f>
        <v>6.0000000084983185E-3</v>
      </c>
      <c r="G126" s="28"/>
      <c r="H126" s="28">
        <f>H124-H125</f>
        <v>0</v>
      </c>
      <c r="I126" s="28"/>
      <c r="J126" s="28">
        <f>J124-J125</f>
        <v>0</v>
      </c>
      <c r="K126" s="28"/>
      <c r="L126" s="28">
        <f>L124-L125</f>
        <v>0</v>
      </c>
      <c r="M126" s="28"/>
      <c r="N126" s="28">
        <f>N124-N125</f>
        <v>3.0000000013387762E-2</v>
      </c>
      <c r="O126" s="28"/>
      <c r="P126" s="28">
        <f>P124-P125</f>
        <v>0</v>
      </c>
      <c r="Q126" s="28"/>
      <c r="R126" s="28">
        <f>+R124-R125</f>
        <v>0</v>
      </c>
      <c r="S126" s="28"/>
      <c r="T126" s="28">
        <f>+T124-T125</f>
        <v>-1.0000000002037268E-2</v>
      </c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>
        <f>+AT124-AT125</f>
        <v>0</v>
      </c>
      <c r="AU126" s="28"/>
      <c r="AV126" s="28">
        <f>+AV124-AV125</f>
        <v>0</v>
      </c>
      <c r="AW126" s="28"/>
      <c r="AX126" s="28">
        <f>+AX124-AX125</f>
        <v>0</v>
      </c>
      <c r="AY126" s="28"/>
      <c r="AZ126" s="28">
        <f>+AZ124-AZ125</f>
        <v>-119319.20000000003</v>
      </c>
      <c r="BA126" s="28"/>
      <c r="BB126" s="28">
        <f>+BB124-BB125</f>
        <v>-48102.6</v>
      </c>
      <c r="BC126" s="28"/>
      <c r="BD126" s="145"/>
      <c r="BE126" s="145"/>
      <c r="BF126" s="145"/>
      <c r="BG126" s="145"/>
      <c r="BH126" s="145"/>
      <c r="BI126" s="145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</row>
    <row r="127" spans="1:92" x14ac:dyDescent="0.25">
      <c r="A127" s="48"/>
      <c r="B127" s="6"/>
      <c r="C127" s="56"/>
      <c r="D127" s="6"/>
      <c r="E127" s="56"/>
      <c r="F127" s="6"/>
      <c r="G127" s="56"/>
      <c r="H127" s="6"/>
      <c r="I127" s="56"/>
      <c r="J127" s="6"/>
      <c r="K127" s="56"/>
      <c r="L127" s="6"/>
      <c r="M127" s="56"/>
      <c r="N127" s="6"/>
      <c r="O127" s="56"/>
      <c r="P127" s="6"/>
      <c r="Q127" s="56"/>
      <c r="R127" s="6"/>
      <c r="S127" s="56"/>
      <c r="T127" s="6"/>
      <c r="U127" s="56"/>
      <c r="V127" s="6"/>
      <c r="W127" s="56"/>
      <c r="X127" s="6"/>
      <c r="Y127" s="56"/>
      <c r="Z127" s="6"/>
      <c r="AA127" s="56"/>
      <c r="AB127" s="6"/>
      <c r="AC127" s="56"/>
      <c r="AD127" s="6"/>
      <c r="AE127" s="56"/>
      <c r="AF127" s="6"/>
      <c r="AG127" s="56"/>
      <c r="AH127" s="6"/>
      <c r="AI127" s="56"/>
      <c r="AJ127" s="6"/>
      <c r="AK127" s="56"/>
      <c r="AL127" s="6"/>
      <c r="AM127" s="56"/>
      <c r="AN127" s="6"/>
      <c r="AO127" s="56"/>
      <c r="AP127" s="6"/>
      <c r="AQ127" s="56"/>
      <c r="AR127" s="6"/>
      <c r="AS127" s="56"/>
      <c r="AT127" s="6"/>
      <c r="AU127" s="56"/>
      <c r="AV127" s="6"/>
      <c r="AW127" s="56"/>
      <c r="AX127" s="6"/>
      <c r="AY127" s="56"/>
      <c r="AZ127" s="6"/>
      <c r="BA127" s="56"/>
      <c r="BB127" s="6"/>
      <c r="BC127" s="56"/>
      <c r="BD127" s="18"/>
      <c r="BE127" s="59"/>
      <c r="BF127" s="18"/>
      <c r="BG127" s="59"/>
      <c r="BH127" s="18"/>
      <c r="BI127" s="59"/>
      <c r="BJ127" s="6"/>
      <c r="BK127" s="56"/>
      <c r="BL127" s="6"/>
      <c r="BM127" s="56"/>
      <c r="BN127" s="6"/>
      <c r="BO127" s="56"/>
      <c r="BP127" s="6"/>
      <c r="BQ127" s="56"/>
      <c r="BR127" s="6"/>
      <c r="BS127" s="56"/>
      <c r="BT127" s="6"/>
      <c r="BU127" s="56"/>
      <c r="BV127" s="6"/>
      <c r="BW127" s="56"/>
      <c r="BX127" s="6"/>
      <c r="BY127" s="56"/>
      <c r="BZ127" s="6"/>
      <c r="CA127" s="56"/>
      <c r="CB127" s="6"/>
      <c r="CC127" s="56"/>
      <c r="CD127" s="6"/>
      <c r="CE127" s="56"/>
      <c r="CF127" s="6"/>
      <c r="CG127" s="56"/>
      <c r="CH127" s="6"/>
      <c r="CI127" s="56"/>
      <c r="CJ127" s="6"/>
      <c r="CK127" s="56"/>
      <c r="CL127" s="6"/>
      <c r="CM127" s="56"/>
      <c r="CN127" s="6"/>
    </row>
    <row r="128" spans="1:92" x14ac:dyDescent="0.25">
      <c r="A128" s="48"/>
      <c r="B128" s="6"/>
      <c r="C128" s="56"/>
      <c r="D128" s="6"/>
      <c r="E128" s="56"/>
      <c r="F128" s="6"/>
      <c r="G128" s="56"/>
      <c r="H128" s="6"/>
      <c r="I128" s="56"/>
      <c r="J128" s="6"/>
      <c r="K128" s="56"/>
      <c r="L128" s="6"/>
      <c r="M128" s="56"/>
      <c r="N128" s="6"/>
      <c r="O128" s="56"/>
      <c r="P128" s="6"/>
      <c r="Q128" s="56"/>
      <c r="R128" s="6"/>
      <c r="S128" s="56"/>
      <c r="T128" s="6"/>
      <c r="U128" s="56"/>
      <c r="V128" s="6"/>
      <c r="W128" s="56"/>
      <c r="X128" s="6"/>
      <c r="Y128" s="56"/>
      <c r="Z128" s="6"/>
      <c r="AA128" s="56"/>
      <c r="AB128" s="6"/>
      <c r="AC128" s="56"/>
      <c r="AD128" s="6"/>
      <c r="AE128" s="56"/>
      <c r="AF128" s="6"/>
      <c r="AG128" s="56"/>
      <c r="AH128" s="6"/>
      <c r="AI128" s="56"/>
      <c r="AJ128" s="6"/>
      <c r="AK128" s="56"/>
      <c r="AL128" s="6"/>
      <c r="AM128" s="56"/>
      <c r="AN128" s="6"/>
      <c r="AO128" s="56"/>
      <c r="AP128" s="6"/>
      <c r="AQ128" s="56"/>
      <c r="AR128" s="6"/>
      <c r="AS128" s="56"/>
      <c r="AT128" s="6"/>
      <c r="AU128" s="56"/>
      <c r="AV128" s="6"/>
      <c r="AW128" s="56"/>
      <c r="AX128" s="6"/>
      <c r="AY128" s="56"/>
      <c r="AZ128" s="6"/>
      <c r="BA128" s="56"/>
      <c r="BB128" s="6"/>
      <c r="BC128" s="56"/>
      <c r="BD128" s="18"/>
      <c r="BE128" s="59"/>
      <c r="BF128" s="18"/>
      <c r="BG128" s="59"/>
      <c r="BH128" s="18"/>
      <c r="BI128" s="59"/>
      <c r="BJ128" s="6"/>
      <c r="BK128" s="56"/>
      <c r="BL128" s="6"/>
      <c r="BM128" s="56"/>
      <c r="BN128" s="6"/>
      <c r="BO128" s="56"/>
      <c r="BP128" s="6"/>
      <c r="BQ128" s="56"/>
      <c r="BR128" s="6"/>
      <c r="BS128" s="56"/>
      <c r="BT128" s="6"/>
      <c r="BU128" s="56"/>
      <c r="BV128" s="6"/>
      <c r="BW128" s="56"/>
      <c r="BX128" s="6"/>
      <c r="BY128" s="56"/>
      <c r="BZ128" s="6"/>
      <c r="CA128" s="56"/>
      <c r="CB128" s="6"/>
      <c r="CC128" s="56"/>
      <c r="CD128" s="6"/>
      <c r="CE128" s="56"/>
      <c r="CF128" s="6"/>
      <c r="CG128" s="56"/>
      <c r="CH128" s="6"/>
      <c r="CI128" s="56"/>
      <c r="CJ128" s="6"/>
      <c r="CK128" s="56"/>
      <c r="CL128" s="6"/>
      <c r="CM128" s="56"/>
      <c r="CN128" s="6"/>
    </row>
    <row r="129" spans="1:92" x14ac:dyDescent="0.25">
      <c r="A129" s="37" t="s">
        <v>10</v>
      </c>
      <c r="B129" s="4"/>
      <c r="C129" s="4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AA129" s="118"/>
      <c r="AB129" s="118"/>
      <c r="AC129" s="118"/>
      <c r="AD129" s="118"/>
      <c r="AE129" s="118"/>
      <c r="AF129" s="118"/>
      <c r="AG129" s="119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4"/>
      <c r="AW129" s="4"/>
      <c r="AX129" s="4"/>
      <c r="AY129" s="4"/>
      <c r="AZ129" s="4"/>
      <c r="BA129" s="4"/>
      <c r="BB129" s="4"/>
      <c r="BC129" s="4"/>
      <c r="BD129" s="118"/>
      <c r="BE129" s="118"/>
      <c r="BF129" s="118"/>
      <c r="BG129" s="118"/>
      <c r="BH129" s="118"/>
      <c r="BI129" s="118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</row>
    <row r="130" spans="1:92" x14ac:dyDescent="0.25">
      <c r="A130" s="40"/>
      <c r="B130" s="22">
        <v>42767</v>
      </c>
      <c r="C130" s="22"/>
      <c r="D130" s="22">
        <v>42768</v>
      </c>
      <c r="E130" s="22"/>
      <c r="F130" s="22">
        <v>42769</v>
      </c>
      <c r="G130" s="22"/>
      <c r="H130" s="22">
        <v>42771</v>
      </c>
      <c r="I130" s="22"/>
      <c r="J130" s="22">
        <v>42772</v>
      </c>
      <c r="K130" s="22"/>
      <c r="L130" s="22">
        <v>42773</v>
      </c>
      <c r="M130" s="22"/>
      <c r="N130" s="22">
        <v>42774</v>
      </c>
      <c r="O130" s="22"/>
      <c r="P130" s="22">
        <v>42775</v>
      </c>
      <c r="Q130" s="22"/>
      <c r="R130" s="22">
        <v>42776</v>
      </c>
      <c r="S130" s="22"/>
      <c r="T130" s="22">
        <v>42777</v>
      </c>
      <c r="U130" s="22"/>
      <c r="V130" s="22"/>
      <c r="W130" s="22"/>
      <c r="X130" s="22">
        <v>42779</v>
      </c>
      <c r="Y130" s="22"/>
      <c r="Z130" s="22">
        <v>42780</v>
      </c>
      <c r="AA130" s="22"/>
      <c r="AB130" s="22">
        <v>42781</v>
      </c>
      <c r="AC130" s="22"/>
      <c r="AD130" s="22">
        <v>42782</v>
      </c>
      <c r="AE130" s="22"/>
      <c r="AF130" s="22">
        <v>42417</v>
      </c>
      <c r="AG130" s="20"/>
      <c r="AH130" s="22">
        <v>42784</v>
      </c>
      <c r="AI130" s="22"/>
      <c r="AJ130" s="22"/>
      <c r="AK130" s="22"/>
      <c r="AL130" s="22">
        <v>42786</v>
      </c>
      <c r="AM130" s="22"/>
      <c r="AN130" s="22">
        <v>42421</v>
      </c>
      <c r="AO130" s="22"/>
      <c r="AP130" s="22">
        <v>42788</v>
      </c>
      <c r="AQ130" s="22"/>
      <c r="AR130" s="22">
        <v>42789</v>
      </c>
      <c r="AS130" s="22"/>
      <c r="AT130" s="22">
        <v>42790</v>
      </c>
      <c r="AU130" s="22"/>
      <c r="AV130" s="22">
        <v>42791</v>
      </c>
      <c r="AW130" s="22"/>
      <c r="AX130" s="22">
        <v>42792</v>
      </c>
      <c r="AY130" s="22"/>
      <c r="AZ130" s="22">
        <v>42793</v>
      </c>
      <c r="BA130" s="22"/>
      <c r="BB130" s="22">
        <v>42794</v>
      </c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</row>
    <row r="131" spans="1:92" x14ac:dyDescent="0.25">
      <c r="A131" s="45"/>
      <c r="B131" s="29">
        <v>9360</v>
      </c>
      <c r="C131" s="24" t="s">
        <v>1362</v>
      </c>
      <c r="D131" s="29">
        <v>57000</v>
      </c>
      <c r="E131" s="24" t="s">
        <v>1477</v>
      </c>
      <c r="F131" s="29">
        <v>155800</v>
      </c>
      <c r="G131" s="24" t="s">
        <v>1520</v>
      </c>
      <c r="H131" s="29"/>
      <c r="I131" s="24"/>
      <c r="J131" s="29"/>
      <c r="K131" s="24"/>
      <c r="L131" s="29">
        <v>20000</v>
      </c>
      <c r="M131" s="24" t="s">
        <v>1596</v>
      </c>
      <c r="N131" s="29">
        <v>4000</v>
      </c>
      <c r="O131" s="24" t="s">
        <v>1643</v>
      </c>
      <c r="P131" s="29">
        <v>13597.1</v>
      </c>
      <c r="Q131" s="24" t="s">
        <v>1697</v>
      </c>
      <c r="R131" s="29">
        <v>200000</v>
      </c>
      <c r="S131" s="24" t="s">
        <v>1730</v>
      </c>
      <c r="T131" s="29">
        <v>5000</v>
      </c>
      <c r="U131" s="24" t="s">
        <v>1772</v>
      </c>
      <c r="V131" s="29"/>
      <c r="W131" s="24"/>
      <c r="X131" s="29">
        <v>593400</v>
      </c>
      <c r="Y131" s="24" t="s">
        <v>1819</v>
      </c>
      <c r="Z131" s="29">
        <v>4525.82</v>
      </c>
      <c r="AA131" s="24" t="s">
        <v>1885</v>
      </c>
      <c r="AB131" s="29">
        <v>86527</v>
      </c>
      <c r="AC131" s="85" t="s">
        <v>1946</v>
      </c>
      <c r="AD131" s="29">
        <v>342000</v>
      </c>
      <c r="AE131" s="85" t="s">
        <v>1997</v>
      </c>
      <c r="AF131" s="29">
        <v>240000</v>
      </c>
      <c r="AG131" s="24" t="s">
        <v>2046</v>
      </c>
      <c r="AH131" s="29">
        <v>280000</v>
      </c>
      <c r="AI131" s="85" t="s">
        <v>2101</v>
      </c>
      <c r="AJ131" s="29"/>
      <c r="AK131" s="24"/>
      <c r="AL131" s="29">
        <v>180000</v>
      </c>
      <c r="AM131" s="24" t="s">
        <v>2138</v>
      </c>
      <c r="AN131" s="29">
        <v>493000</v>
      </c>
      <c r="AO131" s="24" t="s">
        <v>2190</v>
      </c>
      <c r="AP131" s="29">
        <v>210000</v>
      </c>
      <c r="AQ131" s="24" t="s">
        <v>2243</v>
      </c>
      <c r="AR131" s="104">
        <v>370000</v>
      </c>
      <c r="AS131" s="72" t="s">
        <v>2298</v>
      </c>
      <c r="AT131" s="29">
        <v>1000</v>
      </c>
      <c r="AU131" s="24" t="s">
        <v>2315</v>
      </c>
      <c r="AV131" s="29">
        <v>343500</v>
      </c>
      <c r="AW131" s="24" t="s">
        <v>2370</v>
      </c>
      <c r="AX131" s="29"/>
      <c r="AY131" s="24"/>
      <c r="AZ131" s="29">
        <v>53443.51</v>
      </c>
      <c r="BA131" s="24" t="s">
        <v>2444</v>
      </c>
      <c r="BB131" s="29">
        <v>582300</v>
      </c>
      <c r="BC131" s="24" t="s">
        <v>2503</v>
      </c>
      <c r="BD131" s="29"/>
      <c r="BE131" s="24"/>
      <c r="BF131" s="29"/>
      <c r="BG131" s="24"/>
      <c r="BH131" s="29"/>
      <c r="BI131" s="24"/>
      <c r="BJ131" s="29"/>
      <c r="BK131" s="24"/>
      <c r="BL131" s="29"/>
      <c r="BM131" s="24"/>
      <c r="BN131" s="29"/>
      <c r="BO131" s="24"/>
      <c r="BP131" s="29"/>
      <c r="BQ131" s="24"/>
      <c r="BR131" s="29"/>
      <c r="BS131" s="24"/>
      <c r="BT131" s="29"/>
      <c r="BU131" s="24"/>
      <c r="BV131" s="29"/>
      <c r="BW131" s="24"/>
      <c r="BX131" s="29"/>
      <c r="BY131" s="24"/>
      <c r="BZ131" s="29"/>
      <c r="CA131" s="24"/>
      <c r="CB131" s="29"/>
      <c r="CC131" s="24"/>
      <c r="CD131" s="29"/>
      <c r="CE131" s="24"/>
      <c r="CF131" s="29"/>
      <c r="CG131" s="24"/>
      <c r="CH131" s="29"/>
      <c r="CI131" s="24"/>
      <c r="CJ131" s="29"/>
      <c r="CK131" s="24"/>
      <c r="CL131" s="29"/>
      <c r="CM131" s="24"/>
      <c r="CN131" s="29"/>
    </row>
    <row r="132" spans="1:92" x14ac:dyDescent="0.25">
      <c r="A132" s="45"/>
      <c r="B132" s="29">
        <v>159300</v>
      </c>
      <c r="C132" s="24" t="s">
        <v>1363</v>
      </c>
      <c r="D132" s="29">
        <v>92250</v>
      </c>
      <c r="E132" s="24" t="s">
        <v>1482</v>
      </c>
      <c r="F132" s="29">
        <v>50000</v>
      </c>
      <c r="G132" s="24" t="s">
        <v>1521</v>
      </c>
      <c r="H132" s="29"/>
      <c r="I132" s="24"/>
      <c r="J132" s="29"/>
      <c r="K132" s="24"/>
      <c r="L132" s="29">
        <v>2188.4899999999998</v>
      </c>
      <c r="M132" s="24" t="s">
        <v>1597</v>
      </c>
      <c r="N132" s="29">
        <v>643400</v>
      </c>
      <c r="O132" s="24" t="s">
        <v>1645</v>
      </c>
      <c r="P132" s="29">
        <v>220000</v>
      </c>
      <c r="Q132" s="24" t="s">
        <v>1698</v>
      </c>
      <c r="R132" s="29">
        <v>350000</v>
      </c>
      <c r="S132" s="24" t="s">
        <v>1731</v>
      </c>
      <c r="T132" s="29">
        <v>214000</v>
      </c>
      <c r="U132" s="24" t="s">
        <v>1773</v>
      </c>
      <c r="V132" s="29"/>
      <c r="W132" s="24"/>
      <c r="X132" s="29">
        <v>593400</v>
      </c>
      <c r="Y132" s="24" t="s">
        <v>1820</v>
      </c>
      <c r="Z132" s="29">
        <v>247.67</v>
      </c>
      <c r="AA132" s="24" t="s">
        <v>1886</v>
      </c>
      <c r="AB132" s="29">
        <v>35000</v>
      </c>
      <c r="AC132" s="85" t="s">
        <v>1949</v>
      </c>
      <c r="AD132" s="29">
        <v>8427.09</v>
      </c>
      <c r="AE132" s="85" t="s">
        <v>2000</v>
      </c>
      <c r="AF132" s="29">
        <v>58741.599999999999</v>
      </c>
      <c r="AG132" s="24" t="s">
        <v>2047</v>
      </c>
      <c r="AH132" s="29">
        <v>53374.3</v>
      </c>
      <c r="AI132" s="85" t="s">
        <v>2102</v>
      </c>
      <c r="AJ132" s="29"/>
      <c r="AK132" s="24"/>
      <c r="AL132" s="29">
        <v>124999</v>
      </c>
      <c r="AM132" s="24" t="s">
        <v>2141</v>
      </c>
      <c r="AN132" s="62">
        <f>SUM(AN131)</f>
        <v>493000</v>
      </c>
      <c r="AO132" s="24"/>
      <c r="AP132" s="29">
        <v>343500</v>
      </c>
      <c r="AQ132" s="24" t="s">
        <v>2245</v>
      </c>
      <c r="AR132" s="104">
        <v>1099.01</v>
      </c>
      <c r="AS132" s="72" t="s">
        <v>2303</v>
      </c>
      <c r="AT132" s="29">
        <v>38000</v>
      </c>
      <c r="AU132" s="24" t="s">
        <v>2316</v>
      </c>
      <c r="AV132" s="29">
        <v>6588.66</v>
      </c>
      <c r="AW132" s="24" t="s">
        <v>2391</v>
      </c>
      <c r="AX132" s="29"/>
      <c r="AY132" s="24"/>
      <c r="AZ132" s="29">
        <v>55000</v>
      </c>
      <c r="BA132" s="24" t="s">
        <v>2445</v>
      </c>
      <c r="BB132" s="29">
        <v>358800</v>
      </c>
      <c r="BC132" s="24" t="s">
        <v>2504</v>
      </c>
      <c r="BD132" s="29"/>
      <c r="BE132" s="24"/>
      <c r="BF132" s="29"/>
      <c r="BG132" s="24"/>
      <c r="BH132" s="29"/>
      <c r="BI132" s="24"/>
      <c r="BJ132" s="29"/>
      <c r="BK132" s="24"/>
      <c r="BL132" s="29"/>
      <c r="BM132" s="24"/>
      <c r="BN132" s="29"/>
      <c r="BO132" s="24"/>
      <c r="BP132" s="29"/>
      <c r="BQ132" s="24"/>
      <c r="BR132" s="29"/>
      <c r="BS132" s="24"/>
      <c r="BT132" s="29"/>
      <c r="BU132" s="24"/>
      <c r="BV132" s="29"/>
      <c r="BW132" s="24"/>
      <c r="BX132" s="29"/>
      <c r="BY132" s="24"/>
      <c r="BZ132" s="29"/>
      <c r="CA132" s="24"/>
      <c r="CB132" s="29"/>
      <c r="CC132" s="24"/>
      <c r="CD132" s="29"/>
      <c r="CE132" s="24"/>
      <c r="CF132" s="29"/>
      <c r="CG132" s="24"/>
      <c r="CH132" s="29"/>
      <c r="CI132" s="24"/>
      <c r="CJ132" s="29"/>
      <c r="CK132" s="24"/>
      <c r="CL132" s="29"/>
      <c r="CM132" s="24"/>
      <c r="CN132" s="29"/>
    </row>
    <row r="133" spans="1:92" x14ac:dyDescent="0.25">
      <c r="A133" s="45"/>
      <c r="B133" s="29">
        <v>7348.51</v>
      </c>
      <c r="C133" s="24" t="s">
        <v>1364</v>
      </c>
      <c r="D133" s="96">
        <v>657700</v>
      </c>
      <c r="E133" s="15" t="s">
        <v>1488</v>
      </c>
      <c r="F133" s="29">
        <v>5000</v>
      </c>
      <c r="G133" s="24" t="s">
        <v>1522</v>
      </c>
      <c r="H133" s="29"/>
      <c r="I133" s="24"/>
      <c r="J133" s="29"/>
      <c r="K133" s="24"/>
      <c r="L133" s="29">
        <v>210000</v>
      </c>
      <c r="M133" s="24" t="s">
        <v>1599</v>
      </c>
      <c r="N133" s="29">
        <f>70000+273500</f>
        <v>343500</v>
      </c>
      <c r="O133" s="24" t="s">
        <v>1646</v>
      </c>
      <c r="P133" s="29">
        <v>14243</v>
      </c>
      <c r="Q133" s="24" t="s">
        <v>1699</v>
      </c>
      <c r="R133" s="29">
        <v>343500</v>
      </c>
      <c r="S133" s="24" t="s">
        <v>1724</v>
      </c>
      <c r="T133" s="29">
        <v>22689.81</v>
      </c>
      <c r="U133" s="24" t="s">
        <v>1775</v>
      </c>
      <c r="V133" s="29"/>
      <c r="W133" s="24"/>
      <c r="X133" s="29">
        <v>593400</v>
      </c>
      <c r="Y133" s="24" t="s">
        <v>1821</v>
      </c>
      <c r="Z133" s="29">
        <v>4481.67</v>
      </c>
      <c r="AA133" s="24" t="s">
        <v>1888</v>
      </c>
      <c r="AB133" s="29">
        <v>98000</v>
      </c>
      <c r="AC133" s="85" t="s">
        <v>1957</v>
      </c>
      <c r="AD133" s="29">
        <v>161786.97</v>
      </c>
      <c r="AE133" s="85" t="s">
        <v>2002</v>
      </c>
      <c r="AF133" s="29">
        <v>280000</v>
      </c>
      <c r="AG133" s="24" t="s">
        <v>2048</v>
      </c>
      <c r="AH133" s="29">
        <v>1099.01</v>
      </c>
      <c r="AI133" s="85" t="s">
        <v>2109</v>
      </c>
      <c r="AJ133" s="29"/>
      <c r="AK133" s="24"/>
      <c r="AL133" s="29">
        <v>242400</v>
      </c>
      <c r="AM133" s="24" t="s">
        <v>2142</v>
      </c>
      <c r="AN133" s="29"/>
      <c r="AO133" s="24"/>
      <c r="AP133" s="29">
        <v>1099</v>
      </c>
      <c r="AQ133" s="24" t="s">
        <v>2254</v>
      </c>
      <c r="AR133" s="29">
        <v>1970</v>
      </c>
      <c r="AS133" s="24" t="s">
        <v>2306</v>
      </c>
      <c r="AT133" s="29">
        <v>20926.169999999998</v>
      </c>
      <c r="AU133" s="24" t="s">
        <v>2317</v>
      </c>
      <c r="AV133" s="29">
        <v>1611.03</v>
      </c>
      <c r="AW133" s="24" t="s">
        <v>2392</v>
      </c>
      <c r="AX133" s="29"/>
      <c r="AY133" s="24"/>
      <c r="AZ133" s="29">
        <v>20000</v>
      </c>
      <c r="BA133" s="24" t="s">
        <v>2443</v>
      </c>
      <c r="BB133" s="29">
        <v>50000</v>
      </c>
      <c r="BC133" s="24" t="s">
        <v>2506</v>
      </c>
      <c r="BD133" s="29"/>
      <c r="BE133" s="24"/>
      <c r="BF133" s="29"/>
      <c r="BG133" s="24"/>
      <c r="BH133" s="29"/>
      <c r="BI133" s="24"/>
      <c r="BJ133" s="29"/>
      <c r="BK133" s="24"/>
      <c r="BL133" s="29"/>
      <c r="BM133" s="24"/>
      <c r="BN133" s="29"/>
      <c r="BO133" s="24"/>
      <c r="BP133" s="29"/>
      <c r="BQ133" s="24"/>
      <c r="BR133" s="29"/>
      <c r="BS133" s="24"/>
      <c r="BT133" s="29"/>
      <c r="BU133" s="24"/>
      <c r="BV133" s="29"/>
      <c r="BW133" s="24"/>
      <c r="BX133" s="29"/>
      <c r="BY133" s="24"/>
      <c r="BZ133" s="29"/>
      <c r="CA133" s="24"/>
      <c r="CB133" s="29"/>
      <c r="CC133" s="24"/>
      <c r="CD133" s="29"/>
      <c r="CE133" s="24"/>
      <c r="CF133" s="29"/>
      <c r="CG133" s="24"/>
      <c r="CH133" s="29"/>
      <c r="CI133" s="24"/>
      <c r="CJ133" s="29"/>
      <c r="CK133" s="24"/>
      <c r="CL133" s="29"/>
      <c r="CM133" s="24"/>
      <c r="CN133" s="29"/>
    </row>
    <row r="134" spans="1:92" x14ac:dyDescent="0.25">
      <c r="A134" s="45"/>
      <c r="B134" s="29">
        <v>109096.32000000001</v>
      </c>
      <c r="C134" s="24" t="s">
        <v>1365</v>
      </c>
      <c r="D134" s="29">
        <v>272600</v>
      </c>
      <c r="E134" s="24" t="s">
        <v>1489</v>
      </c>
      <c r="F134" s="29">
        <v>84000</v>
      </c>
      <c r="G134" s="24" t="s">
        <v>1527</v>
      </c>
      <c r="H134" s="29"/>
      <c r="I134" s="24"/>
      <c r="J134" s="29"/>
      <c r="K134" s="24"/>
      <c r="L134" s="29">
        <v>55274.51</v>
      </c>
      <c r="M134" s="24" t="s">
        <v>1601</v>
      </c>
      <c r="N134" s="29">
        <v>4633</v>
      </c>
      <c r="O134" s="24" t="s">
        <v>1651</v>
      </c>
      <c r="P134" s="29">
        <v>9392.24</v>
      </c>
      <c r="Q134" s="24" t="s">
        <v>1700</v>
      </c>
      <c r="R134" s="29">
        <v>3250</v>
      </c>
      <c r="S134" s="24" t="s">
        <v>1732</v>
      </c>
      <c r="T134" s="29">
        <v>66059.5</v>
      </c>
      <c r="U134" s="24" t="s">
        <v>1776</v>
      </c>
      <c r="V134" s="29"/>
      <c r="W134" s="24"/>
      <c r="X134" s="29">
        <v>130000</v>
      </c>
      <c r="Y134" s="24" t="s">
        <v>1822</v>
      </c>
      <c r="Z134" s="62">
        <f>SUM(Z131:Z133)</f>
        <v>9255.16</v>
      </c>
      <c r="AA134" s="24"/>
      <c r="AB134" s="29">
        <v>65000</v>
      </c>
      <c r="AC134" s="85" t="s">
        <v>1958</v>
      </c>
      <c r="AD134" s="29">
        <v>1970</v>
      </c>
      <c r="AE134" s="85" t="s">
        <v>2007</v>
      </c>
      <c r="AF134" s="29">
        <v>25000</v>
      </c>
      <c r="AG134" s="24" t="s">
        <v>2049</v>
      </c>
      <c r="AH134" s="29">
        <v>2390.0100000000002</v>
      </c>
      <c r="AI134" s="85" t="s">
        <v>2110</v>
      </c>
      <c r="AJ134" s="29"/>
      <c r="AK134" s="24"/>
      <c r="AL134" s="29">
        <v>62020.97</v>
      </c>
      <c r="AM134" s="24" t="s">
        <v>2143</v>
      </c>
      <c r="AN134" s="29">
        <v>90000</v>
      </c>
      <c r="AO134" s="24" t="s">
        <v>2210</v>
      </c>
      <c r="AP134" s="30">
        <v>9670.8700000000008</v>
      </c>
      <c r="AQ134" s="26" t="s">
        <v>2260</v>
      </c>
      <c r="AR134" s="29">
        <v>312.75</v>
      </c>
      <c r="AS134" s="24" t="s">
        <v>2312</v>
      </c>
      <c r="AT134" s="29">
        <v>9500</v>
      </c>
      <c r="AU134" s="24" t="s">
        <v>2318</v>
      </c>
      <c r="AV134" s="62">
        <f>SUM(AV131:AV133)</f>
        <v>351699.69</v>
      </c>
      <c r="AW134" s="24"/>
      <c r="AX134" s="29"/>
      <c r="AY134" s="24"/>
      <c r="AZ134" s="30">
        <v>90000</v>
      </c>
      <c r="BA134" s="24" t="s">
        <v>2446</v>
      </c>
      <c r="BB134" s="29">
        <v>84000</v>
      </c>
      <c r="BC134" s="24" t="s">
        <v>2507</v>
      </c>
      <c r="BD134" s="29"/>
      <c r="BE134" s="24"/>
      <c r="BF134" s="29"/>
      <c r="BG134" s="24"/>
      <c r="BH134" s="29"/>
      <c r="BI134" s="24"/>
      <c r="BJ134" s="29"/>
      <c r="BK134" s="24"/>
      <c r="BL134" s="29"/>
      <c r="BM134" s="24"/>
      <c r="BN134" s="29"/>
      <c r="BO134" s="24"/>
      <c r="BP134" s="29"/>
      <c r="BQ134" s="24"/>
      <c r="BR134" s="29"/>
      <c r="BS134" s="24"/>
      <c r="BT134" s="29"/>
      <c r="BU134" s="24"/>
      <c r="BV134" s="29"/>
      <c r="BW134" s="24"/>
      <c r="BX134" s="29"/>
      <c r="BY134" s="24"/>
      <c r="BZ134" s="29"/>
      <c r="CA134" s="24"/>
      <c r="CB134" s="29"/>
      <c r="CC134" s="24"/>
      <c r="CD134" s="29"/>
      <c r="CE134" s="24"/>
      <c r="CF134" s="29"/>
      <c r="CG134" s="24"/>
      <c r="CH134" s="29"/>
      <c r="CI134" s="24"/>
      <c r="CJ134" s="29"/>
      <c r="CK134" s="24"/>
      <c r="CL134" s="29"/>
      <c r="CM134" s="24"/>
      <c r="CN134" s="29"/>
    </row>
    <row r="135" spans="1:92" x14ac:dyDescent="0.25">
      <c r="A135" s="45"/>
      <c r="B135" s="29">
        <v>50734.12</v>
      </c>
      <c r="C135" s="24" t="s">
        <v>1366</v>
      </c>
      <c r="D135" s="29">
        <v>5484</v>
      </c>
      <c r="E135" s="24" t="s">
        <v>1498</v>
      </c>
      <c r="F135" s="29">
        <v>4000</v>
      </c>
      <c r="G135" s="24" t="s">
        <v>1528</v>
      </c>
      <c r="H135" s="29"/>
      <c r="I135" s="24"/>
      <c r="J135" s="29"/>
      <c r="K135" s="24"/>
      <c r="L135" s="29">
        <v>3250</v>
      </c>
      <c r="M135" s="24" t="s">
        <v>1613</v>
      </c>
      <c r="N135" s="29">
        <v>3589</v>
      </c>
      <c r="O135" s="24" t="s">
        <v>1652</v>
      </c>
      <c r="P135" s="29">
        <v>18501.62</v>
      </c>
      <c r="Q135" s="24" t="s">
        <v>1703</v>
      </c>
      <c r="R135" s="29">
        <v>2350.0100000000002</v>
      </c>
      <c r="S135" s="24" t="s">
        <v>1737</v>
      </c>
      <c r="T135" s="29">
        <v>4395</v>
      </c>
      <c r="U135" s="24" t="s">
        <v>1779</v>
      </c>
      <c r="V135" s="29"/>
      <c r="W135" s="24"/>
      <c r="X135" s="29">
        <v>3401.76</v>
      </c>
      <c r="Y135" s="24" t="s">
        <v>1825</v>
      </c>
      <c r="Z135" s="29"/>
      <c r="AB135" s="29">
        <v>200000</v>
      </c>
      <c r="AC135" s="85" t="s">
        <v>1959</v>
      </c>
      <c r="AD135" s="29">
        <v>420</v>
      </c>
      <c r="AE135" s="85" t="s">
        <v>2007</v>
      </c>
      <c r="AF135" s="29">
        <v>70000</v>
      </c>
      <c r="AG135" s="24" t="s">
        <v>2050</v>
      </c>
      <c r="AH135" s="29">
        <v>1099</v>
      </c>
      <c r="AI135" s="85" t="s">
        <v>2126</v>
      </c>
      <c r="AJ135" s="29"/>
      <c r="AK135" s="24"/>
      <c r="AL135" s="29">
        <v>3209</v>
      </c>
      <c r="AM135" s="24" t="s">
        <v>2145</v>
      </c>
      <c r="AN135" s="29">
        <v>500000</v>
      </c>
      <c r="AO135" s="24" t="s">
        <v>2212</v>
      </c>
      <c r="AP135" s="29">
        <v>1099.01</v>
      </c>
      <c r="AQ135" s="24" t="s">
        <v>2262</v>
      </c>
      <c r="AR135" s="62">
        <f>SUM(AR131:AR134)</f>
        <v>373381.76</v>
      </c>
      <c r="AS135" s="24"/>
      <c r="AT135" s="29">
        <v>210000</v>
      </c>
      <c r="AU135" s="24" t="s">
        <v>2320</v>
      </c>
      <c r="AV135" s="29"/>
      <c r="AW135" s="24"/>
      <c r="AX135" s="29"/>
      <c r="AY135" s="24"/>
      <c r="AZ135" s="29">
        <v>237800</v>
      </c>
      <c r="BA135" s="24" t="s">
        <v>2447</v>
      </c>
      <c r="BB135" s="29">
        <v>89113.88</v>
      </c>
      <c r="BC135" s="24" t="s">
        <v>2509</v>
      </c>
      <c r="BD135" s="29"/>
      <c r="BE135" s="24"/>
      <c r="BF135" s="29"/>
      <c r="BG135" s="24"/>
      <c r="BH135" s="29"/>
      <c r="BI135" s="24"/>
      <c r="BJ135" s="29"/>
      <c r="BK135" s="24"/>
      <c r="BL135" s="29"/>
      <c r="BM135" s="24"/>
      <c r="BN135" s="29"/>
      <c r="BO135" s="24"/>
      <c r="BP135" s="29"/>
      <c r="BQ135" s="24"/>
      <c r="BR135" s="29"/>
      <c r="BS135" s="24"/>
      <c r="BT135" s="29"/>
      <c r="BU135" s="24"/>
      <c r="BV135" s="29"/>
      <c r="BW135" s="24"/>
      <c r="BX135" s="29"/>
      <c r="BY135" s="24"/>
      <c r="BZ135" s="29"/>
      <c r="CA135" s="24"/>
      <c r="CB135" s="29"/>
      <c r="CC135" s="24"/>
      <c r="CD135" s="29"/>
      <c r="CE135" s="24"/>
      <c r="CF135" s="29"/>
      <c r="CG135" s="24"/>
      <c r="CH135" s="29"/>
      <c r="CI135" s="24"/>
      <c r="CJ135" s="29"/>
      <c r="CK135" s="24"/>
      <c r="CL135" s="29"/>
      <c r="CM135" s="24"/>
      <c r="CN135" s="29"/>
    </row>
    <row r="136" spans="1:92" x14ac:dyDescent="0.25">
      <c r="A136" s="45"/>
      <c r="B136" s="29">
        <v>1937.93</v>
      </c>
      <c r="C136" s="24" t="s">
        <v>1367</v>
      </c>
      <c r="D136" s="29">
        <v>1587</v>
      </c>
      <c r="E136" s="24" t="s">
        <v>1509</v>
      </c>
      <c r="F136" s="29">
        <v>50500</v>
      </c>
      <c r="G136" s="24" t="s">
        <v>1530</v>
      </c>
      <c r="H136" s="94"/>
      <c r="I136" s="24"/>
      <c r="J136" s="29"/>
      <c r="K136" s="24"/>
      <c r="L136" s="29">
        <v>3250</v>
      </c>
      <c r="M136" s="24" t="s">
        <v>1614</v>
      </c>
      <c r="N136" s="96">
        <v>3250</v>
      </c>
      <c r="O136" s="26" t="s">
        <v>1664</v>
      </c>
      <c r="P136" s="97">
        <f>+SUM(P131:P135)</f>
        <v>275733.96000000002</v>
      </c>
      <c r="Q136" s="24"/>
      <c r="R136" s="29">
        <v>3250</v>
      </c>
      <c r="S136" s="24" t="s">
        <v>1742</v>
      </c>
      <c r="T136" s="30">
        <v>1936.93</v>
      </c>
      <c r="U136" s="15" t="s">
        <v>1403</v>
      </c>
      <c r="V136" s="29"/>
      <c r="W136" s="24"/>
      <c r="X136" s="29">
        <v>14588.03</v>
      </c>
      <c r="Y136" s="24" t="s">
        <v>1826</v>
      </c>
      <c r="Z136" s="29"/>
      <c r="AA136" s="24"/>
      <c r="AB136" s="29">
        <v>6767.14</v>
      </c>
      <c r="AC136" s="85" t="s">
        <v>1960</v>
      </c>
      <c r="AD136" s="29">
        <v>4395</v>
      </c>
      <c r="AE136" s="85" t="s">
        <v>2008</v>
      </c>
      <c r="AF136" s="29">
        <v>4000</v>
      </c>
      <c r="AG136" s="24" t="s">
        <v>2051</v>
      </c>
      <c r="AH136" s="29">
        <v>1970</v>
      </c>
      <c r="AI136" s="85" t="s">
        <v>2127</v>
      </c>
      <c r="AJ136" s="98"/>
      <c r="AK136" s="24"/>
      <c r="AL136" s="29">
        <v>71200</v>
      </c>
      <c r="AM136" s="24" t="s">
        <v>2148</v>
      </c>
      <c r="AN136" s="29">
        <v>5298.39</v>
      </c>
      <c r="AO136" s="24" t="s">
        <v>2216</v>
      </c>
      <c r="AP136" s="29">
        <v>4395</v>
      </c>
      <c r="AQ136" s="24" t="s">
        <v>2266</v>
      </c>
      <c r="AR136" s="29"/>
      <c r="AS136" s="24"/>
      <c r="AT136" s="29">
        <v>125000</v>
      </c>
      <c r="AU136" s="24" t="s">
        <v>2324</v>
      </c>
      <c r="AV136" s="29"/>
      <c r="AW136" s="24"/>
      <c r="AX136" s="29"/>
      <c r="AY136" s="24"/>
      <c r="AZ136" s="29">
        <v>25800</v>
      </c>
      <c r="BA136" s="24" t="s">
        <v>2450</v>
      </c>
      <c r="BB136" s="29">
        <v>75968.84</v>
      </c>
      <c r="BC136" s="24" t="s">
        <v>2510</v>
      </c>
      <c r="BD136" s="29"/>
      <c r="BE136" s="24"/>
      <c r="BF136" s="29"/>
      <c r="BG136" s="24"/>
      <c r="BH136" s="29"/>
      <c r="BI136" s="24"/>
      <c r="BJ136" s="29"/>
      <c r="BK136" s="24"/>
      <c r="BL136" s="29"/>
      <c r="BM136" s="24"/>
      <c r="BN136" s="29"/>
      <c r="BO136" s="24"/>
      <c r="BP136" s="29"/>
      <c r="BQ136" s="24"/>
      <c r="BR136" s="29"/>
      <c r="BS136" s="24"/>
      <c r="BT136" s="29"/>
      <c r="BU136" s="24"/>
      <c r="BV136" s="29"/>
      <c r="BW136" s="24"/>
      <c r="BX136" s="29"/>
      <c r="BY136" s="24"/>
      <c r="BZ136" s="29"/>
      <c r="CA136" s="24"/>
      <c r="CB136" s="29"/>
      <c r="CC136" s="24"/>
      <c r="CD136" s="29"/>
      <c r="CE136" s="24"/>
      <c r="CF136" s="29"/>
      <c r="CG136" s="24"/>
      <c r="CH136" s="29"/>
      <c r="CI136" s="24"/>
      <c r="CJ136" s="29"/>
      <c r="CK136" s="24"/>
      <c r="CL136" s="29"/>
      <c r="CM136" s="24"/>
      <c r="CN136" s="29"/>
    </row>
    <row r="137" spans="1:92" x14ac:dyDescent="0.25">
      <c r="A137" s="45"/>
      <c r="B137" s="29">
        <v>2000</v>
      </c>
      <c r="C137" s="24" t="s">
        <v>1371</v>
      </c>
      <c r="D137" s="29">
        <v>1099</v>
      </c>
      <c r="E137" s="24" t="s">
        <v>1510</v>
      </c>
      <c r="F137" s="29">
        <v>50000</v>
      </c>
      <c r="G137" s="24" t="s">
        <v>1532</v>
      </c>
      <c r="H137" s="29"/>
      <c r="I137" s="24"/>
      <c r="J137" s="29"/>
      <c r="K137" s="24"/>
      <c r="L137" s="29">
        <v>4395</v>
      </c>
      <c r="M137" s="24" t="s">
        <v>1617</v>
      </c>
      <c r="N137" s="122">
        <v>3250.01</v>
      </c>
      <c r="O137" s="24" t="s">
        <v>1673</v>
      </c>
      <c r="P137" s="29"/>
      <c r="Q137" s="24"/>
      <c r="R137" s="29">
        <v>1970</v>
      </c>
      <c r="S137" s="24" t="s">
        <v>1743</v>
      </c>
      <c r="T137" s="29">
        <v>2063.9899999999998</v>
      </c>
      <c r="U137" s="24" t="s">
        <v>1781</v>
      </c>
      <c r="V137" s="82"/>
      <c r="W137" s="24"/>
      <c r="X137" s="29">
        <v>4395.01</v>
      </c>
      <c r="Y137" s="24" t="s">
        <v>1845</v>
      </c>
      <c r="Z137" s="29">
        <v>300</v>
      </c>
      <c r="AA137" s="24" t="s">
        <v>1904</v>
      </c>
      <c r="AB137" s="29">
        <v>1840</v>
      </c>
      <c r="AC137" s="85" t="s">
        <v>1966</v>
      </c>
      <c r="AD137" s="29">
        <v>1099.01</v>
      </c>
      <c r="AE137" s="85" t="s">
        <v>2025</v>
      </c>
      <c r="AF137" s="29">
        <v>11552.25</v>
      </c>
      <c r="AG137" s="24" t="s">
        <v>2052</v>
      </c>
      <c r="AH137" s="29"/>
      <c r="AI137" s="85"/>
      <c r="AJ137" s="29"/>
      <c r="AK137" s="24"/>
      <c r="AL137" s="29">
        <v>4395</v>
      </c>
      <c r="AM137" s="24" t="s">
        <v>2150</v>
      </c>
      <c r="AN137" s="29">
        <v>60000</v>
      </c>
      <c r="AO137" s="24" t="s">
        <v>2217</v>
      </c>
      <c r="AP137" s="29">
        <v>1099.01</v>
      </c>
      <c r="AQ137" s="24" t="s">
        <v>2268</v>
      </c>
      <c r="AR137" s="29"/>
      <c r="AS137" s="24"/>
      <c r="AT137" s="96">
        <v>3250.01</v>
      </c>
      <c r="AU137" s="26" t="s">
        <v>2332</v>
      </c>
      <c r="AV137" s="29"/>
      <c r="AW137" s="24"/>
      <c r="AX137" s="29"/>
      <c r="AY137" s="24"/>
      <c r="AZ137" s="29">
        <v>60000</v>
      </c>
      <c r="BA137" s="24" t="s">
        <v>2451</v>
      </c>
      <c r="BB137" s="29">
        <v>50000</v>
      </c>
      <c r="BC137" s="24" t="s">
        <v>2511</v>
      </c>
      <c r="BD137" s="98"/>
      <c r="BE137" s="24"/>
      <c r="BF137" s="29"/>
      <c r="BG137" s="24"/>
      <c r="BH137" s="29"/>
      <c r="BI137" s="24"/>
      <c r="BJ137" s="29"/>
      <c r="BK137" s="24"/>
      <c r="BL137" s="29"/>
      <c r="BM137" s="24"/>
      <c r="BN137" s="29"/>
      <c r="BO137" s="24"/>
      <c r="BP137" s="29"/>
      <c r="BQ137" s="24"/>
      <c r="BR137" s="29"/>
      <c r="BS137" s="24"/>
      <c r="BT137" s="29"/>
      <c r="BU137" s="24"/>
      <c r="BV137" s="29"/>
      <c r="BW137" s="24"/>
      <c r="BX137" s="29"/>
      <c r="BY137" s="24"/>
      <c r="BZ137" s="29"/>
      <c r="CA137" s="24"/>
      <c r="CB137" s="29"/>
      <c r="CC137" s="24"/>
      <c r="CD137" s="29"/>
      <c r="CE137" s="24"/>
      <c r="CF137" s="29"/>
      <c r="CG137" s="24"/>
      <c r="CH137" s="29"/>
      <c r="CI137" s="24"/>
      <c r="CJ137" s="29"/>
      <c r="CK137" s="24"/>
      <c r="CL137" s="29"/>
      <c r="CM137" s="24"/>
      <c r="CN137" s="29"/>
    </row>
    <row r="138" spans="1:92" x14ac:dyDescent="0.25">
      <c r="A138" s="45"/>
      <c r="B138" s="29">
        <v>60000</v>
      </c>
      <c r="C138" s="24" t="s">
        <v>1371</v>
      </c>
      <c r="D138" s="115">
        <f>+SUM(D131:D137)</f>
        <v>1087720</v>
      </c>
      <c r="E138" s="24"/>
      <c r="F138" s="29">
        <v>3250</v>
      </c>
      <c r="G138" s="24" t="s">
        <v>1543</v>
      </c>
      <c r="H138" s="29"/>
      <c r="I138" s="24"/>
      <c r="J138" s="29"/>
      <c r="K138" s="24"/>
      <c r="L138" s="29">
        <v>2225.69</v>
      </c>
      <c r="M138" s="24" t="s">
        <v>1618</v>
      </c>
      <c r="N138" s="122">
        <v>3000</v>
      </c>
      <c r="O138" s="24" t="s">
        <v>1674</v>
      </c>
      <c r="P138" s="29">
        <v>214000</v>
      </c>
      <c r="Q138" s="24" t="s">
        <v>1890</v>
      </c>
      <c r="R138" s="62">
        <f>SUM(R131:R137)</f>
        <v>904320.01</v>
      </c>
      <c r="S138" s="24"/>
      <c r="T138" s="29">
        <v>3250.01</v>
      </c>
      <c r="U138" s="24" t="s">
        <v>1782</v>
      </c>
      <c r="V138" s="82"/>
      <c r="W138" s="24"/>
      <c r="X138" s="29">
        <v>3250.01</v>
      </c>
      <c r="Y138" s="24" t="s">
        <v>1846</v>
      </c>
      <c r="Z138" s="29">
        <v>100000</v>
      </c>
      <c r="AA138" s="24" t="s">
        <v>1909</v>
      </c>
      <c r="AB138" s="29">
        <v>2457.9899999999998</v>
      </c>
      <c r="AC138" s="85" t="s">
        <v>1975</v>
      </c>
      <c r="AD138" s="29">
        <v>430.66</v>
      </c>
      <c r="AE138" s="85" t="s">
        <v>2028</v>
      </c>
      <c r="AF138" s="29">
        <v>180000</v>
      </c>
      <c r="AG138" s="24" t="s">
        <v>2055</v>
      </c>
      <c r="AH138" s="29"/>
      <c r="AI138" s="85"/>
      <c r="AJ138" s="29"/>
      <c r="AK138" s="24"/>
      <c r="AL138" s="29">
        <v>4395</v>
      </c>
      <c r="AM138" s="24" t="s">
        <v>2152</v>
      </c>
      <c r="AN138" s="29">
        <v>20000</v>
      </c>
      <c r="AO138" s="24" t="s">
        <v>2218</v>
      </c>
      <c r="AP138" s="30">
        <v>1587.01</v>
      </c>
      <c r="AQ138" s="26" t="s">
        <v>2252</v>
      </c>
      <c r="AR138" s="29">
        <v>43400</v>
      </c>
      <c r="AS138" s="24" t="s">
        <v>2396</v>
      </c>
      <c r="AT138" s="96">
        <v>2420</v>
      </c>
      <c r="AU138" s="15" t="s">
        <v>2333</v>
      </c>
      <c r="AV138" s="29"/>
      <c r="AW138" s="24"/>
      <c r="AX138" s="29"/>
      <c r="AY138" s="24"/>
      <c r="AZ138" s="29">
        <v>89656.67</v>
      </c>
      <c r="BA138" s="24" t="s">
        <v>2460</v>
      </c>
      <c r="BB138" s="29">
        <v>20000</v>
      </c>
      <c r="BC138" s="24" t="s">
        <v>2512</v>
      </c>
      <c r="BD138" s="98"/>
      <c r="BE138" s="24"/>
      <c r="BF138" s="29"/>
      <c r="BG138" s="24"/>
      <c r="BH138" s="29"/>
      <c r="BI138" s="24"/>
      <c r="BJ138" s="29"/>
      <c r="BK138" s="24"/>
      <c r="BL138" s="29"/>
      <c r="BM138" s="24"/>
      <c r="BN138" s="29"/>
      <c r="BO138" s="24"/>
      <c r="BP138" s="29"/>
      <c r="BQ138" s="24"/>
      <c r="BR138" s="29"/>
      <c r="BS138" s="24"/>
      <c r="BT138" s="29"/>
      <c r="BU138" s="24"/>
      <c r="BV138" s="29"/>
      <c r="BW138" s="24"/>
      <c r="BX138" s="29"/>
      <c r="BY138" s="24"/>
      <c r="BZ138" s="29"/>
      <c r="CA138" s="24"/>
      <c r="CB138" s="29"/>
      <c r="CC138" s="24"/>
      <c r="CD138" s="29"/>
      <c r="CE138" s="24"/>
      <c r="CF138" s="29"/>
      <c r="CG138" s="24"/>
      <c r="CH138" s="29"/>
      <c r="CI138" s="24"/>
      <c r="CJ138" s="29"/>
      <c r="CK138" s="24"/>
      <c r="CL138" s="29"/>
      <c r="CM138" s="24"/>
      <c r="CN138" s="29"/>
    </row>
    <row r="139" spans="1:92" x14ac:dyDescent="0.25">
      <c r="A139" s="41"/>
      <c r="B139" s="29">
        <v>28000</v>
      </c>
      <c r="C139" s="24" t="s">
        <v>1372</v>
      </c>
      <c r="D139" s="30"/>
      <c r="E139" s="15"/>
      <c r="F139" s="30">
        <v>1970</v>
      </c>
      <c r="G139" s="15" t="s">
        <v>1547</v>
      </c>
      <c r="H139" s="30"/>
      <c r="I139" s="15"/>
      <c r="J139" s="29"/>
      <c r="K139" s="24"/>
      <c r="L139" s="30">
        <v>4050</v>
      </c>
      <c r="M139" s="15" t="s">
        <v>1620</v>
      </c>
      <c r="N139" s="122">
        <v>2880</v>
      </c>
      <c r="O139" s="24" t="s">
        <v>1676</v>
      </c>
      <c r="P139" s="30">
        <v>1479</v>
      </c>
      <c r="Q139" s="15" t="s">
        <v>1897</v>
      </c>
      <c r="R139" s="30"/>
      <c r="S139" s="15"/>
      <c r="T139" s="30">
        <v>13698.44</v>
      </c>
      <c r="U139" s="15" t="s">
        <v>1787</v>
      </c>
      <c r="V139" s="83"/>
      <c r="W139" s="15"/>
      <c r="X139" s="79">
        <f>SUM(X131:X138)</f>
        <v>1935834.81</v>
      </c>
      <c r="Y139" s="15"/>
      <c r="Z139" s="30">
        <v>237000</v>
      </c>
      <c r="AA139" s="15" t="s">
        <v>1910</v>
      </c>
      <c r="AB139" s="62">
        <f>SUM(AB131:AB138)</f>
        <v>495592.13</v>
      </c>
      <c r="AD139" s="62">
        <f>SUM(AD131:AD138)</f>
        <v>520528.73000000004</v>
      </c>
      <c r="AF139" s="30">
        <v>1970</v>
      </c>
      <c r="AG139" s="15" t="s">
        <v>2063</v>
      </c>
      <c r="AH139" s="30"/>
      <c r="AI139" s="86"/>
      <c r="AJ139" s="30"/>
      <c r="AK139" s="15"/>
      <c r="AL139" s="30">
        <v>1969.99</v>
      </c>
      <c r="AM139" s="15" t="s">
        <v>2154</v>
      </c>
      <c r="AN139" s="30">
        <v>200276.35</v>
      </c>
      <c r="AO139" s="15" t="s">
        <v>2221</v>
      </c>
      <c r="AP139" s="79">
        <f>SUM(AP131:AP138)</f>
        <v>572449.9</v>
      </c>
      <c r="AQ139" s="24"/>
      <c r="AR139" s="30">
        <v>2400</v>
      </c>
      <c r="AS139" s="15" t="s">
        <v>2398</v>
      </c>
      <c r="AT139" s="30">
        <v>3250</v>
      </c>
      <c r="AU139" s="15" t="s">
        <v>2339</v>
      </c>
      <c r="AV139" s="30"/>
      <c r="AW139" s="15"/>
      <c r="AX139" s="30"/>
      <c r="AY139" s="15"/>
      <c r="AZ139" s="30">
        <v>11000</v>
      </c>
      <c r="BA139" s="15" t="s">
        <v>2466</v>
      </c>
      <c r="BB139" s="30">
        <v>17604.27</v>
      </c>
      <c r="BC139" s="15" t="s">
        <v>2513</v>
      </c>
      <c r="BD139" s="30"/>
      <c r="BE139" s="15"/>
      <c r="BF139" s="29"/>
      <c r="BG139" s="24"/>
      <c r="BH139" s="30"/>
      <c r="BI139" s="15"/>
      <c r="BJ139" s="30"/>
      <c r="BK139" s="15"/>
      <c r="BL139" s="30"/>
      <c r="BM139" s="15"/>
      <c r="BN139" s="30"/>
      <c r="BO139" s="15"/>
      <c r="BP139" s="30"/>
      <c r="BQ139" s="15"/>
      <c r="BR139" s="30"/>
      <c r="BS139" s="15"/>
      <c r="BT139" s="30"/>
      <c r="BU139" s="15"/>
      <c r="BV139" s="30"/>
      <c r="BW139" s="15"/>
      <c r="BX139" s="30"/>
      <c r="BY139" s="15"/>
      <c r="BZ139" s="30"/>
      <c r="CA139" s="15"/>
      <c r="CB139" s="30"/>
      <c r="CC139" s="15"/>
      <c r="CD139" s="30"/>
      <c r="CE139" s="15"/>
      <c r="CF139" s="30"/>
      <c r="CG139" s="15"/>
      <c r="CH139" s="30"/>
      <c r="CI139" s="15"/>
      <c r="CJ139" s="30"/>
      <c r="CK139" s="15"/>
      <c r="CL139" s="30"/>
      <c r="CM139" s="15"/>
      <c r="CN139" s="30"/>
    </row>
    <row r="140" spans="1:92" x14ac:dyDescent="0.25">
      <c r="A140" s="45"/>
      <c r="B140" s="29">
        <v>779699</v>
      </c>
      <c r="C140" s="24" t="s">
        <v>1373</v>
      </c>
      <c r="D140" s="29"/>
      <c r="E140" s="24"/>
      <c r="F140" s="29">
        <v>3169</v>
      </c>
      <c r="G140" s="24" t="s">
        <v>1551</v>
      </c>
      <c r="H140" s="29"/>
      <c r="I140" s="24"/>
      <c r="J140" s="29"/>
      <c r="K140" s="24"/>
      <c r="L140" s="29">
        <v>3250</v>
      </c>
      <c r="M140" s="24" t="s">
        <v>1624</v>
      </c>
      <c r="N140" s="96">
        <v>3250</v>
      </c>
      <c r="O140" s="15" t="s">
        <v>1658</v>
      </c>
      <c r="P140" s="97">
        <f>+SUM(P137:P139)</f>
        <v>215479</v>
      </c>
      <c r="Q140" s="24"/>
      <c r="R140" s="29"/>
      <c r="S140" s="24"/>
      <c r="T140" s="29">
        <v>3169</v>
      </c>
      <c r="U140" s="24" t="s">
        <v>1789</v>
      </c>
      <c r="V140" s="29"/>
      <c r="W140" s="24"/>
      <c r="X140" s="29"/>
      <c r="Y140" s="24"/>
      <c r="Z140" s="29">
        <v>11713.48</v>
      </c>
      <c r="AA140" s="24" t="s">
        <v>1911</v>
      </c>
      <c r="AB140" s="29"/>
      <c r="AD140" s="29"/>
      <c r="AE140" s="85"/>
      <c r="AF140" s="29">
        <v>1099.01</v>
      </c>
      <c r="AG140" s="24" t="s">
        <v>2066</v>
      </c>
      <c r="AH140" s="29"/>
      <c r="AI140" s="85"/>
      <c r="AJ140" s="29"/>
      <c r="AK140" s="24"/>
      <c r="AL140" s="29">
        <v>1099.01</v>
      </c>
      <c r="AM140" s="24" t="s">
        <v>2155</v>
      </c>
      <c r="AN140" s="29">
        <v>10964.17</v>
      </c>
      <c r="AO140" s="24" t="s">
        <v>2225</v>
      </c>
      <c r="AP140" s="98"/>
      <c r="AQ140" s="24"/>
      <c r="AR140" s="29">
        <v>9000</v>
      </c>
      <c r="AS140" s="24" t="s">
        <v>2402</v>
      </c>
      <c r="AT140" s="105">
        <v>1099</v>
      </c>
      <c r="AU140" s="106" t="s">
        <v>2352</v>
      </c>
      <c r="AV140" s="29"/>
      <c r="AW140" s="24"/>
      <c r="AX140" s="29"/>
      <c r="AY140" s="24"/>
      <c r="AZ140" s="29">
        <v>4003</v>
      </c>
      <c r="BA140" s="24" t="s">
        <v>2467</v>
      </c>
      <c r="BB140" s="29">
        <v>100000</v>
      </c>
      <c r="BC140" s="24" t="s">
        <v>2514</v>
      </c>
      <c r="BD140" s="29"/>
      <c r="BE140" s="24"/>
      <c r="BF140" s="29"/>
      <c r="BG140" s="24"/>
      <c r="BH140" s="29"/>
      <c r="BI140" s="24"/>
      <c r="BJ140" s="29"/>
      <c r="BK140" s="24"/>
      <c r="BL140" s="29"/>
      <c r="BM140" s="24"/>
      <c r="BN140" s="29"/>
      <c r="BO140" s="24"/>
      <c r="BP140" s="29"/>
      <c r="BQ140" s="24"/>
      <c r="BR140" s="29"/>
      <c r="BS140" s="24"/>
      <c r="BT140" s="29"/>
      <c r="BU140" s="24"/>
      <c r="BV140" s="29"/>
      <c r="BW140" s="24"/>
      <c r="BX140" s="29"/>
      <c r="BY140" s="24"/>
      <c r="BZ140" s="29"/>
      <c r="CA140" s="24"/>
      <c r="CB140" s="29"/>
      <c r="CC140" s="24"/>
      <c r="CD140" s="29"/>
      <c r="CE140" s="24"/>
      <c r="CF140" s="29"/>
      <c r="CG140" s="24"/>
      <c r="CH140" s="29"/>
      <c r="CI140" s="24"/>
      <c r="CJ140" s="29"/>
      <c r="CK140" s="24"/>
      <c r="CL140" s="29"/>
      <c r="CM140" s="24"/>
      <c r="CN140" s="29"/>
    </row>
    <row r="141" spans="1:92" x14ac:dyDescent="0.25">
      <c r="A141" s="45"/>
      <c r="B141" s="29">
        <v>3345.7</v>
      </c>
      <c r="C141" s="24" t="s">
        <v>1374</v>
      </c>
      <c r="D141" s="29"/>
      <c r="E141" s="24"/>
      <c r="F141" s="29">
        <v>4029</v>
      </c>
      <c r="G141" s="24" t="s">
        <v>1558</v>
      </c>
      <c r="H141" s="29"/>
      <c r="I141" s="24"/>
      <c r="J141" s="29"/>
      <c r="K141" s="24"/>
      <c r="L141" s="29">
        <v>1099.01</v>
      </c>
      <c r="M141" s="24" t="s">
        <v>1626</v>
      </c>
      <c r="N141" s="97">
        <f>+SUM(N130:N140)</f>
        <v>1057526.01</v>
      </c>
      <c r="O141" s="24"/>
      <c r="P141" s="29"/>
      <c r="Q141" s="24"/>
      <c r="R141" s="29">
        <v>14280.16</v>
      </c>
      <c r="S141" s="24" t="s">
        <v>1748</v>
      </c>
      <c r="T141" s="29">
        <v>3047.85</v>
      </c>
      <c r="U141" s="24" t="s">
        <v>1806</v>
      </c>
      <c r="V141" s="29"/>
      <c r="W141" s="24"/>
      <c r="X141" s="29"/>
      <c r="Y141" s="24"/>
      <c r="Z141" s="29">
        <v>50317.18</v>
      </c>
      <c r="AA141" s="24" t="s">
        <v>1915</v>
      </c>
      <c r="AB141" s="29"/>
      <c r="AC141" s="85"/>
      <c r="AD141" s="29"/>
      <c r="AE141" s="85"/>
      <c r="AF141" s="29">
        <v>1099.01</v>
      </c>
      <c r="AG141" s="24" t="s">
        <v>2067</v>
      </c>
      <c r="AH141" s="29"/>
      <c r="AI141" s="85"/>
      <c r="AJ141" s="29"/>
      <c r="AK141" s="24"/>
      <c r="AL141" s="29">
        <v>2458.0100000000002</v>
      </c>
      <c r="AM141" s="24" t="s">
        <v>2157</v>
      </c>
      <c r="AN141" s="29">
        <v>1099.01</v>
      </c>
      <c r="AO141" s="24" t="s">
        <v>2226</v>
      </c>
      <c r="AP141" s="29"/>
      <c r="AQ141" s="24"/>
      <c r="AR141" s="29">
        <v>343500</v>
      </c>
      <c r="AS141" s="24" t="s">
        <v>2405</v>
      </c>
      <c r="AT141" s="96">
        <v>1970</v>
      </c>
      <c r="AU141" s="26" t="s">
        <v>2327</v>
      </c>
      <c r="AV141" s="29"/>
      <c r="AW141" s="24"/>
      <c r="AX141" s="29"/>
      <c r="AY141" s="24"/>
      <c r="AZ141" s="29">
        <v>346000</v>
      </c>
      <c r="BA141" s="24" t="s">
        <v>2468</v>
      </c>
      <c r="BB141" s="29">
        <v>98839.8</v>
      </c>
      <c r="BC141" s="24" t="s">
        <v>2516</v>
      </c>
      <c r="BD141" s="29"/>
      <c r="BE141" s="24"/>
      <c r="BF141" s="29"/>
      <c r="BG141" s="24"/>
      <c r="BH141" s="29"/>
      <c r="BI141" s="24"/>
      <c r="BJ141" s="29"/>
      <c r="BK141" s="24"/>
      <c r="BL141" s="29"/>
      <c r="BM141" s="24"/>
      <c r="BN141" s="29"/>
      <c r="BO141" s="24"/>
      <c r="BP141" s="29"/>
      <c r="BQ141" s="24"/>
      <c r="BR141" s="29"/>
      <c r="BS141" s="24"/>
      <c r="BT141" s="29"/>
      <c r="BU141" s="24"/>
      <c r="BV141" s="29"/>
      <c r="BW141" s="24"/>
      <c r="BX141" s="29"/>
      <c r="BY141" s="24"/>
      <c r="BZ141" s="29"/>
      <c r="CA141" s="24"/>
      <c r="CB141" s="29"/>
      <c r="CC141" s="24"/>
      <c r="CD141" s="29"/>
      <c r="CE141" s="24"/>
      <c r="CF141" s="29"/>
      <c r="CG141" s="24"/>
      <c r="CH141" s="29"/>
      <c r="CI141" s="24"/>
      <c r="CJ141" s="29"/>
      <c r="CK141" s="24"/>
      <c r="CL141" s="29"/>
      <c r="CM141" s="24"/>
      <c r="CN141" s="29"/>
    </row>
    <row r="142" spans="1:92" x14ac:dyDescent="0.25">
      <c r="A142" s="45"/>
      <c r="B142" s="29">
        <v>4395</v>
      </c>
      <c r="C142" s="24" t="s">
        <v>1381</v>
      </c>
      <c r="D142" s="29"/>
      <c r="E142" s="24"/>
      <c r="F142" s="29">
        <v>1970</v>
      </c>
      <c r="G142" s="24" t="s">
        <v>1562</v>
      </c>
      <c r="H142" s="29"/>
      <c r="I142" s="24"/>
      <c r="J142" s="29"/>
      <c r="K142" s="24"/>
      <c r="L142" s="29">
        <v>5600</v>
      </c>
      <c r="M142" s="24" t="s">
        <v>1631</v>
      </c>
      <c r="N142" s="97"/>
      <c r="O142" s="24"/>
      <c r="P142" s="94"/>
      <c r="Q142" s="24"/>
      <c r="R142" s="94">
        <v>262400</v>
      </c>
      <c r="S142" s="72" t="s">
        <v>1750</v>
      </c>
      <c r="T142" s="98">
        <v>2380</v>
      </c>
      <c r="U142" s="24" t="s">
        <v>1808</v>
      </c>
      <c r="V142" s="29"/>
      <c r="W142" s="24"/>
      <c r="X142" s="29">
        <v>65000</v>
      </c>
      <c r="Y142" s="24" t="s">
        <v>1866</v>
      </c>
      <c r="Z142" s="29">
        <v>1855.51</v>
      </c>
      <c r="AA142" s="24" t="s">
        <v>1917</v>
      </c>
      <c r="AB142" s="29">
        <v>272600</v>
      </c>
      <c r="AC142" s="85" t="s">
        <v>1983</v>
      </c>
      <c r="AD142" s="94">
        <v>39000</v>
      </c>
      <c r="AE142" s="24" t="s">
        <v>2035</v>
      </c>
      <c r="AF142" s="96">
        <v>1969.99</v>
      </c>
      <c r="AG142" s="15" t="s">
        <v>2068</v>
      </c>
      <c r="AH142" s="29"/>
      <c r="AI142" s="85"/>
      <c r="AJ142" s="29"/>
      <c r="AK142" s="24"/>
      <c r="AL142" s="29">
        <v>1970</v>
      </c>
      <c r="AM142" s="24" t="s">
        <v>2158</v>
      </c>
      <c r="AN142" s="29">
        <v>14683.05</v>
      </c>
      <c r="AO142" s="24" t="s">
        <v>2227</v>
      </c>
      <c r="AP142" s="29">
        <v>338500</v>
      </c>
      <c r="AQ142" s="24" t="s">
        <v>2277</v>
      </c>
      <c r="AR142" s="29">
        <v>463900</v>
      </c>
      <c r="AS142" s="24" t="s">
        <v>2406</v>
      </c>
      <c r="AT142" s="96">
        <v>1099</v>
      </c>
      <c r="AU142" s="15" t="s">
        <v>2328</v>
      </c>
      <c r="AV142" s="29"/>
      <c r="AW142" s="24"/>
      <c r="AX142" s="29"/>
      <c r="AY142" s="24"/>
      <c r="AZ142" s="29">
        <v>4595</v>
      </c>
      <c r="BA142" s="24" t="s">
        <v>2496</v>
      </c>
      <c r="BB142" s="29">
        <v>200000</v>
      </c>
      <c r="BC142" s="24" t="s">
        <v>2520</v>
      </c>
      <c r="BD142" s="29"/>
      <c r="BE142" s="24"/>
      <c r="BF142" s="29"/>
      <c r="BG142" s="24"/>
      <c r="BH142" s="29"/>
      <c r="BI142" s="24"/>
      <c r="BJ142" s="29"/>
      <c r="BK142" s="24"/>
      <c r="BL142" s="29"/>
      <c r="BM142" s="24"/>
      <c r="BN142" s="29"/>
      <c r="BO142" s="24"/>
      <c r="BP142" s="29"/>
      <c r="BQ142" s="24"/>
      <c r="BR142" s="29"/>
      <c r="BS142" s="24"/>
      <c r="BT142" s="29"/>
      <c r="BU142" s="24"/>
      <c r="BV142" s="29"/>
      <c r="BW142" s="24"/>
      <c r="BX142" s="29"/>
      <c r="BY142" s="24"/>
      <c r="BZ142" s="29"/>
      <c r="CA142" s="24"/>
      <c r="CB142" s="29"/>
      <c r="CC142" s="24"/>
      <c r="CD142" s="29"/>
      <c r="CE142" s="24"/>
      <c r="CF142" s="29"/>
      <c r="CG142" s="24"/>
      <c r="CH142" s="29"/>
      <c r="CI142" s="24"/>
      <c r="CJ142" s="29"/>
      <c r="CK142" s="24"/>
      <c r="CL142" s="29"/>
      <c r="CM142" s="24"/>
      <c r="CN142" s="29"/>
    </row>
    <row r="143" spans="1:92" x14ac:dyDescent="0.25">
      <c r="A143" s="45"/>
      <c r="B143" s="30">
        <v>2346.5</v>
      </c>
      <c r="C143" s="15" t="s">
        <v>1382</v>
      </c>
      <c r="D143" s="29"/>
      <c r="E143" s="24"/>
      <c r="F143" s="29">
        <v>3687.87</v>
      </c>
      <c r="G143" s="24" t="s">
        <v>1578</v>
      </c>
      <c r="H143" s="29"/>
      <c r="I143" s="24"/>
      <c r="J143" s="29"/>
      <c r="K143" s="24"/>
      <c r="L143" s="29">
        <v>4281.16</v>
      </c>
      <c r="M143" s="24" t="s">
        <v>1632</v>
      </c>
      <c r="N143" s="29">
        <v>325000</v>
      </c>
      <c r="O143" s="24" t="s">
        <v>1680</v>
      </c>
      <c r="P143" s="29"/>
      <c r="Q143" s="24"/>
      <c r="R143" s="29">
        <v>1099</v>
      </c>
      <c r="S143" s="24" t="s">
        <v>1755</v>
      </c>
      <c r="T143" s="62">
        <f>SUM(T131:T142)</f>
        <v>341690.52999999997</v>
      </c>
      <c r="U143" s="24"/>
      <c r="V143" s="29"/>
      <c r="W143" s="24"/>
      <c r="X143" s="29">
        <v>3169</v>
      </c>
      <c r="Y143" s="24" t="s">
        <v>1878</v>
      </c>
      <c r="Z143" s="29">
        <v>3250</v>
      </c>
      <c r="AA143" s="24" t="s">
        <v>1918</v>
      </c>
      <c r="AB143" s="29">
        <v>2690</v>
      </c>
      <c r="AC143" s="85" t="s">
        <v>1989</v>
      </c>
      <c r="AD143" s="29">
        <v>1936.93</v>
      </c>
      <c r="AE143" s="24" t="s">
        <v>2038</v>
      </c>
      <c r="AF143" s="96">
        <v>1659.44</v>
      </c>
      <c r="AG143" s="15" t="s">
        <v>2084</v>
      </c>
      <c r="AH143" s="29"/>
      <c r="AI143" s="85"/>
      <c r="AJ143" s="29"/>
      <c r="AK143" s="24"/>
      <c r="AL143" s="29">
        <v>3169</v>
      </c>
      <c r="AM143" s="24" t="s">
        <v>2162</v>
      </c>
      <c r="AN143" s="29">
        <v>3250</v>
      </c>
      <c r="AO143" s="24" t="s">
        <v>2228</v>
      </c>
      <c r="AP143" s="29">
        <v>5500</v>
      </c>
      <c r="AQ143" s="24" t="s">
        <v>2278</v>
      </c>
      <c r="AR143" s="29">
        <v>125000</v>
      </c>
      <c r="AS143" s="24" t="s">
        <v>2409</v>
      </c>
      <c r="AT143" s="131">
        <f>+SUM(AT131:AT142)</f>
        <v>417514.18</v>
      </c>
      <c r="AU143" s="106"/>
      <c r="AV143" s="29"/>
      <c r="AW143" s="24"/>
      <c r="AX143" s="29"/>
      <c r="AY143" s="24"/>
      <c r="AZ143" s="29">
        <v>2976.65</v>
      </c>
      <c r="BA143" s="24" t="s">
        <v>2500</v>
      </c>
      <c r="BB143" s="29">
        <v>145000</v>
      </c>
      <c r="BC143" s="24" t="s">
        <v>2523</v>
      </c>
      <c r="BD143" s="29"/>
      <c r="BE143" s="24"/>
      <c r="BF143" s="30"/>
      <c r="BG143" s="15"/>
      <c r="BH143" s="29"/>
      <c r="BI143" s="24"/>
      <c r="BJ143" s="29"/>
      <c r="BK143" s="24"/>
      <c r="BL143" s="29"/>
      <c r="BM143" s="24"/>
      <c r="BN143" s="29"/>
      <c r="BO143" s="24"/>
      <c r="BP143" s="29"/>
      <c r="BQ143" s="24"/>
      <c r="BR143" s="29"/>
      <c r="BS143" s="24"/>
      <c r="BT143" s="29"/>
      <c r="BU143" s="24"/>
      <c r="BV143" s="29"/>
      <c r="BW143" s="24"/>
      <c r="BX143" s="29"/>
      <c r="BY143" s="24"/>
      <c r="BZ143" s="29"/>
      <c r="CA143" s="24"/>
      <c r="CB143" s="29"/>
      <c r="CC143" s="24"/>
      <c r="CD143" s="29"/>
      <c r="CE143" s="24"/>
      <c r="CF143" s="29"/>
      <c r="CG143" s="24"/>
      <c r="CH143" s="29"/>
      <c r="CI143" s="24"/>
      <c r="CJ143" s="29"/>
      <c r="CK143" s="24"/>
      <c r="CL143" s="29"/>
      <c r="CM143" s="24"/>
      <c r="CN143" s="29"/>
    </row>
    <row r="144" spans="1:92" x14ac:dyDescent="0.25">
      <c r="A144" s="45"/>
      <c r="B144" s="101">
        <v>11953.72</v>
      </c>
      <c r="C144" s="57" t="s">
        <v>1387</v>
      </c>
      <c r="D144" s="29"/>
      <c r="E144" s="24"/>
      <c r="F144" s="29">
        <v>1548.04</v>
      </c>
      <c r="G144" s="24" t="s">
        <v>1583</v>
      </c>
      <c r="H144" s="29"/>
      <c r="I144" s="24"/>
      <c r="J144" s="30"/>
      <c r="K144" s="15"/>
      <c r="L144" s="29">
        <v>3250</v>
      </c>
      <c r="M144" s="24" t="s">
        <v>1634</v>
      </c>
      <c r="N144" s="29">
        <v>1970</v>
      </c>
      <c r="O144" s="24" t="s">
        <v>1684</v>
      </c>
      <c r="P144" s="29"/>
      <c r="Q144" s="24"/>
      <c r="R144" s="62">
        <f>SUM(R141:R143)</f>
        <v>277779.15999999997</v>
      </c>
      <c r="S144" s="24"/>
      <c r="T144" s="29"/>
      <c r="U144" s="24"/>
      <c r="V144" s="29"/>
      <c r="W144" s="24"/>
      <c r="X144" s="29">
        <v>1245.45</v>
      </c>
      <c r="Y144" s="24" t="s">
        <v>1811</v>
      </c>
      <c r="Z144" s="29">
        <v>1099.01</v>
      </c>
      <c r="AA144" s="24" t="s">
        <v>1919</v>
      </c>
      <c r="AB144" s="29">
        <v>1479</v>
      </c>
      <c r="AC144" s="85" t="s">
        <v>1989</v>
      </c>
      <c r="AD144" s="29">
        <v>1969.99</v>
      </c>
      <c r="AE144" s="24" t="s">
        <v>2039</v>
      </c>
      <c r="AF144" s="62">
        <f>SUM(AF131:AF143)</f>
        <v>877091.29999999993</v>
      </c>
      <c r="AG144" s="24"/>
      <c r="AH144" s="29"/>
      <c r="AI144" s="85"/>
      <c r="AJ144" s="29"/>
      <c r="AK144" s="24"/>
      <c r="AL144" s="29">
        <v>1995</v>
      </c>
      <c r="AM144" s="24" t="s">
        <v>2167</v>
      </c>
      <c r="AN144" s="29">
        <v>3939</v>
      </c>
      <c r="AO144" s="24" t="s">
        <v>2229</v>
      </c>
      <c r="AP144" s="29">
        <v>3500</v>
      </c>
      <c r="AQ144" s="24" t="s">
        <v>2279</v>
      </c>
      <c r="AR144" s="29">
        <v>3301.46</v>
      </c>
      <c r="AS144" s="24" t="s">
        <v>2410</v>
      </c>
      <c r="AT144" s="105"/>
      <c r="AU144" s="106"/>
      <c r="AV144" s="29"/>
      <c r="AW144" s="24"/>
      <c r="AX144" s="98"/>
      <c r="AY144" s="24"/>
      <c r="AZ144" s="62">
        <f>SUM(AZ131:AZ143)</f>
        <v>1000274.8300000001</v>
      </c>
      <c r="BA144" s="24"/>
      <c r="BB144" s="29">
        <v>3000</v>
      </c>
      <c r="BC144" s="24" t="s">
        <v>2524</v>
      </c>
      <c r="BD144" s="29"/>
      <c r="BE144" s="24"/>
      <c r="BF144" s="101"/>
      <c r="BG144" s="57"/>
      <c r="BH144" s="29"/>
      <c r="BI144" s="24"/>
      <c r="BJ144" s="29"/>
      <c r="BK144" s="24"/>
      <c r="BL144" s="29"/>
      <c r="BM144" s="24"/>
      <c r="BN144" s="29"/>
      <c r="BO144" s="24"/>
      <c r="BP144" s="29"/>
      <c r="BQ144" s="24"/>
      <c r="BR144" s="29"/>
      <c r="BS144" s="24"/>
      <c r="BT144" s="29"/>
      <c r="BU144" s="24"/>
      <c r="BV144" s="29"/>
      <c r="BW144" s="24"/>
      <c r="BX144" s="29"/>
      <c r="BY144" s="24"/>
      <c r="BZ144" s="29"/>
      <c r="CA144" s="24"/>
      <c r="CB144" s="29"/>
      <c r="CC144" s="24"/>
      <c r="CD144" s="29"/>
      <c r="CE144" s="24"/>
      <c r="CF144" s="29"/>
      <c r="CG144" s="24"/>
      <c r="CH144" s="29"/>
      <c r="CI144" s="24"/>
      <c r="CJ144" s="29"/>
      <c r="CK144" s="24"/>
      <c r="CL144" s="29"/>
      <c r="CM144" s="24"/>
      <c r="CN144" s="29"/>
    </row>
    <row r="145" spans="1:92" x14ac:dyDescent="0.25">
      <c r="A145" s="41"/>
      <c r="B145" s="31">
        <v>1050</v>
      </c>
      <c r="C145" s="24" t="s">
        <v>1404</v>
      </c>
      <c r="D145" s="30"/>
      <c r="E145" s="15"/>
      <c r="F145" s="115">
        <f>+SUM(F131:F144)</f>
        <v>418923.91</v>
      </c>
      <c r="G145" s="15"/>
      <c r="H145" s="30"/>
      <c r="I145" s="15"/>
      <c r="J145" s="63"/>
      <c r="K145" s="57"/>
      <c r="L145" s="30">
        <v>5545.24</v>
      </c>
      <c r="M145" s="15" t="s">
        <v>1636</v>
      </c>
      <c r="N145" s="30">
        <v>2350</v>
      </c>
      <c r="O145" s="15" t="s">
        <v>1690</v>
      </c>
      <c r="P145" s="30"/>
      <c r="Q145" s="15"/>
      <c r="R145" s="30"/>
      <c r="S145" s="15"/>
      <c r="T145" s="30"/>
      <c r="U145" s="15"/>
      <c r="V145" s="30"/>
      <c r="W145" s="15"/>
      <c r="X145" s="79">
        <f>SUM(X142:X144)</f>
        <v>69414.45</v>
      </c>
      <c r="Y145" s="15"/>
      <c r="Z145" s="30">
        <v>3225.01</v>
      </c>
      <c r="AA145" s="15" t="s">
        <v>1920</v>
      </c>
      <c r="AB145" s="61">
        <f>SUM(AB142:AB144)</f>
        <v>276769</v>
      </c>
      <c r="AC145" s="86"/>
      <c r="AD145" s="79">
        <f>SUM(AD142:AD144)</f>
        <v>42906.92</v>
      </c>
      <c r="AE145" s="15"/>
      <c r="AF145" s="30"/>
      <c r="AG145" s="15"/>
      <c r="AH145" s="98"/>
      <c r="AI145" s="15"/>
      <c r="AJ145" s="30"/>
      <c r="AK145" s="15"/>
      <c r="AL145" s="79">
        <f>SUM(AL131:AL144)</f>
        <v>705279.98</v>
      </c>
      <c r="AM145" s="15"/>
      <c r="AN145" s="30">
        <v>635</v>
      </c>
      <c r="AO145" s="15" t="s">
        <v>2213</v>
      </c>
      <c r="AP145" s="30">
        <v>120000</v>
      </c>
      <c r="AQ145" s="15" t="s">
        <v>2280</v>
      </c>
      <c r="AR145" s="30">
        <v>249452.42</v>
      </c>
      <c r="AS145" s="15" t="s">
        <v>2416</v>
      </c>
      <c r="AT145" s="107"/>
      <c r="AU145" s="108"/>
      <c r="AV145" s="30"/>
      <c r="AW145" s="15"/>
      <c r="AX145" s="30"/>
      <c r="AY145" s="15"/>
      <c r="AZ145" s="30"/>
      <c r="BA145" s="15"/>
      <c r="BB145" s="30">
        <v>130000</v>
      </c>
      <c r="BC145" s="15" t="s">
        <v>2525</v>
      </c>
      <c r="BD145" s="30"/>
      <c r="BE145" s="15"/>
      <c r="BF145" s="31"/>
      <c r="BG145" s="24"/>
      <c r="BH145" s="30"/>
      <c r="BI145" s="15"/>
      <c r="BJ145" s="30"/>
      <c r="BK145" s="15"/>
      <c r="BL145" s="30"/>
      <c r="BM145" s="15"/>
      <c r="BN145" s="30"/>
      <c r="BO145" s="15"/>
      <c r="BP145" s="30"/>
      <c r="BQ145" s="15"/>
      <c r="BR145" s="30"/>
      <c r="BS145" s="15"/>
      <c r="BT145" s="30"/>
      <c r="BU145" s="15"/>
      <c r="BV145" s="30"/>
      <c r="BW145" s="15"/>
      <c r="BX145" s="30"/>
      <c r="BY145" s="15"/>
      <c r="BZ145" s="30"/>
      <c r="CA145" s="15"/>
      <c r="CB145" s="30"/>
      <c r="CC145" s="15"/>
      <c r="CD145" s="30"/>
      <c r="CE145" s="15"/>
      <c r="CF145" s="30"/>
      <c r="CG145" s="15"/>
      <c r="CH145" s="30"/>
      <c r="CI145" s="15"/>
      <c r="CJ145" s="30"/>
      <c r="CK145" s="15"/>
      <c r="CL145" s="30"/>
      <c r="CM145" s="15"/>
      <c r="CN145" s="30"/>
    </row>
    <row r="146" spans="1:92" x14ac:dyDescent="0.25">
      <c r="A146" s="50"/>
      <c r="B146" s="31">
        <v>1915.93</v>
      </c>
      <c r="C146" s="24" t="s">
        <v>1407</v>
      </c>
      <c r="D146" s="31"/>
      <c r="E146" s="57"/>
      <c r="F146" s="63"/>
      <c r="G146" s="57"/>
      <c r="H146" s="63"/>
      <c r="I146" s="57"/>
      <c r="J146" s="31"/>
      <c r="K146" s="24"/>
      <c r="L146" s="115">
        <f>+SUM(L131:L145)</f>
        <v>327659.09999999998</v>
      </c>
      <c r="M146" s="57"/>
      <c r="N146" s="97">
        <f>+SUM(N143:N145)</f>
        <v>329320</v>
      </c>
      <c r="O146" s="57"/>
      <c r="P146" s="63"/>
      <c r="Q146" s="57"/>
      <c r="R146" s="63"/>
      <c r="S146" s="57"/>
      <c r="T146" s="63">
        <f>+T143</f>
        <v>341690.52999999997</v>
      </c>
      <c r="U146" s="57"/>
      <c r="V146" s="63"/>
      <c r="W146" s="57"/>
      <c r="X146" s="63"/>
      <c r="Y146" s="57"/>
      <c r="Z146" s="63">
        <v>1563.01</v>
      </c>
      <c r="AA146" s="57" t="s">
        <v>1926</v>
      </c>
      <c r="AB146" s="31"/>
      <c r="AC146" s="86"/>
      <c r="AD146" s="63"/>
      <c r="AE146" s="57"/>
      <c r="AF146" s="63"/>
      <c r="AG146" s="57"/>
      <c r="AH146" s="63"/>
      <c r="AI146" s="57"/>
      <c r="AJ146" s="63"/>
      <c r="AK146" s="57"/>
      <c r="AL146" s="101"/>
      <c r="AM146" s="57"/>
      <c r="AN146" s="63">
        <v>4168.99</v>
      </c>
      <c r="AO146" s="57" t="s">
        <v>2230</v>
      </c>
      <c r="AP146" s="63">
        <v>6577.72</v>
      </c>
      <c r="AQ146" s="57" t="s">
        <v>2284</v>
      </c>
      <c r="AR146" s="30">
        <v>3250.01</v>
      </c>
      <c r="AS146" s="57" t="s">
        <v>2434</v>
      </c>
      <c r="AT146" s="110"/>
      <c r="AU146" s="109"/>
      <c r="AV146" s="101"/>
      <c r="AW146" s="57"/>
      <c r="AX146" s="63"/>
      <c r="AY146" s="57"/>
      <c r="AZ146" s="63"/>
      <c r="BA146" s="57"/>
      <c r="BB146" s="101">
        <v>13824.97</v>
      </c>
      <c r="BC146" s="57" t="s">
        <v>2526</v>
      </c>
      <c r="BD146" s="63"/>
      <c r="BE146" s="57"/>
      <c r="BF146" s="31"/>
      <c r="BG146" s="24"/>
      <c r="BH146" s="63"/>
      <c r="BI146" s="57"/>
      <c r="BJ146" s="63"/>
      <c r="BK146" s="57"/>
      <c r="BL146" s="63"/>
      <c r="BM146" s="57"/>
      <c r="BN146" s="63"/>
      <c r="BO146" s="57"/>
      <c r="BP146" s="63"/>
      <c r="BQ146" s="57"/>
      <c r="BR146" s="63"/>
      <c r="BS146" s="57"/>
      <c r="BT146" s="63"/>
      <c r="BU146" s="57"/>
      <c r="BV146" s="63"/>
      <c r="BW146" s="57"/>
      <c r="BX146" s="63"/>
      <c r="BY146" s="57"/>
      <c r="BZ146" s="63"/>
      <c r="CA146" s="57"/>
      <c r="CB146" s="63"/>
      <c r="CC146" s="57"/>
      <c r="CD146" s="63"/>
      <c r="CE146" s="57"/>
      <c r="CF146" s="63"/>
      <c r="CG146" s="57"/>
      <c r="CH146" s="63"/>
      <c r="CI146" s="57"/>
      <c r="CJ146" s="63"/>
      <c r="CK146" s="57"/>
      <c r="CL146" s="63"/>
      <c r="CM146" s="57"/>
      <c r="CN146" s="63"/>
    </row>
    <row r="147" spans="1:92" x14ac:dyDescent="0.25">
      <c r="A147" s="46"/>
      <c r="B147" s="114">
        <v>387000</v>
      </c>
      <c r="C147" s="13" t="s">
        <v>1370</v>
      </c>
      <c r="D147" s="31"/>
      <c r="E147" s="24"/>
      <c r="F147" s="31"/>
      <c r="G147" s="24"/>
      <c r="H147" s="31"/>
      <c r="I147" s="24"/>
      <c r="J147" s="31"/>
      <c r="K147" s="24"/>
      <c r="L147" s="31"/>
      <c r="M147" s="24"/>
      <c r="N147" s="31"/>
      <c r="O147" s="24"/>
      <c r="P147" s="31"/>
      <c r="Q147" s="24"/>
      <c r="R147" s="31">
        <f>+R138+R144</f>
        <v>1182099.17</v>
      </c>
      <c r="S147" s="24"/>
      <c r="T147" s="32">
        <v>127690.51</v>
      </c>
      <c r="U147" s="24"/>
      <c r="V147" s="31"/>
      <c r="W147" s="24"/>
      <c r="X147" s="31">
        <v>25766.14</v>
      </c>
      <c r="Y147" s="24" t="s">
        <v>1870</v>
      </c>
      <c r="Z147" s="31">
        <v>1970</v>
      </c>
      <c r="AA147" s="24" t="s">
        <v>1928</v>
      </c>
      <c r="AB147" s="31"/>
      <c r="AC147" s="85"/>
      <c r="AD147" s="31"/>
      <c r="AE147" s="24"/>
      <c r="AF147" s="31">
        <v>320194.48</v>
      </c>
      <c r="AG147" s="24" t="s">
        <v>2087</v>
      </c>
      <c r="AH147" s="31"/>
      <c r="AI147" s="24"/>
      <c r="AJ147" s="31"/>
      <c r="AK147" s="24"/>
      <c r="AL147" s="31"/>
      <c r="AM147" s="24"/>
      <c r="AN147" s="31">
        <v>1865</v>
      </c>
      <c r="AO147" s="24" t="s">
        <v>2240</v>
      </c>
      <c r="AP147" s="31">
        <v>7500</v>
      </c>
      <c r="AQ147" s="24" t="s">
        <v>2287</v>
      </c>
      <c r="AR147" s="98">
        <v>2419.9899999999998</v>
      </c>
      <c r="AS147" s="24" t="s">
        <v>2436</v>
      </c>
      <c r="AT147" s="78"/>
      <c r="AU147" s="106"/>
      <c r="AV147" s="31"/>
      <c r="AW147" s="24"/>
      <c r="AX147" s="31"/>
      <c r="AY147" s="24"/>
      <c r="AZ147" s="31"/>
      <c r="BA147" s="24"/>
      <c r="BB147" s="104">
        <v>1000</v>
      </c>
      <c r="BC147" s="24" t="s">
        <v>2527</v>
      </c>
      <c r="BD147" s="31"/>
      <c r="BE147" s="24"/>
      <c r="BF147" s="114"/>
      <c r="BG147" s="13"/>
      <c r="BH147" s="31"/>
      <c r="BI147" s="24"/>
      <c r="BJ147" s="31"/>
      <c r="BK147" s="24"/>
      <c r="BL147" s="31"/>
      <c r="BM147" s="24"/>
      <c r="BN147" s="31"/>
      <c r="BO147" s="24"/>
      <c r="BP147" s="31"/>
      <c r="BQ147" s="24"/>
      <c r="BR147" s="31"/>
      <c r="BS147" s="24"/>
      <c r="BT147" s="31"/>
      <c r="BU147" s="24"/>
      <c r="BV147" s="31"/>
      <c r="BW147" s="24"/>
      <c r="BX147" s="31"/>
      <c r="BY147" s="24"/>
      <c r="BZ147" s="31"/>
      <c r="CA147" s="24"/>
      <c r="CB147" s="31"/>
      <c r="CC147" s="24"/>
      <c r="CD147" s="31"/>
      <c r="CE147" s="24"/>
      <c r="CF147" s="31"/>
      <c r="CG147" s="24"/>
      <c r="CH147" s="31"/>
      <c r="CI147" s="24"/>
      <c r="CJ147" s="31"/>
      <c r="CK147" s="24"/>
      <c r="CL147" s="31"/>
      <c r="CM147" s="24"/>
      <c r="CN147" s="31"/>
    </row>
    <row r="148" spans="1:92" x14ac:dyDescent="0.25">
      <c r="A148" s="46"/>
      <c r="B148" s="96">
        <v>1099</v>
      </c>
      <c r="C148" s="15" t="s">
        <v>1376</v>
      </c>
      <c r="D148" s="31"/>
      <c r="E148" s="24"/>
      <c r="F148" s="31"/>
      <c r="G148" s="24"/>
      <c r="H148" s="31"/>
      <c r="I148" s="24"/>
      <c r="J148" s="32"/>
      <c r="K148" s="24"/>
      <c r="L148" s="31"/>
      <c r="M148" s="24"/>
      <c r="N148" s="31"/>
      <c r="O148" s="24"/>
      <c r="P148" s="31"/>
      <c r="Q148" s="24"/>
      <c r="R148" s="31">
        <f>277779.17+904320</f>
        <v>1182099.17</v>
      </c>
      <c r="S148" s="24"/>
      <c r="T148" s="33">
        <f>+T146-T147</f>
        <v>214000.01999999996</v>
      </c>
      <c r="U148" s="24" t="s">
        <v>1809</v>
      </c>
      <c r="V148" s="31"/>
      <c r="W148" s="24"/>
      <c r="X148" s="31">
        <v>1599.01</v>
      </c>
      <c r="Y148" s="24" t="s">
        <v>1871</v>
      </c>
      <c r="Z148" s="31">
        <v>1099.01</v>
      </c>
      <c r="AA148" s="24" t="s">
        <v>1935</v>
      </c>
      <c r="AB148" s="31"/>
      <c r="AC148" s="24"/>
      <c r="AD148" s="31"/>
      <c r="AE148" s="24"/>
      <c r="AF148" s="31">
        <v>100000</v>
      </c>
      <c r="AG148" s="24" t="s">
        <v>2088</v>
      </c>
      <c r="AH148" s="31"/>
      <c r="AI148" s="24"/>
      <c r="AJ148" s="31"/>
      <c r="AK148" s="24"/>
      <c r="AL148" s="31">
        <v>71128</v>
      </c>
      <c r="AM148" s="24" t="s">
        <v>2189</v>
      </c>
      <c r="AN148" s="31">
        <v>329900</v>
      </c>
      <c r="AO148" s="26" t="s">
        <v>2224</v>
      </c>
      <c r="AP148" s="31">
        <v>1099.01</v>
      </c>
      <c r="AQ148" s="24" t="s">
        <v>2288</v>
      </c>
      <c r="AR148" s="31">
        <v>5000</v>
      </c>
      <c r="AS148" s="26" t="s">
        <v>2407</v>
      </c>
      <c r="AT148" s="78"/>
      <c r="AU148" s="106"/>
      <c r="AV148" s="98"/>
      <c r="AW148" s="24"/>
      <c r="AX148" s="31"/>
      <c r="AY148" s="24"/>
      <c r="AZ148" s="31"/>
      <c r="BA148" s="24"/>
      <c r="BB148" s="104">
        <v>95000</v>
      </c>
      <c r="BC148" s="24" t="s">
        <v>2528</v>
      </c>
      <c r="BD148" s="31"/>
      <c r="BE148" s="24"/>
      <c r="BF148" s="96"/>
      <c r="BG148" s="15"/>
      <c r="BH148" s="31"/>
      <c r="BI148" s="24"/>
      <c r="BJ148" s="31"/>
      <c r="BK148" s="24"/>
      <c r="BL148" s="31"/>
      <c r="BM148" s="24"/>
      <c r="BN148" s="31"/>
      <c r="BO148" s="24"/>
      <c r="BP148" s="31"/>
      <c r="BQ148" s="24"/>
      <c r="BR148" s="31"/>
      <c r="BS148" s="24"/>
      <c r="BT148" s="31"/>
      <c r="BU148" s="24"/>
      <c r="BV148" s="31"/>
      <c r="BW148" s="24"/>
      <c r="BX148" s="31"/>
      <c r="BY148" s="24"/>
      <c r="BZ148" s="31"/>
      <c r="CA148" s="24"/>
      <c r="CB148" s="31"/>
      <c r="CC148" s="24"/>
      <c r="CD148" s="31"/>
      <c r="CE148" s="24"/>
      <c r="CF148" s="31"/>
      <c r="CG148" s="24"/>
      <c r="CH148" s="31"/>
      <c r="CI148" s="24"/>
      <c r="CJ148" s="31"/>
      <c r="CK148" s="24"/>
      <c r="CL148" s="31"/>
      <c r="CM148" s="24"/>
      <c r="CN148" s="31"/>
    </row>
    <row r="149" spans="1:92" x14ac:dyDescent="0.25">
      <c r="B149" s="115">
        <f>+SUM(B131:B148)</f>
        <v>1620581.7299999997</v>
      </c>
      <c r="C149" s="24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4">
        <f>+R147-R148</f>
        <v>0</v>
      </c>
      <c r="S149" s="120"/>
      <c r="U149" s="120"/>
      <c r="V149" s="120"/>
      <c r="W149" s="120"/>
      <c r="X149" s="120"/>
      <c r="Y149" s="120"/>
      <c r="Z149" s="31">
        <v>3250</v>
      </c>
      <c r="AA149" s="24" t="s">
        <v>1936</v>
      </c>
      <c r="AB149" s="120"/>
      <c r="AC149" s="120"/>
      <c r="AD149" s="120"/>
      <c r="AE149" s="120"/>
      <c r="AF149" s="96">
        <v>10000</v>
      </c>
      <c r="AG149" t="s">
        <v>2089</v>
      </c>
      <c r="AH149" s="120"/>
      <c r="AI149" s="120"/>
      <c r="AJ149" s="120"/>
      <c r="AK149" s="120"/>
      <c r="AL149" s="128">
        <v>350000</v>
      </c>
      <c r="AM149" s="120" t="s">
        <v>2178</v>
      </c>
      <c r="AN149" s="81">
        <f>SUM(AN134:AN148)</f>
        <v>1246078.96</v>
      </c>
      <c r="AP149" s="30">
        <v>1099.01</v>
      </c>
      <c r="AQ149" s="24" t="s">
        <v>2290</v>
      </c>
      <c r="AR149" s="81">
        <f>SUM(AR138:AR148)</f>
        <v>1250623.8799999999</v>
      </c>
      <c r="AT149" s="120"/>
      <c r="AU149" s="120"/>
      <c r="BB149" s="138">
        <v>40000</v>
      </c>
      <c r="BC149" s="24" t="s">
        <v>2529</v>
      </c>
      <c r="BD149" s="120"/>
      <c r="BE149" s="120"/>
      <c r="BF149" s="120"/>
      <c r="BG149" s="120"/>
      <c r="BH149" s="120"/>
      <c r="BI149" s="120"/>
    </row>
    <row r="150" spans="1:92" x14ac:dyDescent="0.25">
      <c r="B150" s="115"/>
      <c r="C150" s="24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61">
        <f>SUM(Z137:Z149)</f>
        <v>416642.21</v>
      </c>
      <c r="AA150" s="24"/>
      <c r="AB150" s="120"/>
      <c r="AC150" s="120"/>
      <c r="AD150" s="120"/>
      <c r="AE150" s="120"/>
      <c r="AF150" s="128">
        <v>1000</v>
      </c>
      <c r="AG150" s="120" t="s">
        <v>2092</v>
      </c>
      <c r="AH150" s="120"/>
      <c r="AI150" s="120"/>
      <c r="AJ150" s="120"/>
      <c r="AK150" s="120"/>
      <c r="AL150" s="128">
        <v>5000</v>
      </c>
      <c r="AM150" s="120" t="s">
        <v>2182</v>
      </c>
      <c r="AN150" s="120"/>
      <c r="AO150" s="120"/>
      <c r="AP150" s="98">
        <v>1969.99</v>
      </c>
      <c r="AQ150" s="24" t="s">
        <v>2292</v>
      </c>
      <c r="AR150" s="120"/>
      <c r="AS150" s="120"/>
      <c r="AT150" s="120"/>
      <c r="AU150" s="120"/>
      <c r="BB150" s="138">
        <v>6703.99</v>
      </c>
      <c r="BC150" s="24" t="s">
        <v>2531</v>
      </c>
      <c r="BD150" s="120"/>
      <c r="BE150" s="120"/>
      <c r="BF150" s="120"/>
      <c r="BG150" s="120"/>
      <c r="BH150" s="120"/>
      <c r="BI150" s="120"/>
    </row>
    <row r="151" spans="1:92" x14ac:dyDescent="0.25">
      <c r="B151" s="115"/>
      <c r="C151" s="24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31"/>
      <c r="AA151" s="120"/>
      <c r="AB151" s="120"/>
      <c r="AC151" s="120"/>
      <c r="AD151" s="120"/>
      <c r="AE151" s="120"/>
      <c r="AF151" s="128">
        <v>1099.01</v>
      </c>
      <c r="AG151" s="120" t="s">
        <v>2095</v>
      </c>
      <c r="AH151" s="120"/>
      <c r="AI151" s="120"/>
      <c r="AJ151" s="120"/>
      <c r="AK151" s="120"/>
      <c r="AL151" s="128">
        <v>2285.1999999999998</v>
      </c>
      <c r="AM151" s="120" t="s">
        <v>2187</v>
      </c>
      <c r="AN151" s="120"/>
      <c r="AO151" s="120"/>
      <c r="AP151" s="61">
        <f>SUM(AP142:AP150)</f>
        <v>485745.73</v>
      </c>
      <c r="AQ151" s="120"/>
      <c r="AR151" s="120"/>
      <c r="AS151" s="120"/>
      <c r="AT151" s="120"/>
      <c r="AU151" s="120"/>
      <c r="BB151" s="138">
        <v>4372.92</v>
      </c>
      <c r="BC151" s="24" t="s">
        <v>2532</v>
      </c>
      <c r="BD151" s="120"/>
      <c r="BE151" s="120"/>
      <c r="BF151" s="120"/>
      <c r="BG151" s="120"/>
      <c r="BH151" s="120"/>
      <c r="BI151" s="120"/>
    </row>
    <row r="152" spans="1:92" x14ac:dyDescent="0.25">
      <c r="B152" s="116"/>
      <c r="C152" s="24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8">
        <v>7539.29</v>
      </c>
      <c r="AG152" s="127" t="s">
        <v>2096</v>
      </c>
      <c r="AH152" s="120"/>
      <c r="AI152" s="120"/>
      <c r="AJ152" s="120"/>
      <c r="AK152" s="120"/>
      <c r="AL152" s="129">
        <f>SUM(AL148:AL151)</f>
        <v>428413.2</v>
      </c>
      <c r="AM152" s="120"/>
      <c r="AN152" s="120"/>
      <c r="AO152" s="120"/>
      <c r="AP152" s="120"/>
      <c r="AQ152" s="120"/>
      <c r="AR152" s="120"/>
      <c r="AS152" s="120"/>
      <c r="AT152" s="120"/>
      <c r="AU152" s="120"/>
      <c r="BA152" s="136"/>
      <c r="BB152" s="138">
        <v>2603.23</v>
      </c>
      <c r="BC152" s="24" t="s">
        <v>2534</v>
      </c>
      <c r="BD152" s="120"/>
      <c r="BE152" s="120"/>
      <c r="BF152" s="120"/>
      <c r="BG152" s="120"/>
      <c r="BH152" s="120"/>
      <c r="BI152" s="120"/>
    </row>
    <row r="153" spans="1:92" x14ac:dyDescent="0.25">
      <c r="B153" s="31"/>
      <c r="C153" s="24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9">
        <f>SUM(AF147:AF152)</f>
        <v>439832.77999999997</v>
      </c>
      <c r="AG153" s="120"/>
      <c r="AH153" s="120"/>
      <c r="AI153" s="120"/>
      <c r="AJ153" s="120"/>
      <c r="AK153" s="120"/>
      <c r="AL153" s="128"/>
      <c r="AM153" s="120"/>
      <c r="AN153" s="120"/>
      <c r="AO153" s="120"/>
      <c r="AP153" s="120"/>
      <c r="AQ153" s="120"/>
      <c r="AR153" s="120"/>
      <c r="AS153" s="120"/>
      <c r="AT153" s="120"/>
      <c r="AU153" s="120"/>
      <c r="BB153" s="138">
        <v>4164</v>
      </c>
      <c r="BC153" s="24" t="s">
        <v>2543</v>
      </c>
      <c r="BD153" s="120"/>
      <c r="BE153" s="120"/>
      <c r="BF153" s="120"/>
      <c r="BG153" s="120"/>
      <c r="BH153" s="120"/>
      <c r="BI153" s="120"/>
    </row>
    <row r="154" spans="1:92" x14ac:dyDescent="0.25">
      <c r="B154" s="34"/>
      <c r="C154" s="54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8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BB154" s="138">
        <v>1970</v>
      </c>
      <c r="BC154" s="24" t="s">
        <v>2555</v>
      </c>
      <c r="BD154" s="120"/>
      <c r="BE154" s="120"/>
      <c r="BF154" s="120"/>
      <c r="BG154" s="120"/>
      <c r="BH154" s="120"/>
      <c r="BI154" s="120"/>
    </row>
    <row r="155" spans="1:92" x14ac:dyDescent="0.25">
      <c r="B155" s="31"/>
      <c r="C155" s="24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BB155" s="138">
        <f>5854+1099</f>
        <v>6953</v>
      </c>
      <c r="BC155" s="24" t="s">
        <v>2560</v>
      </c>
      <c r="BD155" s="120"/>
      <c r="BE155" s="120"/>
      <c r="BF155" s="120"/>
      <c r="BG155" s="120"/>
      <c r="BH155" s="120"/>
      <c r="BI155" s="120"/>
    </row>
    <row r="156" spans="1:92" x14ac:dyDescent="0.25">
      <c r="B156" s="31"/>
      <c r="C156" s="24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BB156" s="138">
        <v>2444</v>
      </c>
      <c r="BC156" s="24" t="s">
        <v>2563</v>
      </c>
      <c r="BD156" s="120"/>
      <c r="BE156" s="120"/>
      <c r="BF156" s="120"/>
      <c r="BG156" s="120"/>
      <c r="BH156" s="120"/>
      <c r="BI156" s="120"/>
    </row>
    <row r="157" spans="1:92" x14ac:dyDescent="0.25">
      <c r="B157" s="31"/>
      <c r="C157" s="24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BB157" s="62">
        <f>SUM(BB131:BB156)</f>
        <v>2183662.9</v>
      </c>
      <c r="BC157" s="15"/>
      <c r="BD157" s="9"/>
    </row>
    <row r="158" spans="1:92" x14ac:dyDescent="0.25">
      <c r="B158" s="35"/>
      <c r="C158" s="58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BB158" s="62"/>
    </row>
    <row r="159" spans="1:92" x14ac:dyDescent="0.25">
      <c r="B159" s="31"/>
      <c r="C159" s="24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BB159" s="138"/>
    </row>
    <row r="160" spans="1:92" x14ac:dyDescent="0.25">
      <c r="B160" s="36"/>
      <c r="C160" s="13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BB160" s="140"/>
    </row>
    <row r="161" spans="4:54" x14ac:dyDescent="0.25"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BB161" s="136"/>
    </row>
    <row r="162" spans="4:54" x14ac:dyDescent="0.25"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</row>
    <row r="163" spans="4:54" x14ac:dyDescent="0.25"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</row>
    <row r="164" spans="4:54" x14ac:dyDescent="0.25"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</row>
    <row r="165" spans="4:54" x14ac:dyDescent="0.25"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</row>
    <row r="166" spans="4:54" x14ac:dyDescent="0.25"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</row>
    <row r="167" spans="4:54" x14ac:dyDescent="0.25"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</row>
    <row r="168" spans="4:54" x14ac:dyDescent="0.25"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</row>
    <row r="169" spans="4:54" x14ac:dyDescent="0.25"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</row>
    <row r="170" spans="4:54" x14ac:dyDescent="0.25"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</row>
    <row r="171" spans="4:54" x14ac:dyDescent="0.25"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</row>
    <row r="172" spans="4:54" x14ac:dyDescent="0.25"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</row>
    <row r="173" spans="4:54" x14ac:dyDescent="0.25"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</row>
    <row r="174" spans="4:54" x14ac:dyDescent="0.25"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</row>
    <row r="175" spans="4:54" x14ac:dyDescent="0.25"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</row>
    <row r="176" spans="4:54" x14ac:dyDescent="0.25"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</row>
    <row r="177" spans="4:47" x14ac:dyDescent="0.25"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</row>
    <row r="178" spans="4:47" x14ac:dyDescent="0.25"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</row>
    <row r="179" spans="4:47" x14ac:dyDescent="0.25"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</row>
    <row r="180" spans="4:47" x14ac:dyDescent="0.25"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</row>
    <row r="181" spans="4:47" x14ac:dyDescent="0.25"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</row>
    <row r="182" spans="4:47" x14ac:dyDescent="0.25"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</row>
    <row r="183" spans="4:47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</row>
    <row r="184" spans="4:47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</row>
    <row r="185" spans="4:47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</row>
    <row r="186" spans="4:47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86"/>
  <sheetViews>
    <sheetView zoomScale="90" zoomScaleNormal="90" workbookViewId="0">
      <pane xSplit="1" ySplit="1" topLeftCell="BD2" activePane="bottomRight" state="frozen"/>
      <selection pane="topRight" activeCell="B1" sqref="B1"/>
      <selection pane="bottomLeft" activeCell="A2" sqref="A2"/>
      <selection pane="bottomRight" activeCell="AZ124" sqref="AZ124:AZ126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2.7109375" bestFit="1" customWidth="1"/>
    <col min="8" max="8" width="12.7109375" bestFit="1" customWidth="1"/>
    <col min="9" max="10" width="12.28515625" bestFit="1" customWidth="1"/>
    <col min="12" max="12" width="12.7109375" bestFit="1" customWidth="1"/>
    <col min="14" max="14" width="13.140625" bestFit="1" customWidth="1"/>
    <col min="16" max="16" width="12.7109375" bestFit="1" customWidth="1"/>
    <col min="18" max="18" width="12.140625" customWidth="1"/>
    <col min="20" max="20" width="12.5703125" customWidth="1"/>
    <col min="22" max="22" width="12.7109375" bestFit="1" customWidth="1"/>
    <col min="24" max="24" width="13.5703125" bestFit="1" customWidth="1"/>
    <col min="26" max="26" width="12.28515625" bestFit="1" customWidth="1"/>
    <col min="28" max="28" width="13.85546875" bestFit="1" customWidth="1"/>
    <col min="30" max="30" width="13.85546875" bestFit="1" customWidth="1"/>
    <col min="32" max="32" width="12.7109375" customWidth="1"/>
    <col min="34" max="34" width="13.5703125" bestFit="1" customWidth="1"/>
    <col min="36" max="36" width="12.7109375" bestFit="1" customWidth="1"/>
    <col min="38" max="38" width="13.85546875" bestFit="1" customWidth="1"/>
    <col min="40" max="40" width="12.7109375" customWidth="1"/>
    <col min="42" max="42" width="13.7109375" customWidth="1"/>
    <col min="44" max="44" width="12" customWidth="1"/>
    <col min="46" max="46" width="13.85546875" bestFit="1" customWidth="1"/>
    <col min="48" max="48" width="12.7109375" bestFit="1" customWidth="1"/>
    <col min="50" max="50" width="13.85546875" bestFit="1" customWidth="1"/>
    <col min="52" max="52" width="13.85546875" bestFit="1" customWidth="1"/>
    <col min="54" max="54" width="13.85546875" bestFit="1" customWidth="1"/>
    <col min="55" max="55" width="12.7109375" bestFit="1" customWidth="1"/>
    <col min="56" max="56" width="11.5703125" bestFit="1" customWidth="1"/>
    <col min="58" max="58" width="13.85546875" bestFit="1" customWidth="1"/>
    <col min="60" max="60" width="13.140625" bestFit="1" customWidth="1"/>
    <col min="61" max="61" width="11.5703125" bestFit="1" customWidth="1"/>
    <col min="62" max="62" width="13.42578125" bestFit="1" customWidth="1"/>
    <col min="64" max="64" width="14.85546875" bestFit="1" customWidth="1"/>
    <col min="66" max="66" width="15.28515625" bestFit="1" customWidth="1"/>
  </cols>
  <sheetData>
    <row r="1" spans="1:92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spans="1:92" x14ac:dyDescent="0.25">
      <c r="A2" s="47"/>
      <c r="B2" s="141"/>
      <c r="C2" s="142"/>
      <c r="D2" s="141"/>
      <c r="E2" s="142"/>
      <c r="F2" s="141">
        <v>42795</v>
      </c>
      <c r="G2" s="142"/>
      <c r="H2" s="141">
        <v>42796</v>
      </c>
      <c r="I2" s="142"/>
      <c r="J2" s="141">
        <v>42797</v>
      </c>
      <c r="K2" s="142"/>
      <c r="L2" s="141">
        <v>42798</v>
      </c>
      <c r="M2" s="142"/>
      <c r="N2" s="141">
        <v>42799</v>
      </c>
      <c r="O2" s="142"/>
      <c r="P2" s="141">
        <v>42800</v>
      </c>
      <c r="Q2" s="142"/>
      <c r="R2" s="141">
        <v>42801</v>
      </c>
      <c r="S2" s="142"/>
      <c r="T2" s="141">
        <v>42774</v>
      </c>
      <c r="U2" s="142"/>
      <c r="V2" s="141">
        <v>42775</v>
      </c>
      <c r="W2" s="142"/>
      <c r="X2" s="141">
        <v>42776</v>
      </c>
      <c r="Y2" s="142"/>
      <c r="Z2" s="141">
        <v>42805</v>
      </c>
      <c r="AA2" s="142"/>
      <c r="AB2" s="141">
        <v>42806</v>
      </c>
      <c r="AC2" s="142"/>
      <c r="AD2" s="141">
        <v>42807</v>
      </c>
      <c r="AE2" s="142"/>
      <c r="AF2" s="141"/>
      <c r="AG2" s="142"/>
      <c r="AH2" s="141">
        <v>42809</v>
      </c>
      <c r="AI2" s="142"/>
      <c r="AJ2" s="141">
        <v>42810</v>
      </c>
      <c r="AK2" s="142"/>
      <c r="AL2" s="141">
        <v>42811</v>
      </c>
      <c r="AM2" s="142"/>
      <c r="AN2" s="141">
        <v>42812</v>
      </c>
      <c r="AO2" s="142"/>
      <c r="AP2" s="141">
        <v>42813</v>
      </c>
      <c r="AQ2" s="55"/>
      <c r="AR2" s="2">
        <v>42814</v>
      </c>
      <c r="AS2" s="55"/>
      <c r="AT2" s="2">
        <v>42815</v>
      </c>
      <c r="AU2" s="55"/>
      <c r="AV2" s="2">
        <v>42816</v>
      </c>
      <c r="AW2" s="55"/>
      <c r="AX2" s="2">
        <v>42817</v>
      </c>
      <c r="AY2" s="55"/>
      <c r="AZ2" s="2">
        <v>42818</v>
      </c>
      <c r="BA2" s="55"/>
      <c r="BB2" s="2">
        <v>42819</v>
      </c>
      <c r="BC2" s="55"/>
      <c r="BD2" s="2">
        <v>42820</v>
      </c>
      <c r="BE2" s="55"/>
      <c r="BF2" s="2">
        <v>42821</v>
      </c>
      <c r="BG2" s="55"/>
      <c r="BH2" s="2">
        <v>42822</v>
      </c>
      <c r="BI2" s="55"/>
      <c r="BJ2" s="2">
        <v>42823</v>
      </c>
      <c r="BK2" s="55"/>
      <c r="BL2" s="2">
        <v>42824</v>
      </c>
      <c r="BM2" s="55"/>
      <c r="BN2" s="2">
        <v>42825</v>
      </c>
      <c r="BO2" s="55"/>
      <c r="BP2" s="2"/>
      <c r="BQ2" s="55"/>
      <c r="BR2" s="2"/>
      <c r="BS2" s="55"/>
      <c r="BT2" s="2"/>
      <c r="BU2" s="55"/>
      <c r="BV2" s="2"/>
      <c r="BW2" s="55"/>
      <c r="BX2" s="2"/>
      <c r="BY2" s="55"/>
      <c r="BZ2" s="2"/>
      <c r="CA2" s="55"/>
      <c r="CB2" s="2"/>
      <c r="CC2" s="55"/>
      <c r="CD2" s="2"/>
      <c r="CE2" s="55"/>
      <c r="CF2" s="2"/>
      <c r="CG2" s="55"/>
      <c r="CH2" s="2"/>
      <c r="CI2" s="55"/>
      <c r="CJ2" s="2"/>
      <c r="CK2" s="55"/>
      <c r="CL2" s="2"/>
      <c r="CM2" s="55"/>
      <c r="CN2" s="2"/>
    </row>
    <row r="3" spans="1:92" x14ac:dyDescent="0.25">
      <c r="A3" s="38" t="s">
        <v>0</v>
      </c>
      <c r="B3" s="143"/>
      <c r="C3" s="15"/>
      <c r="D3" s="143"/>
      <c r="E3" s="15"/>
      <c r="F3" s="143">
        <v>302658.59999999998</v>
      </c>
      <c r="G3" s="15"/>
      <c r="H3" s="143">
        <v>699880.39</v>
      </c>
      <c r="I3" s="15"/>
      <c r="J3" s="143">
        <v>62513.8</v>
      </c>
      <c r="K3" s="15"/>
      <c r="L3" s="143">
        <v>187153.79</v>
      </c>
      <c r="M3" s="15"/>
      <c r="N3" s="143"/>
      <c r="O3" s="15"/>
      <c r="P3" s="143">
        <v>122271.23</v>
      </c>
      <c r="Q3" s="15"/>
      <c r="R3" s="143">
        <v>287789.03000000003</v>
      </c>
      <c r="S3" s="15"/>
      <c r="T3" s="143">
        <f>36842.23+5968.39</f>
        <v>42810.62</v>
      </c>
      <c r="U3" s="15"/>
      <c r="V3" s="143">
        <v>91295.58</v>
      </c>
      <c r="W3" s="15"/>
      <c r="X3" s="143">
        <v>247121.45</v>
      </c>
      <c r="Y3" s="15"/>
      <c r="Z3" s="143">
        <v>77601.539999999994</v>
      </c>
      <c r="AA3" s="15"/>
      <c r="AB3" s="143">
        <v>709575.95</v>
      </c>
      <c r="AC3" s="15"/>
      <c r="AD3" s="143">
        <v>94277.99</v>
      </c>
      <c r="AE3" s="15"/>
      <c r="AF3" s="143"/>
      <c r="AG3" s="15"/>
      <c r="AH3" s="143">
        <v>243904.68</v>
      </c>
      <c r="AI3" s="15"/>
      <c r="AJ3" s="143">
        <v>38958.93</v>
      </c>
      <c r="AK3" s="15"/>
      <c r="AL3" s="143">
        <f>177696.62</f>
        <v>177696.62</v>
      </c>
      <c r="AM3" s="15"/>
      <c r="AN3" s="143">
        <v>80135.710000000006</v>
      </c>
      <c r="AO3" s="15"/>
      <c r="AP3" s="143"/>
      <c r="AQ3" s="60"/>
      <c r="AR3" s="3"/>
      <c r="AS3" s="60"/>
      <c r="AT3" s="3">
        <v>209241.8</v>
      </c>
      <c r="AU3" s="60"/>
      <c r="AV3" s="3">
        <v>330162.40999999997</v>
      </c>
      <c r="AW3" s="60"/>
      <c r="AX3" s="3">
        <v>28628.09</v>
      </c>
      <c r="AY3" s="60"/>
      <c r="AZ3" s="3">
        <v>40968.31</v>
      </c>
      <c r="BA3" s="60"/>
      <c r="BB3" s="3">
        <v>202968.5</v>
      </c>
      <c r="BC3" s="60"/>
      <c r="BD3" s="3"/>
      <c r="BE3" s="60"/>
      <c r="BF3" s="3">
        <v>2408.59</v>
      </c>
      <c r="BG3" s="60"/>
      <c r="BH3" s="3">
        <v>1311.23</v>
      </c>
      <c r="BI3" s="60"/>
      <c r="BJ3" s="3">
        <v>75.41</v>
      </c>
      <c r="BK3" s="60"/>
      <c r="BL3" s="3">
        <v>132268.46</v>
      </c>
      <c r="BM3" s="60"/>
      <c r="BN3" s="3">
        <v>94441.919999999998</v>
      </c>
      <c r="BO3" s="60"/>
      <c r="BP3" s="3"/>
      <c r="BQ3" s="60"/>
      <c r="BR3" s="3"/>
      <c r="BS3" s="60"/>
      <c r="BT3" s="3"/>
      <c r="BU3" s="60"/>
      <c r="BV3" s="3"/>
      <c r="BW3" s="60"/>
      <c r="BX3" s="3"/>
      <c r="BY3" s="60"/>
      <c r="BZ3" s="3"/>
      <c r="CA3" s="60"/>
      <c r="CB3" s="3"/>
      <c r="CC3" s="60"/>
      <c r="CD3" s="3"/>
      <c r="CE3" s="60"/>
      <c r="CF3" s="3"/>
      <c r="CG3" s="60"/>
      <c r="CH3" s="3"/>
      <c r="CI3" s="60"/>
      <c r="CJ3" s="3"/>
      <c r="CK3" s="60"/>
      <c r="CL3" s="3"/>
      <c r="CM3" s="60"/>
      <c r="CN3" s="3"/>
    </row>
    <row r="4" spans="1:92" x14ac:dyDescent="0.25">
      <c r="A4" s="39"/>
      <c r="B4" s="98"/>
      <c r="C4" s="15"/>
      <c r="D4" s="98"/>
      <c r="E4" s="15"/>
      <c r="F4" s="98"/>
      <c r="G4" s="15"/>
      <c r="H4" s="98"/>
      <c r="I4" s="15"/>
      <c r="J4" s="98"/>
      <c r="K4" s="15"/>
      <c r="L4" s="98"/>
      <c r="M4" s="15"/>
      <c r="N4" s="98"/>
      <c r="O4" s="15"/>
      <c r="P4" s="98"/>
      <c r="Q4" s="15"/>
      <c r="R4" s="98"/>
      <c r="S4" s="15"/>
      <c r="T4" s="98"/>
      <c r="U4" s="15"/>
      <c r="V4" s="98"/>
      <c r="W4" s="15"/>
      <c r="X4" s="98"/>
      <c r="Y4" s="15"/>
      <c r="Z4" s="98"/>
      <c r="AA4" s="15"/>
      <c r="AB4" s="98"/>
      <c r="AC4" s="15"/>
      <c r="AD4" s="98"/>
      <c r="AE4" s="15"/>
      <c r="AF4" s="98"/>
      <c r="AG4" s="15"/>
      <c r="AH4" s="98"/>
      <c r="AI4" s="15"/>
      <c r="AJ4" s="98"/>
      <c r="AK4" s="15"/>
      <c r="AL4" s="98"/>
      <c r="AM4" s="15"/>
      <c r="AN4" s="98"/>
      <c r="AO4" s="15"/>
      <c r="AP4" s="98"/>
      <c r="AQ4" s="60"/>
      <c r="AR4" s="5"/>
      <c r="AS4" s="60"/>
      <c r="AT4" s="5">
        <v>155739.32999999999</v>
      </c>
      <c r="AU4" s="60"/>
      <c r="AV4" s="5">
        <v>182389.45</v>
      </c>
      <c r="AW4" s="60"/>
      <c r="AX4" s="5">
        <v>17077.580000000002</v>
      </c>
      <c r="AY4" s="60"/>
      <c r="AZ4" s="5">
        <v>1640.22</v>
      </c>
      <c r="BA4" s="60"/>
      <c r="BB4" s="5"/>
      <c r="BC4" s="60"/>
      <c r="BD4" s="5"/>
      <c r="BE4" s="60"/>
      <c r="BF4" s="5">
        <v>362508.81</v>
      </c>
      <c r="BG4" s="60"/>
      <c r="BH4" s="5">
        <v>100489.35</v>
      </c>
      <c r="BI4" s="60"/>
      <c r="BJ4" s="5">
        <v>17570.52</v>
      </c>
      <c r="BK4" s="60"/>
      <c r="BL4" s="5">
        <v>23635.67</v>
      </c>
      <c r="BM4" s="60"/>
      <c r="BN4" s="5">
        <v>183999.01</v>
      </c>
      <c r="BO4" s="60"/>
      <c r="BP4" s="5"/>
      <c r="BQ4" s="60"/>
      <c r="BR4" s="5"/>
      <c r="BS4" s="60"/>
      <c r="BT4" s="5"/>
      <c r="BU4" s="60"/>
      <c r="BV4" s="5"/>
      <c r="BW4" s="60"/>
      <c r="BX4" s="5"/>
      <c r="BY4" s="60"/>
      <c r="BZ4" s="5"/>
      <c r="CA4" s="60"/>
      <c r="CB4" s="5"/>
      <c r="CC4" s="60"/>
      <c r="CD4" s="5"/>
      <c r="CE4" s="60"/>
      <c r="CF4" s="5"/>
      <c r="CG4" s="60"/>
      <c r="CH4" s="5"/>
      <c r="CI4" s="60"/>
      <c r="CJ4" s="5"/>
      <c r="CK4" s="60"/>
      <c r="CL4" s="5"/>
      <c r="CM4" s="60"/>
      <c r="CN4" s="5"/>
    </row>
    <row r="5" spans="1:92" x14ac:dyDescent="0.25">
      <c r="A5" s="48"/>
      <c r="B5" s="18"/>
      <c r="C5" s="59"/>
      <c r="D5" s="18"/>
      <c r="E5" s="59"/>
      <c r="F5" s="18"/>
      <c r="G5" s="59"/>
      <c r="H5" s="18"/>
      <c r="I5" s="59"/>
      <c r="J5" s="18"/>
      <c r="K5" s="59"/>
      <c r="L5" s="18"/>
      <c r="M5" s="59"/>
      <c r="N5" s="18"/>
      <c r="O5" s="59"/>
      <c r="P5" s="18">
        <v>85000</v>
      </c>
      <c r="Q5" s="59" t="s">
        <v>2772</v>
      </c>
      <c r="R5" s="18">
        <v>5746.08</v>
      </c>
      <c r="S5" s="59" t="s">
        <v>2824</v>
      </c>
      <c r="T5" s="18">
        <v>2900</v>
      </c>
      <c r="U5" s="59" t="s">
        <v>2876</v>
      </c>
      <c r="V5" s="75">
        <v>5000</v>
      </c>
      <c r="W5" s="59" t="s">
        <v>2929</v>
      </c>
      <c r="X5" s="18">
        <v>1000</v>
      </c>
      <c r="Y5" s="59" t="s">
        <v>2977</v>
      </c>
      <c r="Z5" s="18">
        <v>20000</v>
      </c>
      <c r="AA5" s="59" t="s">
        <v>3044</v>
      </c>
      <c r="AB5" s="18">
        <v>250000</v>
      </c>
      <c r="AC5" s="59" t="s">
        <v>3089</v>
      </c>
      <c r="AD5" s="18">
        <v>65000</v>
      </c>
      <c r="AE5" s="59" t="s">
        <v>3136</v>
      </c>
      <c r="AF5" s="18"/>
      <c r="AG5" s="59"/>
      <c r="AH5" s="18"/>
      <c r="AI5" s="59"/>
      <c r="AJ5" s="18"/>
      <c r="AK5" s="59"/>
      <c r="AL5" s="18"/>
      <c r="AM5" s="59"/>
      <c r="AN5" s="18"/>
      <c r="AO5" s="59"/>
      <c r="AP5" s="18"/>
      <c r="AQ5" s="56"/>
      <c r="AR5" s="18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18"/>
      <c r="BK5" s="59"/>
      <c r="BL5" s="18"/>
      <c r="BM5" s="59"/>
      <c r="BN5" s="18"/>
      <c r="BO5" s="59"/>
      <c r="BP5" s="6"/>
      <c r="BQ5" s="56"/>
      <c r="BR5" s="6"/>
      <c r="BS5" s="56"/>
      <c r="BT5" s="6"/>
      <c r="BU5" s="56"/>
      <c r="BV5" s="6"/>
      <c r="BW5" s="56"/>
      <c r="BX5" s="6"/>
      <c r="BY5" s="56"/>
      <c r="BZ5" s="6"/>
      <c r="CA5" s="56"/>
      <c r="CB5" s="6"/>
      <c r="CC5" s="56"/>
      <c r="CD5" s="6"/>
      <c r="CE5" s="56"/>
      <c r="CF5" s="6"/>
      <c r="CG5" s="56"/>
      <c r="CH5" s="6"/>
      <c r="CI5" s="56"/>
      <c r="CJ5" s="6"/>
      <c r="CK5" s="56"/>
      <c r="CL5" s="6"/>
      <c r="CM5" s="56"/>
      <c r="CN5" s="6"/>
    </row>
    <row r="6" spans="1:92" x14ac:dyDescent="0.25">
      <c r="A6" s="41"/>
      <c r="B6" s="9"/>
      <c r="C6" s="15"/>
      <c r="D6" s="9"/>
      <c r="E6" s="15"/>
      <c r="F6" s="9">
        <v>15000</v>
      </c>
      <c r="G6" s="15" t="s">
        <v>2568</v>
      </c>
      <c r="H6" s="9">
        <v>5000</v>
      </c>
      <c r="I6" s="15" t="s">
        <v>2616</v>
      </c>
      <c r="J6" s="9">
        <v>201.31</v>
      </c>
      <c r="K6" s="15" t="s">
        <v>2672</v>
      </c>
      <c r="L6" s="9">
        <v>3250.01</v>
      </c>
      <c r="M6" s="15" t="s">
        <v>2721</v>
      </c>
      <c r="N6" s="9"/>
      <c r="O6" s="15"/>
      <c r="P6" s="9">
        <v>441.02</v>
      </c>
      <c r="Q6" s="15" t="s">
        <v>2777</v>
      </c>
      <c r="R6" s="9">
        <v>3000</v>
      </c>
      <c r="S6" s="15" t="s">
        <v>2825</v>
      </c>
      <c r="T6" s="9">
        <v>996.49</v>
      </c>
      <c r="U6" s="15" t="s">
        <v>2877</v>
      </c>
      <c r="V6" s="9">
        <v>50000</v>
      </c>
      <c r="W6" s="15" t="s">
        <v>2930</v>
      </c>
      <c r="X6" s="9">
        <v>80000</v>
      </c>
      <c r="Y6" s="15" t="s">
        <v>2979</v>
      </c>
      <c r="Z6" s="9">
        <v>5000</v>
      </c>
      <c r="AA6" s="15" t="s">
        <v>3046</v>
      </c>
      <c r="AB6" s="72">
        <v>3000</v>
      </c>
      <c r="AC6" s="86" t="s">
        <v>3093</v>
      </c>
      <c r="AD6" s="72">
        <v>336.57</v>
      </c>
      <c r="AE6" s="15" t="s">
        <v>3143</v>
      </c>
      <c r="AF6" s="9"/>
      <c r="AG6" s="15"/>
      <c r="AH6" s="72">
        <v>2500</v>
      </c>
      <c r="AI6" s="15" t="s">
        <v>3191</v>
      </c>
      <c r="AJ6" s="9">
        <v>181.09</v>
      </c>
      <c r="AK6" s="15" t="s">
        <v>3246</v>
      </c>
      <c r="AL6" s="9">
        <v>32000</v>
      </c>
      <c r="AM6" s="15" t="s">
        <v>3307</v>
      </c>
      <c r="AN6" s="9">
        <v>1099</v>
      </c>
      <c r="AO6" s="15" t="s">
        <v>3362</v>
      </c>
      <c r="AP6" s="9"/>
      <c r="AQ6" s="15"/>
      <c r="AR6" s="72"/>
      <c r="AS6" s="24"/>
      <c r="AT6" s="9">
        <v>5000</v>
      </c>
      <c r="AU6" s="15" t="s">
        <v>3409</v>
      </c>
      <c r="AV6" s="9">
        <v>1489.44</v>
      </c>
      <c r="AW6" s="15" t="s">
        <v>3451</v>
      </c>
      <c r="AX6" s="9">
        <v>100</v>
      </c>
      <c r="AY6" s="15" t="s">
        <v>3517</v>
      </c>
      <c r="AZ6" s="9">
        <v>22618</v>
      </c>
      <c r="BA6" s="15" t="s">
        <v>3569</v>
      </c>
      <c r="BB6" s="9">
        <v>5000</v>
      </c>
      <c r="BC6" s="15" t="s">
        <v>3600</v>
      </c>
      <c r="BD6" s="9"/>
      <c r="BE6" s="15"/>
      <c r="BF6" s="9">
        <v>1500</v>
      </c>
      <c r="BG6" s="15" t="s">
        <v>3660</v>
      </c>
      <c r="BH6" s="9">
        <v>1156.3800000000001</v>
      </c>
      <c r="BI6" s="15" t="s">
        <v>3675</v>
      </c>
      <c r="BJ6" s="9">
        <v>75.41</v>
      </c>
      <c r="BK6" s="15" t="s">
        <v>3688</v>
      </c>
      <c r="BL6" s="9">
        <v>71291.13</v>
      </c>
      <c r="BM6" s="15" t="s">
        <v>3691</v>
      </c>
      <c r="BN6" s="96">
        <v>15000</v>
      </c>
      <c r="BO6" s="15" t="s">
        <v>3846</v>
      </c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</row>
    <row r="7" spans="1:92" x14ac:dyDescent="0.25">
      <c r="A7" s="41"/>
      <c r="B7" s="7"/>
      <c r="C7" s="26"/>
      <c r="D7" s="7"/>
      <c r="E7" s="26"/>
      <c r="F7" s="9">
        <v>7657</v>
      </c>
      <c r="G7" s="26" t="s">
        <v>2571</v>
      </c>
      <c r="H7" s="7">
        <v>3000</v>
      </c>
      <c r="I7" s="26" t="s">
        <v>2617</v>
      </c>
      <c r="J7" s="7">
        <v>1191.99</v>
      </c>
      <c r="K7" s="26" t="s">
        <v>2673</v>
      </c>
      <c r="L7" s="7">
        <v>278.33999999999997</v>
      </c>
      <c r="M7" s="26" t="s">
        <v>2723</v>
      </c>
      <c r="N7" s="7"/>
      <c r="O7" s="26"/>
      <c r="P7" s="7">
        <v>1146.18</v>
      </c>
      <c r="Q7" s="26" t="s">
        <v>2781</v>
      </c>
      <c r="R7" s="7">
        <v>8800</v>
      </c>
      <c r="S7" s="26" t="s">
        <v>2826</v>
      </c>
      <c r="T7" s="7">
        <v>1353.07</v>
      </c>
      <c r="U7" s="26" t="s">
        <v>2884</v>
      </c>
      <c r="V7" s="9">
        <v>300</v>
      </c>
      <c r="W7" s="26" t="s">
        <v>2933</v>
      </c>
      <c r="X7" s="7">
        <v>13745</v>
      </c>
      <c r="Y7" s="26" t="s">
        <v>2983</v>
      </c>
      <c r="Z7" s="7">
        <v>500</v>
      </c>
      <c r="AA7" s="26" t="s">
        <v>3047</v>
      </c>
      <c r="AB7" s="87">
        <v>3200</v>
      </c>
      <c r="AC7" s="88" t="s">
        <v>3095</v>
      </c>
      <c r="AD7" s="72">
        <v>888.84</v>
      </c>
      <c r="AE7" s="26" t="s">
        <v>3151</v>
      </c>
      <c r="AF7" s="7"/>
      <c r="AG7" s="26"/>
      <c r="AH7" s="87">
        <v>8745.52</v>
      </c>
      <c r="AI7" s="26" t="s">
        <v>3193</v>
      </c>
      <c r="AJ7" s="7">
        <v>5500</v>
      </c>
      <c r="AK7" s="26" t="s">
        <v>3256</v>
      </c>
      <c r="AL7" s="7">
        <v>100000</v>
      </c>
      <c r="AM7" s="26" t="s">
        <v>3309</v>
      </c>
      <c r="AN7" s="7">
        <v>20000</v>
      </c>
      <c r="AO7" s="26" t="s">
        <v>3363</v>
      </c>
      <c r="AP7" s="7"/>
      <c r="AQ7" s="26"/>
      <c r="AR7" s="72"/>
      <c r="AS7" s="24"/>
      <c r="AT7" s="7">
        <v>60000</v>
      </c>
      <c r="AU7" s="26" t="s">
        <v>3410</v>
      </c>
      <c r="AV7" s="7">
        <v>19985</v>
      </c>
      <c r="AW7" s="26" t="s">
        <v>3454</v>
      </c>
      <c r="AX7" s="7">
        <v>182.69</v>
      </c>
      <c r="AY7" s="26" t="s">
        <v>3519</v>
      </c>
      <c r="AZ7" s="7">
        <v>2302.9</v>
      </c>
      <c r="BA7" s="26" t="s">
        <v>3572</v>
      </c>
      <c r="BB7" s="9">
        <v>181200</v>
      </c>
      <c r="BC7" s="26" t="s">
        <v>3601</v>
      </c>
      <c r="BD7" s="9"/>
      <c r="BE7" s="26"/>
      <c r="BF7" s="7">
        <v>232</v>
      </c>
      <c r="BG7" s="26" t="s">
        <v>3667</v>
      </c>
      <c r="BH7" s="7">
        <v>75.41</v>
      </c>
      <c r="BI7" s="26" t="s">
        <v>3678</v>
      </c>
      <c r="BJ7" s="7"/>
      <c r="BK7" s="26"/>
      <c r="BL7" s="7">
        <v>10700</v>
      </c>
      <c r="BM7" s="26" t="s">
        <v>3692</v>
      </c>
      <c r="BN7" s="96">
        <v>5000</v>
      </c>
      <c r="BO7" s="26" t="s">
        <v>3850</v>
      </c>
      <c r="BP7" s="7"/>
      <c r="BQ7" s="26"/>
      <c r="BR7" s="7"/>
      <c r="BS7" s="26"/>
      <c r="BT7" s="7"/>
      <c r="BU7" s="26"/>
      <c r="BV7" s="7"/>
      <c r="BW7" s="26"/>
      <c r="BX7" s="7"/>
      <c r="BY7" s="26"/>
      <c r="BZ7" s="7"/>
      <c r="CA7" s="26"/>
      <c r="CB7" s="7"/>
      <c r="CC7" s="26"/>
      <c r="CD7" s="7"/>
      <c r="CE7" s="26"/>
      <c r="CF7" s="7"/>
      <c r="CG7" s="26"/>
      <c r="CH7" s="7"/>
      <c r="CI7" s="26"/>
      <c r="CJ7" s="7"/>
      <c r="CK7" s="26"/>
      <c r="CL7" s="7"/>
      <c r="CM7" s="26"/>
      <c r="CN7" s="7"/>
    </row>
    <row r="8" spans="1:92" x14ac:dyDescent="0.25">
      <c r="A8" s="41"/>
      <c r="B8" s="7"/>
      <c r="C8" s="26"/>
      <c r="D8" s="7"/>
      <c r="E8" s="26"/>
      <c r="F8" s="9">
        <v>77.14</v>
      </c>
      <c r="G8" s="26" t="s">
        <v>2574</v>
      </c>
      <c r="H8" s="7">
        <v>250000</v>
      </c>
      <c r="I8" s="26" t="s">
        <v>2618</v>
      </c>
      <c r="J8" s="7">
        <v>25</v>
      </c>
      <c r="K8" s="26" t="s">
        <v>2674</v>
      </c>
      <c r="L8" s="7">
        <v>9883</v>
      </c>
      <c r="M8" s="26" t="s">
        <v>2724</v>
      </c>
      <c r="N8" s="7"/>
      <c r="O8" s="26"/>
      <c r="P8" s="7">
        <v>5000</v>
      </c>
      <c r="Q8" s="26" t="s">
        <v>2782</v>
      </c>
      <c r="R8" s="7">
        <v>5800</v>
      </c>
      <c r="S8" s="26" t="s">
        <v>2827</v>
      </c>
      <c r="T8" s="7">
        <v>340.47</v>
      </c>
      <c r="U8" s="26" t="s">
        <v>2893</v>
      </c>
      <c r="V8" s="9">
        <v>1084.75</v>
      </c>
      <c r="W8" s="26" t="s">
        <v>2935</v>
      </c>
      <c r="X8" s="9">
        <v>300</v>
      </c>
      <c r="Y8" s="26" t="s">
        <v>2984</v>
      </c>
      <c r="Z8" s="7">
        <v>4260.33</v>
      </c>
      <c r="AA8" s="26" t="s">
        <v>3048</v>
      </c>
      <c r="AB8" s="87">
        <v>100000</v>
      </c>
      <c r="AC8" s="12" t="s">
        <v>3096</v>
      </c>
      <c r="AD8" s="127">
        <v>7118.37</v>
      </c>
      <c r="AE8" s="15" t="s">
        <v>3156</v>
      </c>
      <c r="AF8" s="7"/>
      <c r="AG8" s="26"/>
      <c r="AH8" s="87">
        <v>75000</v>
      </c>
      <c r="AI8" s="26" t="s">
        <v>3194</v>
      </c>
      <c r="AJ8" s="7">
        <v>232</v>
      </c>
      <c r="AK8" s="26" t="s">
        <v>3263</v>
      </c>
      <c r="AL8" s="7">
        <v>2000</v>
      </c>
      <c r="AM8" s="26" t="s">
        <v>3310</v>
      </c>
      <c r="AN8" s="7">
        <v>8207.42</v>
      </c>
      <c r="AO8" s="26" t="s">
        <v>3366</v>
      </c>
      <c r="AP8" s="7"/>
      <c r="AQ8" s="26"/>
      <c r="AR8" s="7"/>
      <c r="AS8" s="26"/>
      <c r="AT8" s="7">
        <v>66400</v>
      </c>
      <c r="AU8" s="26" t="s">
        <v>3414</v>
      </c>
      <c r="AV8" s="7">
        <v>400</v>
      </c>
      <c r="AW8" s="26" t="s">
        <v>3457</v>
      </c>
      <c r="AX8" s="7">
        <v>18770</v>
      </c>
      <c r="AY8" s="26" t="s">
        <v>3521</v>
      </c>
      <c r="AZ8" s="7">
        <v>1099.01</v>
      </c>
      <c r="BA8" s="26" t="s">
        <v>3576</v>
      </c>
      <c r="BB8" s="9">
        <v>749.58</v>
      </c>
      <c r="BC8" s="26" t="s">
        <v>3606</v>
      </c>
      <c r="BD8" s="9"/>
      <c r="BE8" s="26"/>
      <c r="BF8" s="7">
        <v>676.59</v>
      </c>
      <c r="BG8" s="26" t="s">
        <v>3669</v>
      </c>
      <c r="BH8" s="7">
        <v>79.44</v>
      </c>
      <c r="BI8" s="26" t="s">
        <v>3679</v>
      </c>
      <c r="BJ8" s="96">
        <v>918.11</v>
      </c>
      <c r="BK8" s="26" t="s">
        <v>3803</v>
      </c>
      <c r="BL8" s="7">
        <v>13008.87</v>
      </c>
      <c r="BM8" s="26" t="s">
        <v>3693</v>
      </c>
      <c r="BN8" s="96">
        <v>20000</v>
      </c>
      <c r="BO8" s="26" t="s">
        <v>3851</v>
      </c>
      <c r="BP8" s="7"/>
      <c r="BQ8" s="26"/>
      <c r="BR8" s="7"/>
      <c r="BS8" s="26"/>
      <c r="BT8" s="7"/>
      <c r="BU8" s="26"/>
      <c r="BV8" s="7"/>
      <c r="BW8" s="26"/>
      <c r="BX8" s="7"/>
      <c r="BY8" s="26"/>
      <c r="BZ8" s="7"/>
      <c r="CA8" s="26"/>
      <c r="CB8" s="7"/>
      <c r="CC8" s="26"/>
      <c r="CD8" s="7"/>
      <c r="CE8" s="26"/>
      <c r="CF8" s="7"/>
      <c r="CG8" s="26"/>
      <c r="CH8" s="7"/>
      <c r="CI8" s="26"/>
      <c r="CJ8" s="7"/>
      <c r="CK8" s="26"/>
      <c r="CL8" s="7"/>
      <c r="CM8" s="26"/>
      <c r="CN8" s="7"/>
    </row>
    <row r="9" spans="1:92" x14ac:dyDescent="0.25">
      <c r="A9" s="41"/>
      <c r="B9" s="9"/>
      <c r="C9" s="15"/>
      <c r="D9" s="9"/>
      <c r="E9" s="15"/>
      <c r="F9" s="9">
        <v>330.36</v>
      </c>
      <c r="G9" s="15" t="s">
        <v>2575</v>
      </c>
      <c r="H9" s="9">
        <v>1291.96</v>
      </c>
      <c r="I9" s="15" t="s">
        <v>2621</v>
      </c>
      <c r="J9" s="9">
        <v>40</v>
      </c>
      <c r="K9" s="15" t="s">
        <v>2677</v>
      </c>
      <c r="L9" s="9">
        <v>157000</v>
      </c>
      <c r="M9" s="15" t="s">
        <v>2725</v>
      </c>
      <c r="N9" s="9"/>
      <c r="O9" s="15"/>
      <c r="P9" s="9">
        <v>581.69000000000005</v>
      </c>
      <c r="Q9" s="15" t="s">
        <v>2783</v>
      </c>
      <c r="R9" s="9">
        <v>1883.54</v>
      </c>
      <c r="S9" s="15" t="s">
        <v>2834</v>
      </c>
      <c r="T9" s="9">
        <v>5968.39</v>
      </c>
      <c r="U9" s="15" t="s">
        <v>2894</v>
      </c>
      <c r="V9" s="9">
        <v>13000</v>
      </c>
      <c r="W9" s="15" t="s">
        <v>2938</v>
      </c>
      <c r="X9" s="9">
        <v>53000</v>
      </c>
      <c r="Y9" s="15" t="s">
        <v>2986</v>
      </c>
      <c r="Z9" s="9">
        <v>5000</v>
      </c>
      <c r="AA9" s="15" t="s">
        <v>3050</v>
      </c>
      <c r="AB9" s="72">
        <v>10000</v>
      </c>
      <c r="AC9" s="85" t="s">
        <v>3100</v>
      </c>
      <c r="AD9" s="72">
        <v>1099.01</v>
      </c>
      <c r="AE9" s="15" t="s">
        <v>3163</v>
      </c>
      <c r="AF9" s="9"/>
      <c r="AG9" s="15"/>
      <c r="AH9" s="72">
        <v>1646.83</v>
      </c>
      <c r="AI9" s="15" t="s">
        <v>3197</v>
      </c>
      <c r="AJ9" s="9">
        <v>1299</v>
      </c>
      <c r="AK9" s="15" t="s">
        <v>3271</v>
      </c>
      <c r="AL9" s="9">
        <v>9000</v>
      </c>
      <c r="AM9" s="15" t="s">
        <v>3311</v>
      </c>
      <c r="AN9" s="9">
        <v>523.23</v>
      </c>
      <c r="AO9" s="15" t="s">
        <v>3367</v>
      </c>
      <c r="AP9" s="9"/>
      <c r="AQ9" s="15"/>
      <c r="AR9" s="9"/>
      <c r="AS9" s="15"/>
      <c r="AT9" s="9">
        <v>58000</v>
      </c>
      <c r="AU9" s="15" t="s">
        <v>3415</v>
      </c>
      <c r="AV9" s="9">
        <v>5000</v>
      </c>
      <c r="AW9" s="15" t="s">
        <v>3459</v>
      </c>
      <c r="AX9" s="9">
        <v>1000</v>
      </c>
      <c r="AY9" s="15" t="s">
        <v>3531</v>
      </c>
      <c r="AZ9" s="9">
        <v>1937</v>
      </c>
      <c r="BA9" s="15" t="s">
        <v>3578</v>
      </c>
      <c r="BB9" s="72">
        <v>1099.01</v>
      </c>
      <c r="BC9" s="24" t="s">
        <v>3607</v>
      </c>
      <c r="BD9" s="9"/>
      <c r="BE9" s="15"/>
      <c r="BF9" s="9"/>
      <c r="BG9" s="15"/>
      <c r="BH9" s="9"/>
      <c r="BI9" s="15"/>
      <c r="BJ9" s="96">
        <v>100</v>
      </c>
      <c r="BK9" s="15" t="s">
        <v>3813</v>
      </c>
      <c r="BL9" s="9">
        <v>20000</v>
      </c>
      <c r="BM9" s="15" t="s">
        <v>3694</v>
      </c>
      <c r="BN9" s="96">
        <v>1644.26</v>
      </c>
      <c r="BO9" s="15" t="s">
        <v>3852</v>
      </c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</row>
    <row r="10" spans="1:92" x14ac:dyDescent="0.25">
      <c r="A10" s="41"/>
      <c r="B10" s="7"/>
      <c r="C10" s="26"/>
      <c r="D10" s="7"/>
      <c r="E10" s="26"/>
      <c r="F10" s="9">
        <v>190000</v>
      </c>
      <c r="G10" s="26" t="s">
        <v>2579</v>
      </c>
      <c r="H10" s="7">
        <v>180000</v>
      </c>
      <c r="I10" s="26" t="s">
        <v>2624</v>
      </c>
      <c r="J10" s="7">
        <v>23824</v>
      </c>
      <c r="K10" s="26" t="s">
        <v>2678</v>
      </c>
      <c r="L10" s="7">
        <v>175</v>
      </c>
      <c r="M10" s="26" t="s">
        <v>2726</v>
      </c>
      <c r="N10" s="7"/>
      <c r="O10" s="26"/>
      <c r="P10" s="7">
        <v>17354.95</v>
      </c>
      <c r="Q10" s="26" t="s">
        <v>2784</v>
      </c>
      <c r="R10" s="7">
        <v>800</v>
      </c>
      <c r="S10" s="26" t="s">
        <v>2835</v>
      </c>
      <c r="T10" s="7">
        <v>1099.01</v>
      </c>
      <c r="U10" s="26" t="s">
        <v>2899</v>
      </c>
      <c r="V10" s="9">
        <v>175</v>
      </c>
      <c r="W10" s="26" t="s">
        <v>2940</v>
      </c>
      <c r="X10" s="9">
        <v>5000</v>
      </c>
      <c r="Y10" s="26" t="s">
        <v>2987</v>
      </c>
      <c r="Z10" s="7">
        <v>20000</v>
      </c>
      <c r="AA10" s="26" t="s">
        <v>3055</v>
      </c>
      <c r="AB10" s="87">
        <v>10000</v>
      </c>
      <c r="AC10" s="88" t="s">
        <v>3101</v>
      </c>
      <c r="AD10" s="72">
        <v>4395</v>
      </c>
      <c r="AE10" s="26" t="s">
        <v>3165</v>
      </c>
      <c r="AF10" s="7"/>
      <c r="AG10" s="26"/>
      <c r="AH10" s="87">
        <v>1000</v>
      </c>
      <c r="AI10" s="26" t="s">
        <v>3199</v>
      </c>
      <c r="AJ10" s="7">
        <v>1587.01</v>
      </c>
      <c r="AK10" s="26" t="s">
        <v>3272</v>
      </c>
      <c r="AL10" s="9">
        <v>4965.3999999999996</v>
      </c>
      <c r="AM10" s="26" t="s">
        <v>3313</v>
      </c>
      <c r="AN10" s="7">
        <v>10000</v>
      </c>
      <c r="AO10" s="26" t="s">
        <v>3368</v>
      </c>
      <c r="AP10" s="7"/>
      <c r="AQ10" s="26"/>
      <c r="AR10" s="7"/>
      <c r="AS10" s="26"/>
      <c r="AT10" s="7">
        <v>1000</v>
      </c>
      <c r="AU10" s="26" t="s">
        <v>3422</v>
      </c>
      <c r="AV10" s="7">
        <v>1000</v>
      </c>
      <c r="AW10" s="26" t="s">
        <v>3460</v>
      </c>
      <c r="AX10" s="7">
        <v>1000</v>
      </c>
      <c r="AY10" s="26" t="s">
        <v>3532</v>
      </c>
      <c r="AZ10" s="7">
        <v>6074.83</v>
      </c>
      <c r="BA10" s="26" t="s">
        <v>3579</v>
      </c>
      <c r="BB10" s="9">
        <v>4631.43</v>
      </c>
      <c r="BC10" s="26" t="s">
        <v>3615</v>
      </c>
      <c r="BD10" s="9"/>
      <c r="BE10" s="26"/>
      <c r="BF10" s="7">
        <v>10000</v>
      </c>
      <c r="BG10" s="26" t="s">
        <v>3714</v>
      </c>
      <c r="BH10" s="7">
        <v>9.1</v>
      </c>
      <c r="BI10" s="26" t="s">
        <v>3763</v>
      </c>
      <c r="BJ10" s="96">
        <v>1099.01</v>
      </c>
      <c r="BK10" s="26" t="s">
        <v>3814</v>
      </c>
      <c r="BL10" s="7">
        <v>2412.25</v>
      </c>
      <c r="BM10" s="26" t="s">
        <v>3696</v>
      </c>
      <c r="BN10" s="96">
        <v>500</v>
      </c>
      <c r="BO10" s="26" t="s">
        <v>3857</v>
      </c>
      <c r="BP10" s="7"/>
      <c r="BQ10" s="26"/>
      <c r="BR10" s="7"/>
      <c r="BS10" s="26"/>
      <c r="BT10" s="7"/>
      <c r="BU10" s="26"/>
      <c r="BV10" s="7"/>
      <c r="BW10" s="26"/>
      <c r="BX10" s="7"/>
      <c r="BY10" s="26"/>
      <c r="BZ10" s="7"/>
      <c r="CA10" s="26"/>
      <c r="CB10" s="7"/>
      <c r="CC10" s="26"/>
      <c r="CD10" s="7"/>
      <c r="CE10" s="26"/>
      <c r="CF10" s="7"/>
      <c r="CG10" s="26"/>
      <c r="CH10" s="7"/>
      <c r="CI10" s="26"/>
      <c r="CJ10" s="7"/>
      <c r="CK10" s="26"/>
      <c r="CL10" s="7"/>
      <c r="CM10" s="26"/>
      <c r="CN10" s="7"/>
    </row>
    <row r="11" spans="1:92" x14ac:dyDescent="0.25">
      <c r="A11" s="41"/>
      <c r="B11" s="7"/>
      <c r="C11" s="26"/>
      <c r="D11" s="7"/>
      <c r="E11" s="7"/>
      <c r="F11" s="9">
        <v>2814.74</v>
      </c>
      <c r="G11" s="26" t="s">
        <v>2584</v>
      </c>
      <c r="H11" s="7">
        <v>198.67</v>
      </c>
      <c r="I11" s="26" t="s">
        <v>2631</v>
      </c>
      <c r="J11" s="7">
        <v>1995</v>
      </c>
      <c r="K11" s="26" t="s">
        <v>2679</v>
      </c>
      <c r="L11" s="7">
        <v>1003.3</v>
      </c>
      <c r="M11" s="26" t="s">
        <v>2729</v>
      </c>
      <c r="N11" s="7"/>
      <c r="O11" s="26"/>
      <c r="P11" s="7">
        <v>504.99</v>
      </c>
      <c r="Q11" s="26" t="s">
        <v>2790</v>
      </c>
      <c r="R11" s="7">
        <v>1135.03</v>
      </c>
      <c r="S11" s="26" t="s">
        <v>2838</v>
      </c>
      <c r="T11" s="7">
        <v>1970</v>
      </c>
      <c r="U11" s="26" t="s">
        <v>2900</v>
      </c>
      <c r="V11" s="9">
        <v>1610</v>
      </c>
      <c r="W11" s="26" t="s">
        <v>2945</v>
      </c>
      <c r="X11" s="9">
        <v>505.01</v>
      </c>
      <c r="Y11" s="26" t="s">
        <v>2988</v>
      </c>
      <c r="Z11" s="7">
        <v>2390.0100000000002</v>
      </c>
      <c r="AA11" s="26" t="s">
        <v>3060</v>
      </c>
      <c r="AB11" s="87">
        <v>2000</v>
      </c>
      <c r="AC11" s="86" t="s">
        <v>3102</v>
      </c>
      <c r="AD11" s="72">
        <v>1099.01</v>
      </c>
      <c r="AE11" s="26" t="s">
        <v>3166</v>
      </c>
      <c r="AF11" s="7"/>
      <c r="AG11" s="26"/>
      <c r="AH11" s="87">
        <v>115000</v>
      </c>
      <c r="AI11" s="26" t="s">
        <v>3206</v>
      </c>
      <c r="AJ11" s="7">
        <v>1970</v>
      </c>
      <c r="AK11" s="26" t="s">
        <v>3273</v>
      </c>
      <c r="AL11" s="9">
        <v>1000</v>
      </c>
      <c r="AM11" s="26" t="s">
        <v>3328</v>
      </c>
      <c r="AN11" s="7">
        <v>23050</v>
      </c>
      <c r="AO11" s="26" t="s">
        <v>3373</v>
      </c>
      <c r="AP11" s="9"/>
      <c r="AQ11" s="15"/>
      <c r="AR11" s="7"/>
      <c r="AS11" s="26"/>
      <c r="AT11" s="7">
        <v>511</v>
      </c>
      <c r="AU11" s="26" t="s">
        <v>3423</v>
      </c>
      <c r="AV11" s="7">
        <v>250257</v>
      </c>
      <c r="AW11" s="26" t="s">
        <v>3462</v>
      </c>
      <c r="AX11" s="7">
        <v>1077.94</v>
      </c>
      <c r="AY11" s="26" t="s">
        <v>3535</v>
      </c>
      <c r="AZ11" s="9">
        <v>1099.01</v>
      </c>
      <c r="BA11" s="15" t="s">
        <v>3580</v>
      </c>
      <c r="BB11" s="9">
        <v>1099.01</v>
      </c>
      <c r="BC11" s="26" t="s">
        <v>3617</v>
      </c>
      <c r="BD11" s="9"/>
      <c r="BE11" s="26"/>
      <c r="BF11" s="7">
        <v>10000</v>
      </c>
      <c r="BG11" s="26" t="s">
        <v>3715</v>
      </c>
      <c r="BH11" s="7">
        <v>12260</v>
      </c>
      <c r="BI11" s="26" t="s">
        <v>3764</v>
      </c>
      <c r="BJ11" s="96">
        <v>3450</v>
      </c>
      <c r="BK11" s="26" t="s">
        <v>3819</v>
      </c>
      <c r="BL11" s="7">
        <v>9740.17</v>
      </c>
      <c r="BM11" s="26" t="s">
        <v>3703</v>
      </c>
      <c r="BN11" s="96">
        <v>580</v>
      </c>
      <c r="BO11" s="26" t="s">
        <v>3859</v>
      </c>
      <c r="BP11" s="7"/>
      <c r="BQ11" s="26"/>
      <c r="BR11" s="7"/>
      <c r="BS11" s="26"/>
      <c r="BT11" s="7"/>
      <c r="BU11" s="26"/>
      <c r="BV11" s="7"/>
      <c r="BW11" s="26"/>
      <c r="BX11" s="7"/>
      <c r="BY11" s="26"/>
      <c r="BZ11" s="7"/>
      <c r="CA11" s="26"/>
      <c r="CB11" s="7"/>
      <c r="CC11" s="26"/>
      <c r="CD11" s="7"/>
      <c r="CE11" s="26"/>
      <c r="CF11" s="7"/>
      <c r="CG11" s="26"/>
      <c r="CH11" s="7"/>
      <c r="CI11" s="26"/>
      <c r="CJ11" s="7"/>
      <c r="CK11" s="26"/>
      <c r="CL11" s="7"/>
      <c r="CM11" s="26"/>
      <c r="CN11" s="7"/>
    </row>
    <row r="12" spans="1:92" x14ac:dyDescent="0.25">
      <c r="A12" s="41"/>
      <c r="B12" s="9"/>
      <c r="C12" s="15"/>
      <c r="D12" s="9"/>
      <c r="E12" s="15"/>
      <c r="F12" s="9">
        <v>64000</v>
      </c>
      <c r="G12" s="15" t="s">
        <v>2585</v>
      </c>
      <c r="H12" s="9">
        <v>100</v>
      </c>
      <c r="I12" s="15" t="s">
        <v>2632</v>
      </c>
      <c r="J12" s="9">
        <v>4000</v>
      </c>
      <c r="K12" s="15" t="s">
        <v>2680</v>
      </c>
      <c r="L12" s="9">
        <v>637.72</v>
      </c>
      <c r="M12" s="15" t="s">
        <v>2730</v>
      </c>
      <c r="N12" s="9"/>
      <c r="O12" s="15"/>
      <c r="P12" s="9">
        <v>1970</v>
      </c>
      <c r="Q12" s="15" t="s">
        <v>2793</v>
      </c>
      <c r="R12" s="9">
        <v>5841.06</v>
      </c>
      <c r="S12" s="15" t="s">
        <v>2839</v>
      </c>
      <c r="T12" s="9">
        <v>1179.01</v>
      </c>
      <c r="U12" s="15" t="s">
        <v>2901</v>
      </c>
      <c r="V12" s="9">
        <v>227.31</v>
      </c>
      <c r="W12" s="15" t="s">
        <v>2946</v>
      </c>
      <c r="X12" s="9">
        <v>500</v>
      </c>
      <c r="Y12" s="15" t="s">
        <v>2991</v>
      </c>
      <c r="Z12" s="9">
        <v>1099</v>
      </c>
      <c r="AA12" s="15" t="s">
        <v>3062</v>
      </c>
      <c r="AB12" s="72">
        <v>500</v>
      </c>
      <c r="AC12" s="88" t="s">
        <v>3103</v>
      </c>
      <c r="AD12" s="72">
        <v>1995</v>
      </c>
      <c r="AE12" s="15" t="s">
        <v>3167</v>
      </c>
      <c r="AF12" s="9"/>
      <c r="AG12" s="15"/>
      <c r="AH12" s="72">
        <v>3959.98</v>
      </c>
      <c r="AI12" s="15" t="s">
        <v>3208</v>
      </c>
      <c r="AJ12" s="9">
        <v>1969.99</v>
      </c>
      <c r="AK12" s="15" t="s">
        <v>3274</v>
      </c>
      <c r="AL12" s="9">
        <v>7500</v>
      </c>
      <c r="AM12" s="15" t="s">
        <v>3330</v>
      </c>
      <c r="AN12" s="9">
        <v>1969.99</v>
      </c>
      <c r="AO12" s="15" t="s">
        <v>3376</v>
      </c>
      <c r="AP12" s="9"/>
      <c r="AQ12" s="15"/>
      <c r="AR12" s="9"/>
      <c r="AS12" s="15"/>
      <c r="AT12" s="9">
        <v>3169</v>
      </c>
      <c r="AU12" s="15" t="s">
        <v>3428</v>
      </c>
      <c r="AV12" s="9">
        <v>1078</v>
      </c>
      <c r="AW12" s="15" t="s">
        <v>3465</v>
      </c>
      <c r="AX12" s="9">
        <v>1099.01</v>
      </c>
      <c r="AY12" s="15" t="s">
        <v>3538</v>
      </c>
      <c r="AZ12" s="9">
        <v>1099.01</v>
      </c>
      <c r="BA12" s="15" t="s">
        <v>3582</v>
      </c>
      <c r="BB12" s="9">
        <v>1479.01</v>
      </c>
      <c r="BC12" s="15" t="s">
        <v>3619</v>
      </c>
      <c r="BD12" s="9"/>
      <c r="BE12" s="15"/>
      <c r="BF12" s="9">
        <v>4533.28</v>
      </c>
      <c r="BG12" s="15" t="s">
        <v>3716</v>
      </c>
      <c r="BH12" s="9">
        <v>500</v>
      </c>
      <c r="BI12" s="15" t="s">
        <v>3766</v>
      </c>
      <c r="BJ12" s="96">
        <v>1099.01</v>
      </c>
      <c r="BK12" s="15" t="s">
        <v>3820</v>
      </c>
      <c r="BL12" s="9">
        <v>1099.01</v>
      </c>
      <c r="BM12" s="15" t="s">
        <v>3704</v>
      </c>
      <c r="BN12" s="96">
        <v>15000</v>
      </c>
      <c r="BO12" s="15" t="s">
        <v>3860</v>
      </c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</row>
    <row r="13" spans="1:92" x14ac:dyDescent="0.25">
      <c r="A13" s="41"/>
      <c r="B13" s="9"/>
      <c r="C13" s="15"/>
      <c r="D13" s="9"/>
      <c r="E13" s="15"/>
      <c r="F13" s="9">
        <v>497.26</v>
      </c>
      <c r="G13" s="15" t="s">
        <v>2586</v>
      </c>
      <c r="H13" s="9">
        <v>241900</v>
      </c>
      <c r="I13" s="15" t="s">
        <v>2633</v>
      </c>
      <c r="J13" s="9">
        <v>214.91</v>
      </c>
      <c r="K13" s="15" t="s">
        <v>2681</v>
      </c>
      <c r="L13" s="9">
        <v>175</v>
      </c>
      <c r="M13" s="15" t="s">
        <v>2732</v>
      </c>
      <c r="N13" s="9"/>
      <c r="O13" s="15"/>
      <c r="P13" s="9">
        <v>1099.01</v>
      </c>
      <c r="Q13" s="15" t="s">
        <v>2794</v>
      </c>
      <c r="R13" s="9">
        <v>382.38</v>
      </c>
      <c r="S13" s="15" t="s">
        <v>2841</v>
      </c>
      <c r="T13" s="9">
        <v>1099.01</v>
      </c>
      <c r="U13" s="15" t="s">
        <v>2902</v>
      </c>
      <c r="V13" s="9">
        <v>1099.01</v>
      </c>
      <c r="W13" s="15" t="s">
        <v>2948</v>
      </c>
      <c r="X13" s="9">
        <v>1823.31</v>
      </c>
      <c r="Y13" s="15" t="s">
        <v>2996</v>
      </c>
      <c r="Z13" s="9">
        <v>1970</v>
      </c>
      <c r="AA13" s="15" t="s">
        <v>3063</v>
      </c>
      <c r="AB13" s="72">
        <v>159750</v>
      </c>
      <c r="AC13" s="86" t="s">
        <v>3110</v>
      </c>
      <c r="AD13" s="72">
        <v>1099.01</v>
      </c>
      <c r="AE13" s="15" t="s">
        <v>3168</v>
      </c>
      <c r="AF13" s="9"/>
      <c r="AG13" s="15"/>
      <c r="AH13" s="72">
        <v>1970</v>
      </c>
      <c r="AI13" s="15" t="s">
        <v>3209</v>
      </c>
      <c r="AJ13" s="9">
        <v>1685.07</v>
      </c>
      <c r="AK13" s="15" t="s">
        <v>3277</v>
      </c>
      <c r="AL13" s="9">
        <v>2860.24</v>
      </c>
      <c r="AM13" s="15" t="s">
        <v>3331</v>
      </c>
      <c r="AN13" s="9">
        <v>1099.3009999999999</v>
      </c>
      <c r="AO13" s="15" t="s">
        <v>3379</v>
      </c>
      <c r="AP13" s="7"/>
      <c r="AQ13" s="26"/>
      <c r="AR13" s="9"/>
      <c r="AS13" s="15"/>
      <c r="AT13" s="9">
        <v>1099.01</v>
      </c>
      <c r="AU13" s="15" t="s">
        <v>3430</v>
      </c>
      <c r="AV13" s="9">
        <v>33776</v>
      </c>
      <c r="AW13" s="15" t="s">
        <v>3466</v>
      </c>
      <c r="AX13" s="9">
        <v>3349.01</v>
      </c>
      <c r="AY13" s="15" t="s">
        <v>3550</v>
      </c>
      <c r="AZ13" s="9">
        <v>4395.01</v>
      </c>
      <c r="BA13" s="15" t="s">
        <v>3590</v>
      </c>
      <c r="BB13" s="9">
        <v>1970</v>
      </c>
      <c r="BC13" s="15" t="s">
        <v>3621</v>
      </c>
      <c r="BD13" s="9"/>
      <c r="BE13" s="15"/>
      <c r="BF13" s="9">
        <v>1007.9</v>
      </c>
      <c r="BG13" s="15" t="s">
        <v>3675</v>
      </c>
      <c r="BH13" s="9"/>
      <c r="BI13" s="15"/>
      <c r="BJ13" s="96">
        <v>232</v>
      </c>
      <c r="BK13" s="15" t="s">
        <v>3826</v>
      </c>
      <c r="BL13" s="9">
        <v>1099.01</v>
      </c>
      <c r="BM13" s="15" t="s">
        <v>3702</v>
      </c>
      <c r="BN13" s="96">
        <v>2000</v>
      </c>
      <c r="BO13" s="15" t="s">
        <v>3863</v>
      </c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</row>
    <row r="14" spans="1:92" x14ac:dyDescent="0.25">
      <c r="A14" s="41"/>
      <c r="B14" s="7"/>
      <c r="C14" s="26"/>
      <c r="D14" s="7"/>
      <c r="E14" s="26"/>
      <c r="F14" s="9">
        <v>175</v>
      </c>
      <c r="G14" s="26" t="s">
        <v>2588</v>
      </c>
      <c r="H14" s="7">
        <v>2350.0100000000002</v>
      </c>
      <c r="I14" s="26" t="s">
        <v>2636</v>
      </c>
      <c r="J14" s="7">
        <v>547.28</v>
      </c>
      <c r="K14" s="26" t="s">
        <v>2682</v>
      </c>
      <c r="L14" s="7">
        <v>1099</v>
      </c>
      <c r="M14" s="26" t="s">
        <v>2733</v>
      </c>
      <c r="N14" s="7"/>
      <c r="O14" s="26"/>
      <c r="P14" s="7">
        <v>1099.01</v>
      </c>
      <c r="Q14" s="26" t="s">
        <v>2795</v>
      </c>
      <c r="R14" s="7">
        <v>230000</v>
      </c>
      <c r="S14" s="26" t="s">
        <v>2843</v>
      </c>
      <c r="T14" s="7">
        <v>3250</v>
      </c>
      <c r="U14" s="26" t="s">
        <v>2904</v>
      </c>
      <c r="V14" s="9">
        <v>1995</v>
      </c>
      <c r="W14" s="26" t="s">
        <v>2952</v>
      </c>
      <c r="X14" s="9">
        <v>30000</v>
      </c>
      <c r="Y14" s="26" t="s">
        <v>2997</v>
      </c>
      <c r="Z14" s="9">
        <v>464</v>
      </c>
      <c r="AA14" s="15" t="s">
        <v>3064</v>
      </c>
      <c r="AB14" s="87">
        <v>138</v>
      </c>
      <c r="AC14" s="86" t="s">
        <v>3112</v>
      </c>
      <c r="AD14" s="72">
        <v>1099.01</v>
      </c>
      <c r="AE14" s="26" t="s">
        <v>3169</v>
      </c>
      <c r="AF14" s="7"/>
      <c r="AG14" s="26"/>
      <c r="AH14" s="87">
        <v>505.01</v>
      </c>
      <c r="AI14" s="26" t="s">
        <v>3210</v>
      </c>
      <c r="AJ14" s="7">
        <v>8328.99</v>
      </c>
      <c r="AK14" s="26" t="s">
        <v>3283</v>
      </c>
      <c r="AL14" s="9">
        <v>12</v>
      </c>
      <c r="AM14" s="26" t="s">
        <v>3332</v>
      </c>
      <c r="AN14" s="7">
        <v>1099.01</v>
      </c>
      <c r="AO14" s="26" t="s">
        <v>3381</v>
      </c>
      <c r="AP14" s="7"/>
      <c r="AQ14" s="26"/>
      <c r="AR14" s="7"/>
      <c r="AS14" s="26"/>
      <c r="AT14" s="7">
        <v>1099.01</v>
      </c>
      <c r="AU14" s="26" t="s">
        <v>3434</v>
      </c>
      <c r="AV14" s="7">
        <v>3249.6</v>
      </c>
      <c r="AW14" s="26" t="s">
        <v>3467</v>
      </c>
      <c r="AX14" s="7">
        <v>1970</v>
      </c>
      <c r="AY14" s="26" t="s">
        <v>3555</v>
      </c>
      <c r="AZ14" s="9">
        <f>465.64-400</f>
        <v>65.639999999999986</v>
      </c>
      <c r="BA14" s="15" t="s">
        <v>3591</v>
      </c>
      <c r="BB14" s="9">
        <v>1970</v>
      </c>
      <c r="BC14" s="26" t="s">
        <v>3625</v>
      </c>
      <c r="BD14" s="9"/>
      <c r="BE14" s="26"/>
      <c r="BF14" s="9">
        <v>4600</v>
      </c>
      <c r="BG14" s="15" t="s">
        <v>3727</v>
      </c>
      <c r="BH14" s="9">
        <v>431</v>
      </c>
      <c r="BI14" s="15" t="s">
        <v>3773</v>
      </c>
      <c r="BJ14" s="96">
        <v>1099.01</v>
      </c>
      <c r="BK14" s="26" t="s">
        <v>3827</v>
      </c>
      <c r="BL14" s="7">
        <v>250</v>
      </c>
      <c r="BM14" s="26" t="s">
        <v>3705</v>
      </c>
      <c r="BN14" s="96">
        <v>895</v>
      </c>
      <c r="BO14" s="26" t="s">
        <v>3864</v>
      </c>
      <c r="BP14" s="7"/>
      <c r="BQ14" s="26"/>
      <c r="BR14" s="7"/>
      <c r="BS14" s="26"/>
      <c r="BT14" s="7"/>
      <c r="BU14" s="26"/>
      <c r="BV14" s="7"/>
      <c r="BW14" s="26"/>
      <c r="BX14" s="7"/>
      <c r="BY14" s="26"/>
      <c r="BZ14" s="7"/>
      <c r="CA14" s="26"/>
      <c r="CB14" s="7"/>
      <c r="CC14" s="26"/>
      <c r="CD14" s="7"/>
      <c r="CE14" s="26"/>
      <c r="CF14" s="7"/>
      <c r="CG14" s="26"/>
      <c r="CH14" s="7"/>
      <c r="CI14" s="26"/>
      <c r="CJ14" s="7"/>
      <c r="CK14" s="26"/>
      <c r="CL14" s="7"/>
      <c r="CM14" s="26"/>
      <c r="CN14" s="7"/>
    </row>
    <row r="15" spans="1:92" x14ac:dyDescent="0.25">
      <c r="A15" s="41"/>
      <c r="B15" s="7"/>
      <c r="C15" s="26"/>
      <c r="D15" s="7"/>
      <c r="E15" s="26"/>
      <c r="F15" s="9">
        <v>200.01</v>
      </c>
      <c r="G15" s="26" t="s">
        <v>2589</v>
      </c>
      <c r="H15" s="7">
        <v>3168.99</v>
      </c>
      <c r="I15" s="26" t="s">
        <v>2638</v>
      </c>
      <c r="J15" s="7">
        <v>1027.52</v>
      </c>
      <c r="K15" s="26" t="s">
        <v>2683</v>
      </c>
      <c r="L15" s="7">
        <f>1792.42-1099-50</f>
        <v>643.42000000000007</v>
      </c>
      <c r="M15" s="26" t="s">
        <v>2734</v>
      </c>
      <c r="N15" s="7"/>
      <c r="O15" s="26"/>
      <c r="P15" s="7">
        <v>928</v>
      </c>
      <c r="Q15" s="26" t="s">
        <v>2796</v>
      </c>
      <c r="R15" s="7">
        <v>193</v>
      </c>
      <c r="S15" s="26" t="s">
        <v>2845</v>
      </c>
      <c r="T15" s="7">
        <v>1099.01</v>
      </c>
      <c r="U15" s="26" t="s">
        <v>2906</v>
      </c>
      <c r="V15" s="9">
        <v>1099.01</v>
      </c>
      <c r="W15" s="26" t="s">
        <v>2953</v>
      </c>
      <c r="X15" s="9">
        <v>30000</v>
      </c>
      <c r="Y15" s="26" t="s">
        <v>3000</v>
      </c>
      <c r="Z15" s="9">
        <v>1970</v>
      </c>
      <c r="AA15" s="15" t="s">
        <v>3030</v>
      </c>
      <c r="AB15" s="87">
        <v>1995</v>
      </c>
      <c r="AC15" s="88" t="s">
        <v>3115</v>
      </c>
      <c r="AD15" s="72">
        <v>3250.01</v>
      </c>
      <c r="AE15" s="26" t="s">
        <v>3172</v>
      </c>
      <c r="AF15" s="7"/>
      <c r="AG15" s="26"/>
      <c r="AH15" s="87">
        <v>1969.99</v>
      </c>
      <c r="AI15" s="26" t="s">
        <v>3211</v>
      </c>
      <c r="AJ15" s="7">
        <v>1099.01</v>
      </c>
      <c r="AK15" s="26" t="s">
        <v>3286</v>
      </c>
      <c r="AL15" s="9">
        <v>2409.02</v>
      </c>
      <c r="AM15" s="26" t="s">
        <v>3337</v>
      </c>
      <c r="AN15" s="7">
        <v>3169</v>
      </c>
      <c r="AO15" s="26" t="s">
        <v>3387</v>
      </c>
      <c r="AP15" s="7"/>
      <c r="AQ15" s="26"/>
      <c r="AR15" s="7"/>
      <c r="AS15" s="26"/>
      <c r="AT15" s="7">
        <v>232</v>
      </c>
      <c r="AU15" s="26" t="s">
        <v>3436</v>
      </c>
      <c r="AV15" s="7">
        <v>928</v>
      </c>
      <c r="AW15" s="26" t="s">
        <v>3468</v>
      </c>
      <c r="AX15" s="7">
        <v>79.44</v>
      </c>
      <c r="AY15" s="26" t="s">
        <v>3561</v>
      </c>
      <c r="AZ15" s="9">
        <v>277.91000000000003</v>
      </c>
      <c r="BA15" s="15" t="s">
        <v>3592</v>
      </c>
      <c r="BB15" s="9">
        <v>3000</v>
      </c>
      <c r="BC15" s="26" t="s">
        <v>3627</v>
      </c>
      <c r="BD15" s="9"/>
      <c r="BE15" s="26"/>
      <c r="BF15" s="9">
        <v>2650.53</v>
      </c>
      <c r="BG15" s="26" t="s">
        <v>3730</v>
      </c>
      <c r="BH15" s="7">
        <v>22740</v>
      </c>
      <c r="BI15" s="26" t="s">
        <v>3775</v>
      </c>
      <c r="BJ15" s="96">
        <v>50</v>
      </c>
      <c r="BK15" s="26" t="s">
        <v>3828</v>
      </c>
      <c r="BL15" s="7">
        <v>1549.97</v>
      </c>
      <c r="BM15" s="26" t="s">
        <v>3706</v>
      </c>
      <c r="BN15" s="96">
        <v>1500</v>
      </c>
      <c r="BO15" s="26" t="s">
        <v>3865</v>
      </c>
      <c r="BP15" s="7"/>
      <c r="BQ15" s="26"/>
      <c r="BR15" s="7"/>
      <c r="BS15" s="26"/>
      <c r="BT15" s="7"/>
      <c r="BU15" s="26"/>
      <c r="BV15" s="7"/>
      <c r="BW15" s="26"/>
      <c r="BX15" s="7"/>
      <c r="BY15" s="26"/>
      <c r="BZ15" s="7"/>
      <c r="CA15" s="26"/>
      <c r="CB15" s="7"/>
      <c r="CC15" s="26"/>
      <c r="CD15" s="7"/>
      <c r="CE15" s="26"/>
      <c r="CF15" s="7"/>
      <c r="CG15" s="26"/>
      <c r="CH15" s="7"/>
      <c r="CI15" s="26"/>
      <c r="CJ15" s="7"/>
      <c r="CK15" s="26"/>
      <c r="CL15" s="7"/>
      <c r="CM15" s="26"/>
      <c r="CN15" s="7"/>
    </row>
    <row r="16" spans="1:92" x14ac:dyDescent="0.25">
      <c r="A16" s="41"/>
      <c r="B16" s="7"/>
      <c r="C16" s="26"/>
      <c r="D16" s="7"/>
      <c r="E16" s="26"/>
      <c r="F16" s="9">
        <v>1099.01</v>
      </c>
      <c r="G16" s="26" t="s">
        <v>2590</v>
      </c>
      <c r="H16" s="7">
        <v>1099.01</v>
      </c>
      <c r="I16" s="26" t="s">
        <v>2641</v>
      </c>
      <c r="J16" s="7">
        <v>3458.54</v>
      </c>
      <c r="K16" s="26" t="s">
        <v>2685</v>
      </c>
      <c r="L16" s="7">
        <v>1099.01</v>
      </c>
      <c r="M16" s="26" t="s">
        <v>2736</v>
      </c>
      <c r="N16" s="7"/>
      <c r="O16" s="26"/>
      <c r="P16" s="7">
        <v>1099.01</v>
      </c>
      <c r="Q16" s="26" t="s">
        <v>2800</v>
      </c>
      <c r="R16" s="7">
        <v>1970</v>
      </c>
      <c r="S16" s="26" t="s">
        <v>2847</v>
      </c>
      <c r="T16" s="7">
        <v>2170.0100000000002</v>
      </c>
      <c r="U16" s="26" t="s">
        <v>2908</v>
      </c>
      <c r="V16" s="9">
        <v>1105.97</v>
      </c>
      <c r="W16" s="26" t="s">
        <v>2957</v>
      </c>
      <c r="X16" s="9">
        <v>1479.01</v>
      </c>
      <c r="Y16" s="26" t="s">
        <v>3004</v>
      </c>
      <c r="Z16" s="9">
        <v>1099.01</v>
      </c>
      <c r="AA16" s="15" t="s">
        <v>3069</v>
      </c>
      <c r="AB16" s="87">
        <v>4395.01</v>
      </c>
      <c r="AC16" s="88" t="s">
        <v>3121</v>
      </c>
      <c r="AD16" s="72">
        <v>1970</v>
      </c>
      <c r="AE16" s="26" t="s">
        <v>3173</v>
      </c>
      <c r="AF16" s="7"/>
      <c r="AG16" s="26"/>
      <c r="AH16" s="87">
        <v>1099.01</v>
      </c>
      <c r="AI16" s="9" t="s">
        <v>3214</v>
      </c>
      <c r="AJ16" s="7">
        <v>1099.01</v>
      </c>
      <c r="AK16" s="26" t="s">
        <v>3287</v>
      </c>
      <c r="AL16" s="9">
        <f>5430.2-3000</f>
        <v>2430.1999999999998</v>
      </c>
      <c r="AM16" s="26" t="s">
        <v>3343</v>
      </c>
      <c r="AN16" s="10">
        <v>185.6</v>
      </c>
      <c r="AO16" s="12" t="s">
        <v>3388</v>
      </c>
      <c r="AP16" s="7"/>
      <c r="AQ16" s="7"/>
      <c r="AR16" s="7"/>
      <c r="AS16" s="26"/>
      <c r="AT16" s="7">
        <v>1099.01</v>
      </c>
      <c r="AU16" s="26" t="s">
        <v>3437</v>
      </c>
      <c r="AV16" s="7">
        <v>1099.01</v>
      </c>
      <c r="AW16" s="26" t="s">
        <v>3471</v>
      </c>
      <c r="AX16" s="7"/>
      <c r="AY16" s="26"/>
      <c r="AZ16" s="9"/>
      <c r="BA16" s="15"/>
      <c r="BB16" s="9">
        <v>82.93</v>
      </c>
      <c r="BC16" s="26" t="s">
        <v>3628</v>
      </c>
      <c r="BD16" s="9"/>
      <c r="BE16" s="26"/>
      <c r="BF16" s="9">
        <v>2300</v>
      </c>
      <c r="BG16" s="26" t="s">
        <v>3733</v>
      </c>
      <c r="BH16" s="7">
        <v>175</v>
      </c>
      <c r="BI16" s="26" t="s">
        <v>3776</v>
      </c>
      <c r="BJ16" s="96">
        <v>3250.01</v>
      </c>
      <c r="BK16" s="26" t="s">
        <v>3829</v>
      </c>
      <c r="BL16" s="7">
        <v>150</v>
      </c>
      <c r="BM16" s="26" t="s">
        <v>3707</v>
      </c>
      <c r="BN16" s="96">
        <v>1099.01</v>
      </c>
      <c r="BO16" s="26" t="s">
        <v>3874</v>
      </c>
      <c r="BP16" s="7"/>
      <c r="BQ16" s="26"/>
      <c r="BR16" s="7"/>
      <c r="BS16" s="26"/>
      <c r="BT16" s="7"/>
      <c r="BU16" s="26"/>
      <c r="BV16" s="7"/>
      <c r="BW16" s="26"/>
      <c r="BX16" s="7"/>
      <c r="BY16" s="26"/>
      <c r="BZ16" s="7"/>
      <c r="CA16" s="26"/>
      <c r="CB16" s="7"/>
      <c r="CC16" s="26"/>
      <c r="CD16" s="7"/>
      <c r="CE16" s="26"/>
      <c r="CF16" s="7"/>
      <c r="CG16" s="26"/>
      <c r="CH16" s="7"/>
      <c r="CI16" s="26"/>
      <c r="CJ16" s="7"/>
      <c r="CK16" s="26"/>
      <c r="CL16" s="7"/>
      <c r="CM16" s="26"/>
      <c r="CN16" s="7"/>
    </row>
    <row r="17" spans="1:92" x14ac:dyDescent="0.25">
      <c r="A17" s="41"/>
      <c r="B17" s="7"/>
      <c r="C17" s="26"/>
      <c r="D17" s="7"/>
      <c r="E17" s="26"/>
      <c r="F17" s="9">
        <v>1099</v>
      </c>
      <c r="G17" s="26" t="s">
        <v>2594</v>
      </c>
      <c r="H17" s="7">
        <v>1099.01</v>
      </c>
      <c r="I17" s="26" t="s">
        <v>2644</v>
      </c>
      <c r="J17" s="7">
        <v>2500.06</v>
      </c>
      <c r="K17" s="26" t="s">
        <v>2688</v>
      </c>
      <c r="L17" s="7">
        <v>1099.01</v>
      </c>
      <c r="M17" s="26" t="s">
        <v>2739</v>
      </c>
      <c r="N17" s="7"/>
      <c r="O17" s="26"/>
      <c r="P17" s="7">
        <v>1099</v>
      </c>
      <c r="Q17" s="26" t="s">
        <v>2803</v>
      </c>
      <c r="R17" s="7">
        <v>1969.99</v>
      </c>
      <c r="S17" s="26" t="s">
        <v>2849</v>
      </c>
      <c r="T17" s="7">
        <v>6364.13</v>
      </c>
      <c r="U17" s="26" t="s">
        <v>2910</v>
      </c>
      <c r="V17" s="9">
        <v>1995</v>
      </c>
      <c r="W17" s="26" t="s">
        <v>2963</v>
      </c>
      <c r="X17" s="9">
        <v>1277.33</v>
      </c>
      <c r="Y17" s="26" t="s">
        <v>3006</v>
      </c>
      <c r="Z17" s="7">
        <v>1970</v>
      </c>
      <c r="AA17" s="26" t="s">
        <v>3071</v>
      </c>
      <c r="AB17" s="87">
        <v>3169</v>
      </c>
      <c r="AC17" s="88" t="s">
        <v>3116</v>
      </c>
      <c r="AD17" s="72">
        <v>100</v>
      </c>
      <c r="AE17" s="26" t="s">
        <v>3177</v>
      </c>
      <c r="AF17" s="7"/>
      <c r="AG17" s="26"/>
      <c r="AH17" s="87">
        <v>1099.01</v>
      </c>
      <c r="AI17" s="26" t="s">
        <v>3220</v>
      </c>
      <c r="AJ17" s="7">
        <v>1969.99</v>
      </c>
      <c r="AK17" s="26" t="s">
        <v>3288</v>
      </c>
      <c r="AL17" s="9">
        <v>1970</v>
      </c>
      <c r="AM17" s="26" t="s">
        <v>3344</v>
      </c>
      <c r="AN17" s="7">
        <v>1099.01</v>
      </c>
      <c r="AO17" s="26" t="s">
        <v>3390</v>
      </c>
      <c r="AP17" s="7"/>
      <c r="AQ17" s="26"/>
      <c r="AR17" s="7"/>
      <c r="AS17" s="26"/>
      <c r="AT17" s="7">
        <v>2863.01</v>
      </c>
      <c r="AU17" s="26" t="s">
        <v>3438</v>
      </c>
      <c r="AV17" s="7">
        <v>1099.01</v>
      </c>
      <c r="AW17" s="26" t="s">
        <v>3474</v>
      </c>
      <c r="AX17" s="7">
        <v>3321.46</v>
      </c>
      <c r="AY17" s="26" t="s">
        <v>3630</v>
      </c>
      <c r="AZ17" s="9">
        <v>665</v>
      </c>
      <c r="BA17" s="15" t="s">
        <v>3652</v>
      </c>
      <c r="BB17" s="9">
        <v>687.53</v>
      </c>
      <c r="BC17" s="26" t="s">
        <v>3629</v>
      </c>
      <c r="BD17" s="9"/>
      <c r="BE17" s="26"/>
      <c r="BF17" s="9">
        <v>70000</v>
      </c>
      <c r="BG17" s="26" t="s">
        <v>3734</v>
      </c>
      <c r="BH17" s="7">
        <v>50000</v>
      </c>
      <c r="BI17" s="26" t="s">
        <v>3777</v>
      </c>
      <c r="BJ17" s="96">
        <v>1099.01</v>
      </c>
      <c r="BK17" s="26" t="s">
        <v>3830</v>
      </c>
      <c r="BL17" s="7">
        <v>631.53</v>
      </c>
      <c r="BM17" s="26" t="s">
        <v>3708</v>
      </c>
      <c r="BN17" s="96">
        <v>1099.01</v>
      </c>
      <c r="BO17" s="26" t="s">
        <v>3875</v>
      </c>
      <c r="BP17" s="7"/>
      <c r="BQ17" s="26"/>
      <c r="BR17" s="7"/>
      <c r="BS17" s="26"/>
      <c r="BT17" s="7"/>
      <c r="BU17" s="26"/>
      <c r="BV17" s="7"/>
      <c r="BW17" s="26"/>
      <c r="BX17" s="7"/>
      <c r="BY17" s="26"/>
      <c r="BZ17" s="7"/>
      <c r="CA17" s="26"/>
      <c r="CB17" s="7"/>
      <c r="CC17" s="26"/>
      <c r="CD17" s="7"/>
      <c r="CE17" s="26"/>
      <c r="CF17" s="7"/>
      <c r="CG17" s="26"/>
      <c r="CH17" s="7"/>
      <c r="CI17" s="26"/>
      <c r="CJ17" s="7"/>
      <c r="CK17" s="26"/>
      <c r="CL17" s="7"/>
      <c r="CM17" s="26"/>
      <c r="CN17" s="7"/>
    </row>
    <row r="18" spans="1:92" x14ac:dyDescent="0.25">
      <c r="A18" s="41"/>
      <c r="B18" s="7"/>
      <c r="C18" s="26"/>
      <c r="D18" s="7"/>
      <c r="E18" s="26"/>
      <c r="F18" s="9">
        <v>1099.01</v>
      </c>
      <c r="G18" s="26" t="s">
        <v>2596</v>
      </c>
      <c r="H18" s="7">
        <v>1970</v>
      </c>
      <c r="I18" s="26" t="s">
        <v>2645</v>
      </c>
      <c r="J18" s="7">
        <v>200</v>
      </c>
      <c r="K18" s="26" t="s">
        <v>2689</v>
      </c>
      <c r="L18" s="7">
        <v>1099.01</v>
      </c>
      <c r="M18" s="26" t="s">
        <v>2740</v>
      </c>
      <c r="N18" s="7"/>
      <c r="O18" s="26"/>
      <c r="P18" s="7">
        <v>1099.01</v>
      </c>
      <c r="Q18" s="26" t="s">
        <v>2806</v>
      </c>
      <c r="R18" s="7">
        <v>1099.01</v>
      </c>
      <c r="S18" s="26" t="s">
        <v>2852</v>
      </c>
      <c r="T18" s="7">
        <v>1099.01</v>
      </c>
      <c r="U18" s="26" t="s">
        <v>2911</v>
      </c>
      <c r="V18" s="9">
        <f>3721.76-3321.75</f>
        <v>400.01000000000022</v>
      </c>
      <c r="W18" s="26" t="s">
        <v>2964</v>
      </c>
      <c r="X18" s="9">
        <v>1972.66</v>
      </c>
      <c r="Y18" s="26" t="s">
        <v>3007</v>
      </c>
      <c r="Z18" s="7">
        <v>1099.01</v>
      </c>
      <c r="AA18" s="26" t="s">
        <v>3072</v>
      </c>
      <c r="AB18" s="87">
        <v>1099.01</v>
      </c>
      <c r="AC18" s="88" t="s">
        <v>3127</v>
      </c>
      <c r="AD18" s="72">
        <v>364.44</v>
      </c>
      <c r="AE18" s="26" t="s">
        <v>3181</v>
      </c>
      <c r="AF18" s="7"/>
      <c r="AG18" s="26"/>
      <c r="AH18" s="87">
        <v>1099</v>
      </c>
      <c r="AI18" s="26" t="s">
        <v>3221</v>
      </c>
      <c r="AJ18" s="9">
        <v>1099.01</v>
      </c>
      <c r="AK18" s="15" t="s">
        <v>3293</v>
      </c>
      <c r="AL18" s="9">
        <v>1970</v>
      </c>
      <c r="AM18" s="26" t="s">
        <v>3346</v>
      </c>
      <c r="AN18" s="7">
        <v>1099</v>
      </c>
      <c r="AO18" s="26" t="s">
        <v>3392</v>
      </c>
      <c r="AP18" s="7"/>
      <c r="AQ18" s="26"/>
      <c r="AR18" s="7"/>
      <c r="AS18" s="26"/>
      <c r="AT18" s="7">
        <v>1970</v>
      </c>
      <c r="AU18" s="26" t="s">
        <v>3439</v>
      </c>
      <c r="AV18" s="7">
        <v>464</v>
      </c>
      <c r="AW18" s="26" t="s">
        <v>3475</v>
      </c>
      <c r="AX18" s="7">
        <v>1600.51</v>
      </c>
      <c r="AY18" s="26" t="s">
        <v>3631</v>
      </c>
      <c r="AZ18" s="9">
        <v>895.78</v>
      </c>
      <c r="BA18" s="15" t="s">
        <v>3657</v>
      </c>
      <c r="BB18" s="9"/>
      <c r="BC18" s="26"/>
      <c r="BD18" s="9"/>
      <c r="BE18" s="26"/>
      <c r="BF18" s="9">
        <v>137.25</v>
      </c>
      <c r="BG18" s="26" t="s">
        <v>3735</v>
      </c>
      <c r="BH18" s="7">
        <v>1799.95</v>
      </c>
      <c r="BI18" s="26" t="s">
        <v>3780</v>
      </c>
      <c r="BJ18" s="96">
        <v>464</v>
      </c>
      <c r="BK18" s="26" t="s">
        <v>3831</v>
      </c>
      <c r="BL18" s="7">
        <v>336.52</v>
      </c>
      <c r="BM18" s="26" t="s">
        <v>3709</v>
      </c>
      <c r="BN18" s="96">
        <v>3250</v>
      </c>
      <c r="BO18" s="26" t="s">
        <v>3878</v>
      </c>
      <c r="BP18" s="7"/>
      <c r="BQ18" s="26"/>
      <c r="BR18" s="7"/>
      <c r="BS18" s="26"/>
      <c r="BT18" s="7"/>
      <c r="BU18" s="26"/>
      <c r="BV18" s="7"/>
      <c r="BW18" s="26"/>
      <c r="BX18" s="7"/>
      <c r="BY18" s="26"/>
      <c r="BZ18" s="7"/>
      <c r="CA18" s="26"/>
      <c r="CB18" s="7"/>
      <c r="CC18" s="26"/>
      <c r="CD18" s="7"/>
      <c r="CE18" s="26"/>
      <c r="CF18" s="7"/>
      <c r="CG18" s="26"/>
      <c r="CH18" s="7"/>
      <c r="CI18" s="26"/>
      <c r="CJ18" s="7"/>
      <c r="CK18" s="26"/>
      <c r="CL18" s="7"/>
      <c r="CM18" s="26"/>
      <c r="CN18" s="7"/>
    </row>
    <row r="19" spans="1:92" x14ac:dyDescent="0.25">
      <c r="A19" s="41"/>
      <c r="B19" s="7"/>
      <c r="C19" s="26"/>
      <c r="D19" s="7"/>
      <c r="E19" s="26"/>
      <c r="F19" s="9">
        <v>1099.01</v>
      </c>
      <c r="G19" s="26" t="s">
        <v>2597</v>
      </c>
      <c r="H19" s="7">
        <v>250</v>
      </c>
      <c r="I19" s="26" t="s">
        <v>2654</v>
      </c>
      <c r="J19" s="7">
        <v>1037.81</v>
      </c>
      <c r="K19" s="26" t="s">
        <v>2694</v>
      </c>
      <c r="L19" s="7">
        <v>1969.99</v>
      </c>
      <c r="M19" s="26" t="s">
        <v>2742</v>
      </c>
      <c r="N19" s="7"/>
      <c r="O19" s="26"/>
      <c r="P19" s="7">
        <v>1099.01</v>
      </c>
      <c r="Q19" s="26" t="s">
        <v>2807</v>
      </c>
      <c r="R19" s="7">
        <v>1099.01</v>
      </c>
      <c r="S19" s="26" t="s">
        <v>2854</v>
      </c>
      <c r="T19" s="7">
        <v>4169.01</v>
      </c>
      <c r="U19" s="26" t="s">
        <v>2912</v>
      </c>
      <c r="V19" s="9">
        <v>1970</v>
      </c>
      <c r="W19" s="26" t="s">
        <v>2965</v>
      </c>
      <c r="X19" s="9">
        <v>1970</v>
      </c>
      <c r="Y19" s="26" t="s">
        <v>3008</v>
      </c>
      <c r="Z19" s="7">
        <v>52.2</v>
      </c>
      <c r="AA19" s="26" t="s">
        <v>3073</v>
      </c>
      <c r="AB19" s="87">
        <v>1970</v>
      </c>
      <c r="AC19" s="88" t="s">
        <v>3129</v>
      </c>
      <c r="AD19" s="72">
        <v>86.28</v>
      </c>
      <c r="AE19" s="26" t="s">
        <v>3182</v>
      </c>
      <c r="AF19" s="120"/>
      <c r="AG19" s="120"/>
      <c r="AH19" s="87">
        <v>1970</v>
      </c>
      <c r="AI19" s="26" t="s">
        <v>3222</v>
      </c>
      <c r="AJ19" s="7">
        <v>3250.01</v>
      </c>
      <c r="AK19" s="26" t="s">
        <v>3294</v>
      </c>
      <c r="AL19" s="9">
        <v>1099.01</v>
      </c>
      <c r="AM19" s="26" t="s">
        <v>3348</v>
      </c>
      <c r="AN19" s="7">
        <v>2765</v>
      </c>
      <c r="AO19" s="26" t="s">
        <v>3393</v>
      </c>
      <c r="AP19" s="7"/>
      <c r="AQ19" s="26"/>
      <c r="AR19" s="7"/>
      <c r="AS19" s="26"/>
      <c r="AT19" s="7">
        <v>1099.01</v>
      </c>
      <c r="AU19" s="26" t="s">
        <v>3440</v>
      </c>
      <c r="AV19" s="7">
        <v>1970</v>
      </c>
      <c r="AW19" s="26" t="s">
        <v>3476</v>
      </c>
      <c r="AX19" s="7">
        <v>5000</v>
      </c>
      <c r="AY19" s="26" t="s">
        <v>3633</v>
      </c>
      <c r="AZ19" s="9">
        <v>79.44</v>
      </c>
      <c r="BA19" s="15" t="s">
        <v>3658</v>
      </c>
      <c r="BB19" s="9"/>
      <c r="BC19" s="26"/>
      <c r="BD19" s="9"/>
      <c r="BE19" s="26"/>
      <c r="BF19" s="9">
        <v>250000</v>
      </c>
      <c r="BG19" s="26" t="s">
        <v>3741</v>
      </c>
      <c r="BH19" s="7">
        <v>696</v>
      </c>
      <c r="BI19" s="26" t="s">
        <v>3781</v>
      </c>
      <c r="BJ19" s="96">
        <v>1099.01</v>
      </c>
      <c r="BK19" s="26" t="s">
        <v>3832</v>
      </c>
      <c r="BL19" s="7"/>
      <c r="BM19" s="26"/>
      <c r="BN19" s="96">
        <v>3960.02</v>
      </c>
      <c r="BO19" s="26" t="s">
        <v>3879</v>
      </c>
      <c r="BP19" s="7"/>
      <c r="BQ19" s="26"/>
      <c r="BR19" s="7"/>
      <c r="BS19" s="26"/>
      <c r="BT19" s="7"/>
      <c r="BU19" s="26"/>
      <c r="BV19" s="7"/>
      <c r="BW19" s="26"/>
      <c r="BX19" s="7"/>
      <c r="BY19" s="26"/>
      <c r="BZ19" s="7"/>
      <c r="CA19" s="26"/>
      <c r="CB19" s="7"/>
      <c r="CC19" s="26"/>
      <c r="CD19" s="7"/>
      <c r="CE19" s="26"/>
      <c r="CF19" s="7"/>
      <c r="CG19" s="26"/>
      <c r="CH19" s="7"/>
      <c r="CI19" s="26"/>
      <c r="CJ19" s="7"/>
      <c r="CK19" s="26"/>
      <c r="CL19" s="7"/>
      <c r="CM19" s="26"/>
      <c r="CN19" s="7"/>
    </row>
    <row r="20" spans="1:92" x14ac:dyDescent="0.25">
      <c r="A20" s="41"/>
      <c r="B20" s="7"/>
      <c r="C20" s="26"/>
      <c r="D20" s="7"/>
      <c r="E20" s="26"/>
      <c r="F20" s="9">
        <v>1099</v>
      </c>
      <c r="G20" s="26" t="s">
        <v>2598</v>
      </c>
      <c r="H20" s="7">
        <v>1099.01</v>
      </c>
      <c r="I20" s="26" t="s">
        <v>2656</v>
      </c>
      <c r="J20" s="7">
        <v>1150</v>
      </c>
      <c r="K20" s="26" t="s">
        <v>2697</v>
      </c>
      <c r="L20" s="9"/>
      <c r="M20" s="15"/>
      <c r="N20" s="7"/>
      <c r="O20" s="26"/>
      <c r="P20" s="7">
        <v>1469.15</v>
      </c>
      <c r="Q20" s="26" t="s">
        <v>2817</v>
      </c>
      <c r="R20" s="7">
        <v>4395.01</v>
      </c>
      <c r="S20" s="26" t="s">
        <v>2856</v>
      </c>
      <c r="T20" s="7">
        <v>1592.29</v>
      </c>
      <c r="U20" s="26" t="s">
        <v>2919</v>
      </c>
      <c r="V20" s="9">
        <v>1961</v>
      </c>
      <c r="W20" s="26" t="s">
        <v>2966</v>
      </c>
      <c r="X20" s="9">
        <v>9759.15</v>
      </c>
      <c r="Y20" s="26" t="s">
        <v>3012</v>
      </c>
      <c r="Z20" s="7">
        <v>1099.01</v>
      </c>
      <c r="AA20" s="26" t="s">
        <v>3075</v>
      </c>
      <c r="AB20" s="87">
        <v>1099.01</v>
      </c>
      <c r="AC20" s="88" t="s">
        <v>3130</v>
      </c>
      <c r="AD20" s="72">
        <v>82.93</v>
      </c>
      <c r="AE20" s="26" t="s">
        <v>3183</v>
      </c>
      <c r="AF20" s="120"/>
      <c r="AG20" s="120"/>
      <c r="AH20" s="87">
        <v>696</v>
      </c>
      <c r="AI20" s="26" t="s">
        <v>3227</v>
      </c>
      <c r="AJ20" s="7">
        <v>2434</v>
      </c>
      <c r="AK20" s="26" t="s">
        <v>3295</v>
      </c>
      <c r="AL20" s="9">
        <v>1970</v>
      </c>
      <c r="AM20" s="26" t="s">
        <v>3349</v>
      </c>
      <c r="AN20" s="7">
        <v>434.12</v>
      </c>
      <c r="AO20" s="26" t="s">
        <v>3395</v>
      </c>
      <c r="AP20" s="7"/>
      <c r="AQ20" s="26"/>
      <c r="AR20" s="7"/>
      <c r="AS20" s="26"/>
      <c r="AT20" s="7">
        <v>649.04</v>
      </c>
      <c r="AU20" s="26" t="s">
        <v>3442</v>
      </c>
      <c r="AV20" s="7">
        <v>1970</v>
      </c>
      <c r="AW20" s="26" t="s">
        <v>3478</v>
      </c>
      <c r="AX20" s="7">
        <v>3030.01</v>
      </c>
      <c r="AY20" s="26" t="s">
        <v>3636</v>
      </c>
      <c r="AZ20" s="9"/>
      <c r="BA20" s="15" t="s">
        <v>3594</v>
      </c>
      <c r="BB20" s="9"/>
      <c r="BC20" s="26"/>
      <c r="BD20" s="9"/>
      <c r="BE20" s="26"/>
      <c r="BF20" s="9">
        <v>1970</v>
      </c>
      <c r="BG20" s="26" t="s">
        <v>3742</v>
      </c>
      <c r="BH20" s="7">
        <v>1970</v>
      </c>
      <c r="BI20" s="26" t="s">
        <v>3782</v>
      </c>
      <c r="BJ20" s="96">
        <v>442.52</v>
      </c>
      <c r="BK20" s="26" t="s">
        <v>3845</v>
      </c>
      <c r="BL20" s="9">
        <v>6000</v>
      </c>
      <c r="BM20" s="26" t="s">
        <v>3942</v>
      </c>
      <c r="BN20" s="96">
        <v>1099.01</v>
      </c>
      <c r="BO20" s="26" t="s">
        <v>3882</v>
      </c>
      <c r="BP20" s="7"/>
      <c r="BQ20" s="26"/>
      <c r="BR20" s="7"/>
      <c r="BS20" s="26"/>
      <c r="BT20" s="7"/>
      <c r="BU20" s="26"/>
      <c r="BV20" s="7"/>
      <c r="BW20" s="26"/>
      <c r="BX20" s="7"/>
      <c r="BY20" s="26"/>
      <c r="BZ20" s="7"/>
      <c r="CA20" s="26"/>
      <c r="CB20" s="7"/>
      <c r="CC20" s="26"/>
      <c r="CD20" s="7"/>
      <c r="CE20" s="26"/>
      <c r="CF20" s="7"/>
      <c r="CG20" s="26"/>
      <c r="CH20" s="7"/>
      <c r="CI20" s="26"/>
      <c r="CJ20" s="7"/>
      <c r="CK20" s="26"/>
      <c r="CL20" s="7"/>
      <c r="CM20" s="26"/>
      <c r="CN20" s="7"/>
    </row>
    <row r="21" spans="1:92" x14ac:dyDescent="0.25">
      <c r="A21" s="41"/>
      <c r="B21" s="7"/>
      <c r="C21" s="26"/>
      <c r="D21" s="7"/>
      <c r="E21" s="26"/>
      <c r="F21" s="9">
        <v>4395.01</v>
      </c>
      <c r="G21" s="26" t="s">
        <v>2599</v>
      </c>
      <c r="H21" s="7">
        <v>2375.0100000000002</v>
      </c>
      <c r="I21" s="26" t="s">
        <v>2658</v>
      </c>
      <c r="J21" s="7">
        <v>3200</v>
      </c>
      <c r="K21" s="26" t="s">
        <v>2698</v>
      </c>
      <c r="L21" s="7">
        <v>504.99</v>
      </c>
      <c r="M21" s="26" t="s">
        <v>2751</v>
      </c>
      <c r="N21" s="7"/>
      <c r="O21" s="26"/>
      <c r="P21" s="7">
        <v>192.19</v>
      </c>
      <c r="Q21" s="26" t="s">
        <v>2821</v>
      </c>
      <c r="R21" s="7">
        <v>1099.01</v>
      </c>
      <c r="S21" s="26" t="s">
        <v>2858</v>
      </c>
      <c r="T21" s="7">
        <v>1658.72</v>
      </c>
      <c r="U21" s="26" t="s">
        <v>2920</v>
      </c>
      <c r="V21" s="9">
        <v>635</v>
      </c>
      <c r="W21" s="26" t="s">
        <v>2969</v>
      </c>
      <c r="X21" s="9">
        <v>1969.99</v>
      </c>
      <c r="Y21" s="9" t="s">
        <v>3014</v>
      </c>
      <c r="Z21" s="7">
        <v>3018.01</v>
      </c>
      <c r="AA21" s="26" t="s">
        <v>3077</v>
      </c>
      <c r="AB21" s="87">
        <v>3250</v>
      </c>
      <c r="AC21" s="88" t="s">
        <v>3132</v>
      </c>
      <c r="AD21" s="72">
        <v>2261.63</v>
      </c>
      <c r="AE21" s="26" t="s">
        <v>3184</v>
      </c>
      <c r="AF21" s="7"/>
      <c r="AG21" s="26"/>
      <c r="AH21" s="87">
        <v>5655</v>
      </c>
      <c r="AI21" s="26" t="s">
        <v>3229</v>
      </c>
      <c r="AJ21" s="7">
        <v>1579.87</v>
      </c>
      <c r="AK21" s="26" t="s">
        <v>3296</v>
      </c>
      <c r="AL21" s="9">
        <v>694</v>
      </c>
      <c r="AM21" s="26" t="s">
        <v>3356</v>
      </c>
      <c r="AN21" s="9">
        <v>523.45000000000005</v>
      </c>
      <c r="AO21" s="15" t="s">
        <v>3397</v>
      </c>
      <c r="AP21" s="72"/>
      <c r="AQ21" s="24"/>
      <c r="AR21" s="7"/>
      <c r="AS21" s="26"/>
      <c r="AT21" s="7">
        <v>577.01</v>
      </c>
      <c r="AU21" s="26" t="s">
        <v>3445</v>
      </c>
      <c r="AV21" s="7">
        <v>2865.99</v>
      </c>
      <c r="AW21" s="26" t="s">
        <v>3479</v>
      </c>
      <c r="AX21" s="7">
        <v>2350.0100000000002</v>
      </c>
      <c r="AY21" s="26" t="s">
        <v>3637</v>
      </c>
      <c r="AZ21" s="9"/>
      <c r="BA21" s="15"/>
      <c r="BB21" s="9"/>
      <c r="BC21" s="26"/>
      <c r="BD21" s="9"/>
      <c r="BE21" s="26"/>
      <c r="BF21" s="9">
        <v>100</v>
      </c>
      <c r="BG21" s="26" t="s">
        <v>3745</v>
      </c>
      <c r="BH21" s="7">
        <v>1887.01</v>
      </c>
      <c r="BI21" s="26" t="s">
        <v>3785</v>
      </c>
      <c r="BJ21" s="114">
        <v>3169</v>
      </c>
      <c r="BK21" s="13" t="s">
        <v>3822</v>
      </c>
      <c r="BL21" s="9">
        <v>711.75</v>
      </c>
      <c r="BM21" s="26" t="s">
        <v>3943</v>
      </c>
      <c r="BN21" s="96">
        <v>5291</v>
      </c>
      <c r="BO21" s="26" t="s">
        <v>3884</v>
      </c>
      <c r="BP21" s="7"/>
      <c r="BQ21" s="26"/>
      <c r="BR21" s="7"/>
      <c r="BS21" s="26"/>
      <c r="BT21" s="7"/>
      <c r="BU21" s="26"/>
      <c r="BV21" s="7"/>
      <c r="BW21" s="26"/>
      <c r="BX21" s="7"/>
      <c r="BY21" s="26"/>
      <c r="BZ21" s="7"/>
      <c r="CA21" s="26"/>
      <c r="CB21" s="7"/>
      <c r="CC21" s="26"/>
      <c r="CD21" s="7"/>
      <c r="CE21" s="26"/>
      <c r="CF21" s="7"/>
      <c r="CG21" s="26"/>
      <c r="CH21" s="7"/>
      <c r="CI21" s="26"/>
      <c r="CJ21" s="7"/>
      <c r="CK21" s="26"/>
      <c r="CL21" s="7"/>
      <c r="CM21" s="26"/>
      <c r="CN21" s="7"/>
    </row>
    <row r="22" spans="1:92" x14ac:dyDescent="0.25">
      <c r="A22" s="41"/>
      <c r="B22" s="7"/>
      <c r="C22" s="26"/>
      <c r="D22" s="7"/>
      <c r="E22" s="26"/>
      <c r="F22" s="9">
        <v>3250</v>
      </c>
      <c r="G22" s="26" t="s">
        <v>2601</v>
      </c>
      <c r="H22" s="7">
        <v>579.55999999999995</v>
      </c>
      <c r="I22" s="26" t="s">
        <v>2661</v>
      </c>
      <c r="J22" s="7">
        <v>2778.99</v>
      </c>
      <c r="K22" s="26" t="s">
        <v>2699</v>
      </c>
      <c r="L22" s="7">
        <v>1970</v>
      </c>
      <c r="M22" s="26" t="s">
        <v>2753</v>
      </c>
      <c r="N22" s="7"/>
      <c r="O22" s="26"/>
      <c r="P22" s="7">
        <f>1589.01-500</f>
        <v>1089.01</v>
      </c>
      <c r="Q22" s="26" t="s">
        <v>2818</v>
      </c>
      <c r="R22" s="9">
        <v>3250</v>
      </c>
      <c r="S22" s="15" t="s">
        <v>2861</v>
      </c>
      <c r="T22" s="7">
        <v>3250.01</v>
      </c>
      <c r="U22" s="26" t="s">
        <v>2921</v>
      </c>
      <c r="V22" s="9">
        <v>505.01</v>
      </c>
      <c r="W22" s="26" t="s">
        <v>2970</v>
      </c>
      <c r="X22" s="9">
        <v>3250.01</v>
      </c>
      <c r="Y22" s="26" t="s">
        <v>3017</v>
      </c>
      <c r="Z22" s="7">
        <v>1099.01</v>
      </c>
      <c r="AA22" s="26" t="s">
        <v>3078</v>
      </c>
      <c r="AB22" s="72">
        <v>82.93</v>
      </c>
      <c r="AC22" s="88" t="s">
        <v>3134</v>
      </c>
      <c r="AD22" s="9">
        <v>1949.99</v>
      </c>
      <c r="AE22" s="86" t="s">
        <v>3185</v>
      </c>
      <c r="AF22" s="7"/>
      <c r="AG22" s="26"/>
      <c r="AH22" s="87">
        <v>380.89</v>
      </c>
      <c r="AI22" s="26" t="s">
        <v>3230</v>
      </c>
      <c r="AJ22" s="7">
        <v>127.46</v>
      </c>
      <c r="AK22" s="26" t="s">
        <v>3297</v>
      </c>
      <c r="AL22" s="9">
        <v>2358.88</v>
      </c>
      <c r="AM22" s="26" t="s">
        <v>3358</v>
      </c>
      <c r="AN22" s="7">
        <v>211.03</v>
      </c>
      <c r="AO22" s="26" t="s">
        <v>3398</v>
      </c>
      <c r="AP22" s="120"/>
      <c r="AR22" s="7"/>
      <c r="AS22" s="26"/>
      <c r="AT22" s="7">
        <v>494.08</v>
      </c>
      <c r="AU22" s="26" t="s">
        <v>3448</v>
      </c>
      <c r="AV22" s="7">
        <v>1099.01</v>
      </c>
      <c r="AW22" s="26" t="s">
        <v>3481</v>
      </c>
      <c r="AX22" s="7">
        <v>1099.01</v>
      </c>
      <c r="AY22" s="26" t="s">
        <v>3638</v>
      </c>
      <c r="AZ22" s="9"/>
      <c r="BA22" s="15"/>
      <c r="BB22" s="9"/>
      <c r="BC22" s="26"/>
      <c r="BD22" s="9"/>
      <c r="BE22" s="26"/>
      <c r="BF22" s="9">
        <v>1416.01</v>
      </c>
      <c r="BG22" s="26" t="s">
        <v>3747</v>
      </c>
      <c r="BH22" s="7">
        <v>1099.01</v>
      </c>
      <c r="BI22" s="26" t="s">
        <v>3789</v>
      </c>
      <c r="BJ22" s="11"/>
      <c r="BK22" s="13"/>
      <c r="BL22" s="9">
        <v>151.28</v>
      </c>
      <c r="BM22" s="26" t="s">
        <v>3945</v>
      </c>
      <c r="BN22" s="96">
        <v>454.88</v>
      </c>
      <c r="BO22" s="26" t="s">
        <v>3886</v>
      </c>
      <c r="BP22" s="7"/>
      <c r="BQ22" s="26"/>
      <c r="BR22" s="7"/>
      <c r="BS22" s="26"/>
      <c r="BT22" s="7"/>
      <c r="BU22" s="26"/>
      <c r="BV22" s="7"/>
      <c r="BW22" s="26"/>
      <c r="BX22" s="7"/>
      <c r="BY22" s="26"/>
      <c r="BZ22" s="7"/>
      <c r="CA22" s="26"/>
      <c r="CB22" s="7"/>
      <c r="CC22" s="26"/>
      <c r="CD22" s="7"/>
      <c r="CE22" s="26"/>
      <c r="CF22" s="7"/>
      <c r="CG22" s="26"/>
      <c r="CH22" s="7"/>
      <c r="CI22" s="26"/>
      <c r="CJ22" s="7"/>
      <c r="CK22" s="26"/>
      <c r="CL22" s="7"/>
      <c r="CM22" s="26"/>
      <c r="CN22" s="7"/>
    </row>
    <row r="23" spans="1:92" x14ac:dyDescent="0.25">
      <c r="A23" s="41"/>
      <c r="B23" s="7"/>
      <c r="C23" s="26"/>
      <c r="D23" s="7"/>
      <c r="E23" s="26"/>
      <c r="F23" s="9">
        <v>1099.01</v>
      </c>
      <c r="G23" s="26" t="s">
        <v>2605</v>
      </c>
      <c r="H23" s="7">
        <v>448.69</v>
      </c>
      <c r="I23" s="26" t="s">
        <v>2662</v>
      </c>
      <c r="J23" s="9">
        <v>1099.01</v>
      </c>
      <c r="K23" s="15" t="s">
        <v>2700</v>
      </c>
      <c r="L23" s="9">
        <v>1970</v>
      </c>
      <c r="M23" s="15" t="s">
        <v>2756</v>
      </c>
      <c r="N23" s="9"/>
      <c r="O23" s="15"/>
      <c r="P23" s="9"/>
      <c r="Q23" s="15"/>
      <c r="R23" s="9">
        <v>635</v>
      </c>
      <c r="S23" s="15" t="s">
        <v>2863</v>
      </c>
      <c r="T23" s="9">
        <v>254.92</v>
      </c>
      <c r="U23" s="15" t="s">
        <v>2923</v>
      </c>
      <c r="V23" s="9">
        <v>635</v>
      </c>
      <c r="W23" s="15" t="s">
        <v>2971</v>
      </c>
      <c r="X23" s="9">
        <v>1099.01</v>
      </c>
      <c r="Y23" s="15" t="s">
        <v>3019</v>
      </c>
      <c r="Z23" s="9">
        <v>1099.01</v>
      </c>
      <c r="AA23" s="15" t="s">
        <v>3079</v>
      </c>
      <c r="AB23" s="87">
        <v>153928</v>
      </c>
      <c r="AC23" s="88" t="s">
        <v>3135</v>
      </c>
      <c r="AD23" s="72">
        <v>82.93</v>
      </c>
      <c r="AE23" s="26" t="s">
        <v>3186</v>
      </c>
      <c r="AF23" s="15"/>
      <c r="AG23" s="15"/>
      <c r="AH23" s="87">
        <v>464</v>
      </c>
      <c r="AI23" s="26" t="s">
        <v>3231</v>
      </c>
      <c r="AJ23" s="7">
        <v>75.41</v>
      </c>
      <c r="AK23" s="26" t="s">
        <v>3300</v>
      </c>
      <c r="AL23" s="7">
        <v>2358.88</v>
      </c>
      <c r="AM23" s="26" t="s">
        <v>3359</v>
      </c>
      <c r="AN23" s="7">
        <v>540.28</v>
      </c>
      <c r="AO23" s="26" t="s">
        <v>3402</v>
      </c>
      <c r="AP23" s="120"/>
      <c r="AR23" s="7"/>
      <c r="AS23" s="26"/>
      <c r="AT23" s="9">
        <v>786.74</v>
      </c>
      <c r="AU23" s="15" t="s">
        <v>3444</v>
      </c>
      <c r="AV23" s="7">
        <v>687.53</v>
      </c>
      <c r="AW23" s="26" t="s">
        <v>3485</v>
      </c>
      <c r="AX23" s="7">
        <v>676.59</v>
      </c>
      <c r="AY23" s="26" t="s">
        <v>3641</v>
      </c>
      <c r="AZ23" s="9"/>
      <c r="BA23" s="15"/>
      <c r="BB23" s="9"/>
      <c r="BC23" s="26"/>
      <c r="BD23" s="9"/>
      <c r="BE23" s="26"/>
      <c r="BF23" s="9">
        <v>1970</v>
      </c>
      <c r="BG23" s="26" t="s">
        <v>3749</v>
      </c>
      <c r="BH23" s="7">
        <v>1751.39</v>
      </c>
      <c r="BI23" s="26" t="s">
        <v>3791</v>
      </c>
      <c r="BJ23" s="7"/>
      <c r="BK23" s="26"/>
      <c r="BL23" s="9">
        <v>7000</v>
      </c>
      <c r="BM23" s="26" t="s">
        <v>3949</v>
      </c>
      <c r="BN23" s="96">
        <v>2345</v>
      </c>
      <c r="BO23" s="26" t="s">
        <v>3889</v>
      </c>
      <c r="BP23" s="7"/>
      <c r="BQ23" s="26"/>
      <c r="BR23" s="7"/>
      <c r="BS23" s="26"/>
      <c r="BT23" s="7"/>
      <c r="BU23" s="26"/>
      <c r="BV23" s="7"/>
      <c r="BW23" s="26"/>
      <c r="BX23" s="7"/>
      <c r="BY23" s="26"/>
      <c r="BZ23" s="7"/>
      <c r="CA23" s="26"/>
      <c r="CB23" s="7"/>
      <c r="CC23" s="26"/>
      <c r="CD23" s="7"/>
      <c r="CE23" s="26"/>
      <c r="CF23" s="7"/>
      <c r="CG23" s="26"/>
      <c r="CH23" s="7"/>
      <c r="CI23" s="26"/>
      <c r="CJ23" s="7"/>
      <c r="CK23" s="26"/>
      <c r="CL23" s="7"/>
      <c r="CM23" s="26"/>
      <c r="CN23" s="7"/>
    </row>
    <row r="24" spans="1:92" x14ac:dyDescent="0.25">
      <c r="A24" s="41"/>
      <c r="B24" s="7"/>
      <c r="C24" s="26"/>
      <c r="D24" s="7"/>
      <c r="E24" s="26"/>
      <c r="F24" s="9">
        <v>3250</v>
      </c>
      <c r="G24" s="26" t="s">
        <v>2606</v>
      </c>
      <c r="H24" s="7">
        <v>1254.0999999999999</v>
      </c>
      <c r="I24" s="7" t="s">
        <v>2663</v>
      </c>
      <c r="J24" s="9">
        <v>2320</v>
      </c>
      <c r="K24" s="15" t="s">
        <v>2702</v>
      </c>
      <c r="L24" s="9">
        <v>1969.99</v>
      </c>
      <c r="M24" s="15" t="s">
        <v>2757</v>
      </c>
      <c r="N24" s="9"/>
      <c r="O24" s="15"/>
      <c r="P24" s="9"/>
      <c r="Q24" s="15"/>
      <c r="R24" s="9">
        <v>4395.01</v>
      </c>
      <c r="S24" s="15" t="s">
        <v>2864</v>
      </c>
      <c r="T24" s="9">
        <v>374.42</v>
      </c>
      <c r="U24" s="15" t="s">
        <v>2925</v>
      </c>
      <c r="V24" s="9">
        <f>964.01-185.49</f>
        <v>778.52</v>
      </c>
      <c r="W24" s="15" t="s">
        <v>2972</v>
      </c>
      <c r="X24" s="9">
        <v>2134.0100000000002</v>
      </c>
      <c r="Y24" s="15" t="s">
        <v>3020</v>
      </c>
      <c r="Z24" s="9">
        <v>2360.0100000000002</v>
      </c>
      <c r="AA24" s="15" t="s">
        <v>3081</v>
      </c>
      <c r="AB24" s="72"/>
      <c r="AC24" s="86"/>
      <c r="AD24" s="87"/>
      <c r="AE24" s="26"/>
      <c r="AF24" s="7"/>
      <c r="AG24" s="26"/>
      <c r="AH24" s="87">
        <v>52.2</v>
      </c>
      <c r="AI24" s="26" t="s">
        <v>3233</v>
      </c>
      <c r="AJ24" s="7">
        <v>579.55999999999995</v>
      </c>
      <c r="AK24" s="26" t="s">
        <v>3302</v>
      </c>
      <c r="AL24" s="7">
        <v>1099</v>
      </c>
      <c r="AM24" s="26" t="s">
        <v>3405</v>
      </c>
      <c r="AN24" s="7">
        <v>510.74</v>
      </c>
      <c r="AO24" s="26" t="s">
        <v>3403</v>
      </c>
      <c r="AP24" s="7"/>
      <c r="AQ24" s="26"/>
      <c r="AR24" s="7"/>
      <c r="AS24" s="26"/>
      <c r="AT24" s="9">
        <v>2970</v>
      </c>
      <c r="AU24" s="15" t="s">
        <v>3425</v>
      </c>
      <c r="AV24" s="7">
        <v>1744.73</v>
      </c>
      <c r="AW24" s="26" t="s">
        <v>3487</v>
      </c>
      <c r="AX24" s="7"/>
      <c r="AY24" s="26"/>
      <c r="AZ24" s="9"/>
      <c r="BA24" s="15"/>
      <c r="BB24" s="9"/>
      <c r="BC24" s="15"/>
      <c r="BD24" s="9"/>
      <c r="BE24" s="26"/>
      <c r="BF24" s="9">
        <v>1099.01</v>
      </c>
      <c r="BG24" s="26" t="s">
        <v>3756</v>
      </c>
      <c r="BH24" s="7">
        <v>876.31</v>
      </c>
      <c r="BI24" s="26" t="s">
        <v>3792</v>
      </c>
      <c r="BJ24" s="7"/>
      <c r="BK24" s="26"/>
      <c r="BL24" s="9">
        <v>1686.25</v>
      </c>
      <c r="BM24" s="26" t="s">
        <v>3950</v>
      </c>
      <c r="BN24" s="96">
        <v>923.68</v>
      </c>
      <c r="BO24" s="26" t="s">
        <v>3890</v>
      </c>
      <c r="BP24" s="7"/>
      <c r="BQ24" s="26"/>
      <c r="BR24" s="7"/>
      <c r="BS24" s="26"/>
      <c r="BT24" s="7"/>
      <c r="BU24" s="26"/>
      <c r="BV24" s="7"/>
      <c r="BW24" s="26"/>
      <c r="BX24" s="7"/>
      <c r="BY24" s="26"/>
      <c r="BZ24" s="7"/>
      <c r="CA24" s="26"/>
      <c r="CB24" s="7"/>
      <c r="CC24" s="26"/>
      <c r="CD24" s="7"/>
      <c r="CE24" s="26"/>
      <c r="CF24" s="7"/>
      <c r="CG24" s="26"/>
      <c r="CH24" s="7"/>
      <c r="CI24" s="26"/>
      <c r="CJ24" s="7"/>
      <c r="CK24" s="26"/>
      <c r="CL24" s="7"/>
      <c r="CM24" s="26"/>
      <c r="CN24" s="7"/>
    </row>
    <row r="25" spans="1:92" x14ac:dyDescent="0.25">
      <c r="A25" s="41"/>
      <c r="B25" s="72"/>
      <c r="C25" s="24"/>
      <c r="D25" s="7"/>
      <c r="E25" s="26"/>
      <c r="F25" s="9">
        <v>4268.03</v>
      </c>
      <c r="G25" s="26" t="s">
        <v>2612</v>
      </c>
      <c r="H25" s="7">
        <v>1531.13</v>
      </c>
      <c r="I25" s="26" t="s">
        <v>2664</v>
      </c>
      <c r="J25" s="9">
        <v>4548</v>
      </c>
      <c r="K25" s="15" t="s">
        <v>2704</v>
      </c>
      <c r="L25" s="9">
        <v>250</v>
      </c>
      <c r="M25" s="15" t="s">
        <v>2758</v>
      </c>
      <c r="N25" s="9"/>
      <c r="O25" s="15"/>
      <c r="P25" s="9"/>
      <c r="Q25" s="15"/>
      <c r="R25" s="9">
        <v>1099.01</v>
      </c>
      <c r="S25" s="15" t="s">
        <v>2866</v>
      </c>
      <c r="T25" s="9">
        <v>418.79</v>
      </c>
      <c r="U25" s="15" t="s">
        <v>2926</v>
      </c>
      <c r="V25" s="9">
        <v>3370.01</v>
      </c>
      <c r="W25" s="15" t="s">
        <v>2973</v>
      </c>
      <c r="X25" s="9">
        <v>1969.99</v>
      </c>
      <c r="Y25" s="15" t="s">
        <v>3026</v>
      </c>
      <c r="Z25" s="9">
        <v>1969.99</v>
      </c>
      <c r="AA25" s="15" t="s">
        <v>3082</v>
      </c>
      <c r="AB25" s="87"/>
      <c r="AC25" s="88"/>
      <c r="AD25" s="87"/>
      <c r="AE25" s="26"/>
      <c r="AF25" s="7"/>
      <c r="AG25" s="26"/>
      <c r="AH25" s="87">
        <v>12707.99</v>
      </c>
      <c r="AI25" s="26" t="s">
        <v>3235</v>
      </c>
      <c r="AJ25" s="7">
        <v>676.59</v>
      </c>
      <c r="AK25" s="26" t="s">
        <v>3303</v>
      </c>
      <c r="AL25" s="7"/>
      <c r="AM25" s="26"/>
      <c r="AN25" s="7">
        <v>1451.77</v>
      </c>
      <c r="AO25" s="26" t="s">
        <v>3404</v>
      </c>
      <c r="AP25" s="7"/>
      <c r="AQ25" s="26"/>
      <c r="AR25" s="7"/>
      <c r="AS25" s="26"/>
      <c r="AT25" s="9">
        <v>223.88</v>
      </c>
      <c r="AU25" s="15" t="s">
        <v>3426</v>
      </c>
      <c r="AV25" s="7"/>
      <c r="AW25" s="26"/>
      <c r="AX25" s="7"/>
      <c r="AY25" s="26"/>
      <c r="AZ25" s="9"/>
      <c r="BA25" s="15"/>
      <c r="BB25" s="9"/>
      <c r="BC25" s="15"/>
      <c r="BD25" s="9"/>
      <c r="BE25" s="26"/>
      <c r="BF25" s="72">
        <v>402.14</v>
      </c>
      <c r="BG25" s="24" t="s">
        <v>3759</v>
      </c>
      <c r="BH25" s="7">
        <v>1541.29</v>
      </c>
      <c r="BI25" s="26" t="s">
        <v>3793</v>
      </c>
      <c r="BJ25" s="7"/>
      <c r="BK25" s="26"/>
      <c r="BL25" s="9">
        <v>1099.01</v>
      </c>
      <c r="BM25" s="26" t="s">
        <v>3953</v>
      </c>
      <c r="BN25" s="96">
        <v>1099.01</v>
      </c>
      <c r="BO25" s="26" t="s">
        <v>3891</v>
      </c>
      <c r="BP25" s="7"/>
      <c r="BQ25" s="26"/>
      <c r="BR25" s="7"/>
      <c r="BS25" s="26"/>
      <c r="BT25" s="7"/>
      <c r="BU25" s="26"/>
      <c r="BV25" s="7"/>
      <c r="BW25" s="26"/>
      <c r="BX25" s="7"/>
      <c r="BY25" s="26"/>
      <c r="BZ25" s="7"/>
      <c r="CA25" s="26"/>
      <c r="CB25" s="7"/>
      <c r="CC25" s="26"/>
      <c r="CD25" s="7"/>
      <c r="CE25" s="26"/>
      <c r="CF25" s="7"/>
      <c r="CG25" s="26"/>
      <c r="CH25" s="7"/>
      <c r="CI25" s="26"/>
      <c r="CJ25" s="7"/>
      <c r="CK25" s="26"/>
      <c r="CL25" s="7"/>
      <c r="CM25" s="26"/>
      <c r="CN25" s="7"/>
    </row>
    <row r="26" spans="1:92" x14ac:dyDescent="0.25">
      <c r="A26" s="41"/>
      <c r="B26" s="7"/>
      <c r="C26" s="26"/>
      <c r="D26" s="7"/>
      <c r="E26" s="26"/>
      <c r="F26" s="9">
        <v>150</v>
      </c>
      <c r="G26" s="26" t="s">
        <v>2613</v>
      </c>
      <c r="H26" s="7">
        <v>527.57000000000005</v>
      </c>
      <c r="I26" s="26" t="s">
        <v>2665</v>
      </c>
      <c r="J26" s="9">
        <v>1099.01</v>
      </c>
      <c r="K26" s="15" t="s">
        <v>2709</v>
      </c>
      <c r="L26" s="9">
        <v>499.99</v>
      </c>
      <c r="M26" s="15" t="s">
        <v>2759</v>
      </c>
      <c r="N26" s="9"/>
      <c r="O26" s="15"/>
      <c r="P26" s="9"/>
      <c r="Q26" s="15"/>
      <c r="R26" s="7">
        <v>1099.01</v>
      </c>
      <c r="S26" s="26" t="s">
        <v>2867</v>
      </c>
      <c r="T26" s="72">
        <v>82.93</v>
      </c>
      <c r="U26" s="24" t="s">
        <v>2927</v>
      </c>
      <c r="V26" s="9">
        <v>2350.0100000000002</v>
      </c>
      <c r="W26" s="15" t="s">
        <v>2955</v>
      </c>
      <c r="X26" s="9">
        <v>1995</v>
      </c>
      <c r="Y26" s="15" t="s">
        <v>3036</v>
      </c>
      <c r="Z26" s="9">
        <v>82.93</v>
      </c>
      <c r="AA26" s="15" t="s">
        <v>3088</v>
      </c>
      <c r="AB26" s="149"/>
      <c r="AC26" s="120"/>
      <c r="AD26" s="87"/>
      <c r="AE26" s="26"/>
      <c r="AF26" s="7"/>
      <c r="AG26" s="26"/>
      <c r="AH26" s="87">
        <v>1099.01</v>
      </c>
      <c r="AI26" s="26" t="s">
        <v>3236</v>
      </c>
      <c r="AJ26" s="7">
        <v>2132.9299999999998</v>
      </c>
      <c r="AK26" s="26" t="s">
        <v>3253</v>
      </c>
      <c r="AL26" s="7"/>
      <c r="AM26" s="26"/>
      <c r="AN26" s="9">
        <v>1099.01</v>
      </c>
      <c r="AO26" s="15" t="s">
        <v>3385</v>
      </c>
      <c r="AP26" s="7"/>
      <c r="AQ26" s="26"/>
      <c r="AR26" s="7"/>
      <c r="AS26" s="26"/>
      <c r="AT26" s="7"/>
      <c r="AU26" s="26"/>
      <c r="AV26" s="7">
        <v>10</v>
      </c>
      <c r="AW26" s="26" t="s">
        <v>3503</v>
      </c>
      <c r="AX26" s="7"/>
      <c r="AY26" s="26"/>
      <c r="AZ26" s="9"/>
      <c r="BA26" s="15"/>
      <c r="BB26" s="9"/>
      <c r="BC26" s="15"/>
      <c r="BD26" s="72"/>
      <c r="BE26" s="24"/>
      <c r="BF26" s="9">
        <v>322.7</v>
      </c>
      <c r="BG26" s="26" t="s">
        <v>3760</v>
      </c>
      <c r="BH26" s="7">
        <v>232</v>
      </c>
      <c r="BI26" s="26" t="s">
        <v>3795</v>
      </c>
      <c r="BJ26" s="7"/>
      <c r="BK26" s="26"/>
      <c r="BL26" s="9">
        <v>1099.01</v>
      </c>
      <c r="BM26" s="26" t="s">
        <v>3955</v>
      </c>
      <c r="BN26" s="96">
        <v>953.18</v>
      </c>
      <c r="BO26" s="26" t="s">
        <v>3892</v>
      </c>
      <c r="BP26" s="7"/>
      <c r="BQ26" s="26"/>
      <c r="BR26" s="7"/>
      <c r="BS26" s="26"/>
      <c r="BT26" s="7"/>
      <c r="BU26" s="26"/>
      <c r="BV26" s="7"/>
      <c r="BW26" s="26"/>
      <c r="BX26" s="7"/>
      <c r="BY26" s="26"/>
      <c r="BZ26" s="7"/>
      <c r="CA26" s="26"/>
      <c r="CB26" s="7"/>
      <c r="CC26" s="26"/>
      <c r="CD26" s="7"/>
      <c r="CE26" s="26"/>
      <c r="CF26" s="7"/>
      <c r="CG26" s="26"/>
      <c r="CH26" s="7"/>
      <c r="CI26" s="26"/>
      <c r="CJ26" s="7"/>
      <c r="CK26" s="26"/>
      <c r="CL26" s="7"/>
      <c r="CM26" s="26"/>
      <c r="CN26" s="7"/>
    </row>
    <row r="27" spans="1:92" x14ac:dyDescent="0.25">
      <c r="A27" s="41"/>
      <c r="B27" s="7"/>
      <c r="C27" s="26"/>
      <c r="D27" s="7"/>
      <c r="E27" s="15"/>
      <c r="F27" s="7"/>
      <c r="G27" s="26"/>
      <c r="H27" s="7">
        <v>243.86</v>
      </c>
      <c r="I27" s="26" t="s">
        <v>2666</v>
      </c>
      <c r="J27" s="9">
        <v>1099.01</v>
      </c>
      <c r="K27" s="9" t="s">
        <v>2713</v>
      </c>
      <c r="L27" s="7">
        <v>577.01</v>
      </c>
      <c r="M27" s="26" t="s">
        <v>2761</v>
      </c>
      <c r="N27" s="7"/>
      <c r="O27" s="26"/>
      <c r="P27" s="7"/>
      <c r="Q27" s="26"/>
      <c r="R27" s="7">
        <f>2869.04-2712.56</f>
        <v>156.48000000000002</v>
      </c>
      <c r="S27" s="26" t="s">
        <v>2868</v>
      </c>
      <c r="T27" s="7">
        <v>121.93</v>
      </c>
      <c r="U27" s="26" t="s">
        <v>2928</v>
      </c>
      <c r="V27" s="7"/>
      <c r="W27" s="26"/>
      <c r="X27" s="9">
        <v>148.85</v>
      </c>
      <c r="Y27" s="26" t="s">
        <v>3038</v>
      </c>
      <c r="Z27" s="7"/>
      <c r="AA27" s="26"/>
      <c r="AB27" s="87"/>
      <c r="AC27" s="88"/>
      <c r="AD27" s="87"/>
      <c r="AE27" s="26"/>
      <c r="AF27" s="7"/>
      <c r="AG27" s="26"/>
      <c r="AH27" s="87">
        <v>286.14</v>
      </c>
      <c r="AI27" s="26" t="s">
        <v>3239</v>
      </c>
      <c r="AJ27" s="7">
        <v>82.93</v>
      </c>
      <c r="AK27" s="26" t="s">
        <v>3305</v>
      </c>
      <c r="AL27" s="7"/>
      <c r="AM27" s="26"/>
      <c r="AN27" s="7"/>
      <c r="AO27" s="26"/>
      <c r="AP27" s="7"/>
      <c r="AQ27" s="26"/>
      <c r="AR27" s="7"/>
      <c r="AS27" s="26"/>
      <c r="AT27" s="7">
        <v>9290.73</v>
      </c>
      <c r="AU27" s="26" t="s">
        <v>3488</v>
      </c>
      <c r="AV27" s="7">
        <v>5500</v>
      </c>
      <c r="AW27" s="26" t="s">
        <v>3505</v>
      </c>
      <c r="AX27" s="7"/>
      <c r="AY27" s="26"/>
      <c r="AZ27" s="9"/>
      <c r="BA27" s="15"/>
      <c r="BB27" s="7"/>
      <c r="BC27" s="26"/>
      <c r="BD27" s="9"/>
      <c r="BE27" s="15"/>
      <c r="BF27" s="9"/>
      <c r="BG27" s="26"/>
      <c r="BH27" s="7">
        <v>1099</v>
      </c>
      <c r="BI27" s="26" t="s">
        <v>3797</v>
      </c>
      <c r="BJ27" s="7"/>
      <c r="BK27" s="26"/>
      <c r="BL27" s="9">
        <v>1479.01</v>
      </c>
      <c r="BM27" s="26" t="s">
        <v>3960</v>
      </c>
      <c r="BN27" s="96">
        <v>1531.29</v>
      </c>
      <c r="BO27" s="26" t="s">
        <v>3893</v>
      </c>
      <c r="BP27" s="7"/>
      <c r="BQ27" s="26"/>
      <c r="BR27" s="7"/>
      <c r="BS27" s="26"/>
      <c r="BT27" s="7"/>
      <c r="BU27" s="26"/>
      <c r="BV27" s="7"/>
      <c r="BW27" s="26"/>
      <c r="BX27" s="7"/>
      <c r="BY27" s="26"/>
      <c r="BZ27" s="7"/>
      <c r="CA27" s="26"/>
      <c r="CB27" s="7"/>
      <c r="CC27" s="26"/>
      <c r="CD27" s="7"/>
      <c r="CE27" s="26"/>
      <c r="CF27" s="7"/>
      <c r="CG27" s="26"/>
      <c r="CH27" s="7"/>
      <c r="CI27" s="26"/>
      <c r="CJ27" s="7"/>
      <c r="CK27" s="26"/>
      <c r="CL27" s="7"/>
      <c r="CM27" s="26"/>
      <c r="CN27" s="7"/>
    </row>
    <row r="28" spans="1:92" x14ac:dyDescent="0.25">
      <c r="A28" s="41"/>
      <c r="B28" s="7"/>
      <c r="C28" s="26"/>
      <c r="D28" s="7"/>
      <c r="E28" s="26"/>
      <c r="F28" s="7"/>
      <c r="G28" s="26"/>
      <c r="H28" s="7">
        <v>393.9</v>
      </c>
      <c r="I28" s="26" t="s">
        <v>2667</v>
      </c>
      <c r="J28" s="9">
        <v>1349</v>
      </c>
      <c r="K28" s="9" t="s">
        <v>2714</v>
      </c>
      <c r="L28" s="7"/>
      <c r="M28" s="26"/>
      <c r="N28" s="7"/>
      <c r="O28" s="26"/>
      <c r="P28" s="7"/>
      <c r="Q28" s="26"/>
      <c r="R28" s="7">
        <v>442.52</v>
      </c>
      <c r="S28" s="26" t="s">
        <v>2870</v>
      </c>
      <c r="T28" s="7"/>
      <c r="U28" s="26"/>
      <c r="V28" s="7"/>
      <c r="W28" s="26"/>
      <c r="X28" s="9">
        <v>577.01</v>
      </c>
      <c r="Y28" s="26" t="s">
        <v>3039</v>
      </c>
      <c r="Z28" s="7"/>
      <c r="AA28" s="26"/>
      <c r="AB28" s="7"/>
      <c r="AC28" s="26"/>
      <c r="AD28" s="87"/>
      <c r="AE28" s="26"/>
      <c r="AF28" s="7"/>
      <c r="AG28" s="26"/>
      <c r="AH28" s="87">
        <v>5000</v>
      </c>
      <c r="AI28" s="15" t="s">
        <v>3232</v>
      </c>
      <c r="AJ28" s="7"/>
      <c r="AK28" s="26"/>
      <c r="AL28" s="7"/>
      <c r="AM28" s="26"/>
      <c r="AN28" s="7"/>
      <c r="AO28" s="26"/>
      <c r="AP28" s="7"/>
      <c r="AQ28" s="26"/>
      <c r="AR28" s="7"/>
      <c r="AS28" s="26"/>
      <c r="AT28" s="9">
        <v>15292.25</v>
      </c>
      <c r="AU28" s="15" t="s">
        <v>3489</v>
      </c>
      <c r="AV28" s="7">
        <v>116.46</v>
      </c>
      <c r="AW28" s="26" t="s">
        <v>3506</v>
      </c>
      <c r="AX28" s="7"/>
      <c r="AY28" s="26"/>
      <c r="AZ28" s="9"/>
      <c r="BA28" s="15"/>
      <c r="BB28" s="7"/>
      <c r="BC28" s="26"/>
      <c r="BD28" s="9"/>
      <c r="BE28" s="15"/>
      <c r="BF28" s="7"/>
      <c r="BG28" s="26"/>
      <c r="BH28" s="7">
        <v>79.44</v>
      </c>
      <c r="BI28" s="26" t="s">
        <v>3799</v>
      </c>
      <c r="BJ28" s="7"/>
      <c r="BK28" s="26"/>
      <c r="BL28" s="9">
        <v>1099.01</v>
      </c>
      <c r="BM28" s="26" t="s">
        <v>3967</v>
      </c>
      <c r="BN28" s="96">
        <v>1099.01</v>
      </c>
      <c r="BO28" s="26" t="s">
        <v>3894</v>
      </c>
      <c r="BP28" s="7"/>
      <c r="BQ28" s="26"/>
      <c r="BR28" s="7"/>
      <c r="BS28" s="26"/>
      <c r="BT28" s="7"/>
      <c r="BU28" s="26"/>
      <c r="BV28" s="7"/>
      <c r="BW28" s="26"/>
      <c r="BX28" s="7"/>
      <c r="BY28" s="26"/>
      <c r="BZ28" s="7"/>
      <c r="CA28" s="26"/>
      <c r="CB28" s="7"/>
      <c r="CC28" s="26"/>
      <c r="CD28" s="7"/>
      <c r="CE28" s="26"/>
      <c r="CF28" s="7"/>
      <c r="CG28" s="26"/>
      <c r="CH28" s="7"/>
      <c r="CI28" s="26"/>
      <c r="CJ28" s="7"/>
      <c r="CK28" s="26"/>
      <c r="CL28" s="7"/>
      <c r="CM28" s="26"/>
      <c r="CN28" s="7"/>
    </row>
    <row r="29" spans="1:92" x14ac:dyDescent="0.25">
      <c r="A29" s="41"/>
      <c r="B29" s="7"/>
      <c r="C29" s="26"/>
      <c r="D29" s="7"/>
      <c r="E29" s="26"/>
      <c r="F29" s="7"/>
      <c r="G29" s="26"/>
      <c r="H29" s="7"/>
      <c r="I29" s="26"/>
      <c r="J29" s="7">
        <v>250.93</v>
      </c>
      <c r="K29" s="26" t="s">
        <v>2717</v>
      </c>
      <c r="L29" s="7"/>
      <c r="M29" s="26"/>
      <c r="N29" s="7"/>
      <c r="O29" s="26"/>
      <c r="P29" s="7"/>
      <c r="Q29" s="26"/>
      <c r="R29" s="9">
        <v>86.28</v>
      </c>
      <c r="S29" s="15" t="s">
        <v>2872</v>
      </c>
      <c r="T29" s="7"/>
      <c r="U29" s="26"/>
      <c r="V29" s="7"/>
      <c r="W29" s="26"/>
      <c r="X29" s="9">
        <v>1123.55</v>
      </c>
      <c r="Y29" s="26" t="s">
        <v>3040</v>
      </c>
      <c r="Z29" s="7"/>
      <c r="AA29" s="26"/>
      <c r="AB29" s="7"/>
      <c r="AC29" s="26"/>
      <c r="AD29" s="7"/>
      <c r="AE29" s="26"/>
      <c r="AF29" s="7"/>
      <c r="AG29" s="26"/>
      <c r="AH29" s="87"/>
      <c r="AI29" s="26"/>
      <c r="AJ29" s="7"/>
      <c r="AK29" s="26"/>
      <c r="AL29" s="7"/>
      <c r="AM29" s="26"/>
      <c r="AN29" s="7"/>
      <c r="AO29" s="26"/>
      <c r="AP29" s="7"/>
      <c r="AQ29" s="26"/>
      <c r="AR29" s="7"/>
      <c r="AS29" s="26"/>
      <c r="AT29" s="9">
        <v>102.84</v>
      </c>
      <c r="AU29" s="15" t="s">
        <v>3490</v>
      </c>
      <c r="AV29" s="7">
        <v>50000</v>
      </c>
      <c r="AW29" s="26" t="s">
        <v>3507</v>
      </c>
      <c r="AX29" s="7"/>
      <c r="AY29" s="26"/>
      <c r="AZ29" s="9"/>
      <c r="BA29" s="15"/>
      <c r="BB29" s="7"/>
      <c r="BC29" s="26"/>
      <c r="BD29" s="7"/>
      <c r="BE29" s="26"/>
      <c r="BF29" s="7"/>
      <c r="BG29" s="26"/>
      <c r="BH29" s="7">
        <v>243.86</v>
      </c>
      <c r="BI29" s="26" t="s">
        <v>3800</v>
      </c>
      <c r="BJ29" s="7"/>
      <c r="BK29" s="26"/>
      <c r="BL29" s="9">
        <v>1996.94</v>
      </c>
      <c r="BM29" s="26" t="s">
        <v>3968</v>
      </c>
      <c r="BN29" s="96">
        <v>1970</v>
      </c>
      <c r="BO29" s="26" t="s">
        <v>3896</v>
      </c>
      <c r="BP29" s="7"/>
      <c r="BQ29" s="26"/>
      <c r="BR29" s="7"/>
      <c r="BS29" s="26"/>
      <c r="BT29" s="7"/>
      <c r="BU29" s="26"/>
      <c r="BV29" s="7"/>
      <c r="BW29" s="26"/>
      <c r="BX29" s="7"/>
      <c r="BY29" s="26"/>
      <c r="BZ29" s="7"/>
      <c r="CA29" s="26"/>
      <c r="CB29" s="7"/>
      <c r="CC29" s="26"/>
      <c r="CD29" s="7"/>
      <c r="CE29" s="26"/>
      <c r="CF29" s="7"/>
      <c r="CG29" s="26"/>
      <c r="CH29" s="7"/>
      <c r="CI29" s="26"/>
      <c r="CJ29" s="7"/>
      <c r="CK29" s="26"/>
      <c r="CL29" s="7"/>
      <c r="CM29" s="26"/>
      <c r="CN29" s="7"/>
    </row>
    <row r="30" spans="1:92" x14ac:dyDescent="0.25">
      <c r="A30" s="41"/>
      <c r="B30" s="9"/>
      <c r="C30" s="15"/>
      <c r="D30" s="9"/>
      <c r="E30" s="15"/>
      <c r="F30" s="9"/>
      <c r="G30" s="15"/>
      <c r="H30" s="9"/>
      <c r="I30" s="15"/>
      <c r="J30" s="9">
        <f>762.73-300</f>
        <v>462.73</v>
      </c>
      <c r="K30" s="15" t="s">
        <v>2718</v>
      </c>
      <c r="L30" s="9"/>
      <c r="M30" s="15"/>
      <c r="N30" s="9"/>
      <c r="O30" s="15"/>
      <c r="P30" s="7"/>
      <c r="Q30" s="26"/>
      <c r="R30" s="10">
        <v>417.46</v>
      </c>
      <c r="S30" s="12" t="s">
        <v>2873</v>
      </c>
      <c r="T30" s="9"/>
      <c r="U30" s="15"/>
      <c r="V30" s="9"/>
      <c r="W30" s="15"/>
      <c r="X30" s="9">
        <v>427.81</v>
      </c>
      <c r="Y30" s="15" t="s">
        <v>3042</v>
      </c>
      <c r="Z30" s="9"/>
      <c r="AA30" s="15"/>
      <c r="AB30" s="9"/>
      <c r="AC30" s="15"/>
      <c r="AD30" s="9"/>
      <c r="AE30" s="15"/>
      <c r="AF30" s="9"/>
      <c r="AG30" s="15"/>
      <c r="AH30" s="72"/>
      <c r="AI30" s="15"/>
      <c r="AJ30" s="9"/>
      <c r="AK30" s="15"/>
      <c r="AL30" s="9"/>
      <c r="AM30" s="15"/>
      <c r="AN30" s="9"/>
      <c r="AO30" s="15"/>
      <c r="AP30" s="9"/>
      <c r="AQ30" s="15"/>
      <c r="AR30" s="9"/>
      <c r="AS30" s="15"/>
      <c r="AT30" s="9">
        <v>1000</v>
      </c>
      <c r="AU30" s="15" t="s">
        <v>3493</v>
      </c>
      <c r="AV30" s="9">
        <v>2</v>
      </c>
      <c r="AW30" s="15" t="s">
        <v>3509</v>
      </c>
      <c r="AX30" s="9"/>
      <c r="AY30" s="15"/>
      <c r="AZ30" s="11"/>
      <c r="BA30" s="13"/>
      <c r="BB30" s="9"/>
      <c r="BC30" s="15"/>
      <c r="BD30" s="9"/>
      <c r="BE30" s="15"/>
      <c r="BF30" s="9"/>
      <c r="BG30" s="15"/>
      <c r="BH30" s="9">
        <v>1099.01</v>
      </c>
      <c r="BI30" s="15" t="s">
        <v>3787</v>
      </c>
      <c r="BJ30" s="9"/>
      <c r="BK30" s="15"/>
      <c r="BL30" s="11">
        <v>923.7</v>
      </c>
      <c r="BM30" s="12" t="s">
        <v>3974</v>
      </c>
      <c r="BN30" s="96">
        <v>1099.01</v>
      </c>
      <c r="BO30" s="15" t="s">
        <v>3897</v>
      </c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</row>
    <row r="31" spans="1:92" x14ac:dyDescent="0.25">
      <c r="A31" s="43"/>
      <c r="B31" s="10"/>
      <c r="C31" s="12"/>
      <c r="D31" s="10"/>
      <c r="E31" s="12"/>
      <c r="F31" s="10"/>
      <c r="G31" s="12"/>
      <c r="H31" s="10"/>
      <c r="I31" s="12"/>
      <c r="J31" s="10">
        <v>923.7</v>
      </c>
      <c r="K31" s="12" t="s">
        <v>2719</v>
      </c>
      <c r="L31" s="10"/>
      <c r="M31" s="12"/>
      <c r="N31" s="10"/>
      <c r="O31" s="12"/>
      <c r="P31" s="9"/>
      <c r="Q31" s="15"/>
      <c r="R31" s="7">
        <v>995.14</v>
      </c>
      <c r="S31" s="26" t="s">
        <v>2874</v>
      </c>
      <c r="T31" s="10"/>
      <c r="U31" s="12"/>
      <c r="V31" s="10"/>
      <c r="W31" s="12"/>
      <c r="X31" s="11">
        <v>85.75</v>
      </c>
      <c r="Y31" s="12" t="s">
        <v>3043</v>
      </c>
      <c r="Z31" s="10"/>
      <c r="AA31" s="12"/>
      <c r="AB31" s="10"/>
      <c r="AC31" s="12"/>
      <c r="AD31" s="10"/>
      <c r="AE31" s="12"/>
      <c r="AF31" s="10"/>
      <c r="AG31" s="12"/>
      <c r="AH31" s="87"/>
      <c r="AI31" s="12"/>
      <c r="AJ31" s="10"/>
      <c r="AK31" s="12"/>
      <c r="AL31" s="10"/>
      <c r="AM31" s="12"/>
      <c r="AN31" s="10"/>
      <c r="AO31" s="12"/>
      <c r="AP31" s="10"/>
      <c r="AQ31" s="12"/>
      <c r="AR31" s="10"/>
      <c r="AS31" s="12"/>
      <c r="AT31" s="10">
        <v>1970</v>
      </c>
      <c r="AU31" s="12" t="s">
        <v>3496</v>
      </c>
      <c r="AV31" s="10">
        <v>118.88</v>
      </c>
      <c r="AW31" s="12" t="s">
        <v>3511</v>
      </c>
      <c r="AX31" s="10"/>
      <c r="AY31" s="12"/>
      <c r="AZ31" s="9"/>
      <c r="BA31" s="15"/>
      <c r="BB31" s="10"/>
      <c r="BC31" s="12"/>
      <c r="BD31" s="10"/>
      <c r="BE31" s="12"/>
      <c r="BF31" s="10"/>
      <c r="BG31" s="12"/>
      <c r="BH31" s="10"/>
      <c r="BI31" s="12"/>
      <c r="BJ31" s="10"/>
      <c r="BK31" s="12"/>
      <c r="BL31" s="9">
        <v>165.86</v>
      </c>
      <c r="BM31" s="26" t="s">
        <v>3975</v>
      </c>
      <c r="BN31" s="114">
        <v>500</v>
      </c>
      <c r="BO31" s="12" t="s">
        <v>3899</v>
      </c>
      <c r="BP31" s="10"/>
      <c r="BQ31" s="12"/>
      <c r="BR31" s="10"/>
      <c r="BS31" s="12"/>
      <c r="BT31" s="10"/>
      <c r="BU31" s="12"/>
      <c r="BV31" s="10"/>
      <c r="BW31" s="12"/>
      <c r="BX31" s="10"/>
      <c r="BY31" s="12"/>
      <c r="BZ31" s="10"/>
      <c r="CA31" s="12"/>
      <c r="CB31" s="10"/>
      <c r="CC31" s="12"/>
      <c r="CD31" s="10"/>
      <c r="CE31" s="12"/>
      <c r="CF31" s="10"/>
      <c r="CG31" s="12"/>
      <c r="CH31" s="10"/>
      <c r="CI31" s="12"/>
      <c r="CJ31" s="10"/>
      <c r="CK31" s="12"/>
      <c r="CL31" s="10"/>
      <c r="CM31" s="12"/>
      <c r="CN31" s="10"/>
    </row>
    <row r="32" spans="1:92" x14ac:dyDescent="0.25">
      <c r="A32" s="41"/>
      <c r="B32" s="7"/>
      <c r="C32" s="26"/>
      <c r="D32" s="7"/>
      <c r="E32" s="26"/>
      <c r="F32" s="7"/>
      <c r="G32" s="26"/>
      <c r="H32" s="7"/>
      <c r="I32" s="26"/>
      <c r="J32" s="7">
        <v>1970</v>
      </c>
      <c r="K32" s="26" t="s">
        <v>2720</v>
      </c>
      <c r="L32" s="7"/>
      <c r="M32" s="26"/>
      <c r="N32" s="7"/>
      <c r="O32" s="26"/>
      <c r="P32" s="7"/>
      <c r="Q32" s="26"/>
      <c r="R32" s="7"/>
      <c r="S32" s="26"/>
      <c r="T32" s="7"/>
      <c r="U32" s="26"/>
      <c r="V32" s="7"/>
      <c r="W32" s="26"/>
      <c r="X32" s="9">
        <v>9</v>
      </c>
      <c r="Y32" s="26" t="s">
        <v>3037</v>
      </c>
      <c r="Z32" s="7"/>
      <c r="AA32" s="26"/>
      <c r="AB32" s="7"/>
      <c r="AC32" s="26"/>
      <c r="AD32" s="7"/>
      <c r="AE32" s="26"/>
      <c r="AF32" s="7"/>
      <c r="AG32" s="26"/>
      <c r="AH32" s="7"/>
      <c r="AI32" s="26"/>
      <c r="AJ32" s="7"/>
      <c r="AK32" s="26"/>
      <c r="AL32" s="7"/>
      <c r="AM32" s="26"/>
      <c r="AN32" s="7"/>
      <c r="AO32" s="26"/>
      <c r="AP32" s="7"/>
      <c r="AQ32" s="26"/>
      <c r="AR32" s="7"/>
      <c r="AS32" s="26"/>
      <c r="AT32" s="7">
        <v>1099</v>
      </c>
      <c r="AU32" s="26" t="s">
        <v>3499</v>
      </c>
      <c r="AV32" s="7">
        <v>638</v>
      </c>
      <c r="AW32" s="26" t="s">
        <v>3512</v>
      </c>
      <c r="AX32" s="7"/>
      <c r="AY32" s="26"/>
      <c r="AZ32" s="9"/>
      <c r="BA32" s="15"/>
      <c r="BB32" s="7"/>
      <c r="BC32" s="26"/>
      <c r="BD32" s="7"/>
      <c r="BE32" s="26"/>
      <c r="BF32" s="7"/>
      <c r="BG32" s="26"/>
      <c r="BH32" s="7"/>
      <c r="BI32" s="26"/>
      <c r="BJ32" s="7"/>
      <c r="BK32" s="26"/>
      <c r="BL32" s="9">
        <v>165.86</v>
      </c>
      <c r="BM32" s="26" t="s">
        <v>3976</v>
      </c>
      <c r="BN32" s="96">
        <v>997.77</v>
      </c>
      <c r="BO32" s="26" t="s">
        <v>3902</v>
      </c>
      <c r="BP32" s="7"/>
      <c r="BQ32" s="26"/>
      <c r="BR32" s="7"/>
      <c r="BS32" s="26"/>
      <c r="BT32" s="7"/>
      <c r="BU32" s="26"/>
      <c r="BV32" s="7"/>
      <c r="BW32" s="26"/>
      <c r="BX32" s="7"/>
      <c r="BY32" s="26"/>
      <c r="BZ32" s="7"/>
      <c r="CA32" s="26"/>
      <c r="CB32" s="7"/>
      <c r="CC32" s="26"/>
      <c r="CD32" s="7"/>
      <c r="CE32" s="26"/>
      <c r="CF32" s="7"/>
      <c r="CG32" s="26"/>
      <c r="CH32" s="7"/>
      <c r="CI32" s="26"/>
      <c r="CJ32" s="7"/>
      <c r="CK32" s="26"/>
      <c r="CL32" s="7"/>
      <c r="CM32" s="26"/>
      <c r="CN32" s="7"/>
    </row>
    <row r="33" spans="1:92" x14ac:dyDescent="0.25">
      <c r="A33" s="41"/>
      <c r="B33" s="7"/>
      <c r="C33" s="26"/>
      <c r="D33" s="7"/>
      <c r="E33" s="26"/>
      <c r="F33" s="7"/>
      <c r="G33" s="26"/>
      <c r="H33" s="7"/>
      <c r="I33" s="26"/>
      <c r="J33" s="7"/>
      <c r="K33" s="26"/>
      <c r="L33" s="7"/>
      <c r="M33" s="26"/>
      <c r="N33" s="7"/>
      <c r="O33" s="26"/>
      <c r="P33" s="7"/>
      <c r="Q33" s="26"/>
      <c r="R33" s="7"/>
      <c r="S33" s="26"/>
      <c r="T33" s="7"/>
      <c r="U33" s="26"/>
      <c r="V33" s="7"/>
      <c r="W33" s="26"/>
      <c r="X33" s="9"/>
      <c r="Y33" s="26"/>
      <c r="Z33" s="7"/>
      <c r="AA33" s="26"/>
      <c r="AB33" s="7"/>
      <c r="AC33" s="26"/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/>
      <c r="AQ33" s="26"/>
      <c r="AR33" s="7"/>
      <c r="AS33" s="26"/>
      <c r="AT33" s="7">
        <v>494.08</v>
      </c>
      <c r="AU33" s="26" t="s">
        <v>3448</v>
      </c>
      <c r="AV33" s="7">
        <v>124988</v>
      </c>
      <c r="AW33" s="26" t="s">
        <v>3513</v>
      </c>
      <c r="AX33" s="7"/>
      <c r="AY33" s="26"/>
      <c r="AZ33" s="9"/>
      <c r="BA33" s="15"/>
      <c r="BB33" s="7"/>
      <c r="BC33" s="26"/>
      <c r="BD33" s="7"/>
      <c r="BE33" s="26"/>
      <c r="BF33" s="7"/>
      <c r="BG33" s="26"/>
      <c r="BH33" s="7"/>
      <c r="BI33" s="26"/>
      <c r="BJ33" s="7"/>
      <c r="BK33" s="26"/>
      <c r="BL33" s="9">
        <v>58</v>
      </c>
      <c r="BM33" s="26" t="s">
        <v>3977</v>
      </c>
      <c r="BN33" s="96">
        <v>2050</v>
      </c>
      <c r="BO33" s="26" t="s">
        <v>3903</v>
      </c>
      <c r="BP33" s="7"/>
      <c r="BQ33" s="26"/>
      <c r="BR33" s="7"/>
      <c r="BS33" s="26"/>
      <c r="BT33" s="7"/>
      <c r="BU33" s="26"/>
      <c r="BV33" s="7"/>
      <c r="BW33" s="26"/>
      <c r="BX33" s="7"/>
      <c r="BY33" s="26"/>
      <c r="BZ33" s="7"/>
      <c r="CA33" s="26"/>
      <c r="CB33" s="7"/>
      <c r="CC33" s="26"/>
      <c r="CD33" s="7"/>
      <c r="CE33" s="26"/>
      <c r="CF33" s="7"/>
      <c r="CG33" s="26"/>
      <c r="CH33" s="7"/>
      <c r="CI33" s="26"/>
      <c r="CJ33" s="7"/>
      <c r="CK33" s="26"/>
      <c r="CL33" s="7"/>
      <c r="CM33" s="26"/>
      <c r="CN33" s="7"/>
    </row>
    <row r="34" spans="1:92" x14ac:dyDescent="0.25">
      <c r="A34" s="41"/>
      <c r="B34" s="7"/>
      <c r="C34" s="26"/>
      <c r="D34" s="7"/>
      <c r="E34" s="26"/>
      <c r="F34" s="7"/>
      <c r="G34" s="26"/>
      <c r="H34" s="7"/>
      <c r="I34" s="26"/>
      <c r="J34" s="7"/>
      <c r="K34" s="26"/>
      <c r="L34" s="7"/>
      <c r="M34" s="26"/>
      <c r="N34" s="7"/>
      <c r="O34" s="26"/>
      <c r="P34" s="7"/>
      <c r="Q34" s="26"/>
      <c r="R34" s="7"/>
      <c r="S34" s="26"/>
      <c r="T34" s="7"/>
      <c r="U34" s="26"/>
      <c r="V34" s="7"/>
      <c r="W34" s="26"/>
      <c r="X34" s="9"/>
      <c r="Y34" s="26"/>
      <c r="Z34" s="7"/>
      <c r="AA34" s="26"/>
      <c r="AB34" s="7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/>
      <c r="AQ34" s="26"/>
      <c r="AR34" s="7"/>
      <c r="AS34" s="26"/>
      <c r="AT34" s="7">
        <v>494.08</v>
      </c>
      <c r="AU34" s="26" t="s">
        <v>3500</v>
      </c>
      <c r="AV34" s="7">
        <v>1016.57</v>
      </c>
      <c r="AW34" s="26" t="s">
        <v>3516</v>
      </c>
      <c r="AX34" s="7"/>
      <c r="AY34" s="26"/>
      <c r="AZ34" s="9"/>
      <c r="BA34" s="15"/>
      <c r="BB34" s="7"/>
      <c r="BC34" s="26"/>
      <c r="BD34" s="7"/>
      <c r="BE34" s="26"/>
      <c r="BF34" s="7"/>
      <c r="BG34" s="26"/>
      <c r="BH34" s="7"/>
      <c r="BI34" s="26"/>
      <c r="BJ34" s="7"/>
      <c r="BK34" s="26"/>
      <c r="BL34" s="9"/>
      <c r="BM34" s="26"/>
      <c r="BN34" s="96">
        <v>1501.83</v>
      </c>
      <c r="BO34" s="26" t="s">
        <v>3915</v>
      </c>
      <c r="BP34" s="7"/>
      <c r="BQ34" s="26"/>
      <c r="BR34" s="7"/>
      <c r="BS34" s="26"/>
      <c r="BT34" s="7"/>
      <c r="BU34" s="26"/>
      <c r="BV34" s="7"/>
      <c r="BW34" s="26"/>
      <c r="BX34" s="7"/>
      <c r="BY34" s="26"/>
      <c r="BZ34" s="7"/>
      <c r="CA34" s="26"/>
      <c r="CB34" s="7"/>
      <c r="CC34" s="26"/>
      <c r="CD34" s="7"/>
      <c r="CE34" s="26"/>
      <c r="CF34" s="7"/>
      <c r="CG34" s="26"/>
      <c r="CH34" s="7"/>
      <c r="CI34" s="26"/>
      <c r="CJ34" s="7"/>
      <c r="CK34" s="26"/>
      <c r="CL34" s="7"/>
      <c r="CM34" s="26"/>
      <c r="CN34" s="7"/>
    </row>
    <row r="35" spans="1:92" x14ac:dyDescent="0.25">
      <c r="A35" s="41"/>
      <c r="B35" s="7"/>
      <c r="C35" s="26"/>
      <c r="D35" s="7"/>
      <c r="E35" s="26"/>
      <c r="F35" s="7"/>
      <c r="G35" s="26"/>
      <c r="H35" s="7"/>
      <c r="I35" s="26"/>
      <c r="J35" s="7"/>
      <c r="K35" s="26"/>
      <c r="L35" s="7"/>
      <c r="M35" s="26"/>
      <c r="N35" s="7"/>
      <c r="O35" s="26"/>
      <c r="P35" s="7"/>
      <c r="Q35" s="26"/>
      <c r="R35" s="7"/>
      <c r="S35" s="26"/>
      <c r="T35" s="7"/>
      <c r="U35" s="26"/>
      <c r="V35" s="7"/>
      <c r="W35" s="26"/>
      <c r="X35" s="7"/>
      <c r="Y35" s="26"/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/>
      <c r="AQ35" s="26"/>
      <c r="AR35" s="7"/>
      <c r="AS35" s="26"/>
      <c r="AT35" s="7">
        <v>510.74</v>
      </c>
      <c r="AU35" s="26" t="s">
        <v>3501</v>
      </c>
      <c r="AV35" s="7"/>
      <c r="AW35" s="26"/>
      <c r="AX35" s="7"/>
      <c r="AY35" s="26"/>
      <c r="AZ35" s="9"/>
      <c r="BA35" s="15"/>
      <c r="BB35" s="7"/>
      <c r="BC35" s="26"/>
      <c r="BD35" s="7"/>
      <c r="BE35" s="26"/>
      <c r="BF35" s="7"/>
      <c r="BG35" s="26"/>
      <c r="BH35" s="7"/>
      <c r="BI35" s="26"/>
      <c r="BJ35" s="7"/>
      <c r="BK35" s="26"/>
      <c r="BL35" s="7"/>
      <c r="BM35" s="26"/>
      <c r="BN35" s="7"/>
      <c r="BO35" s="26"/>
      <c r="BP35" s="7"/>
      <c r="BQ35" s="26"/>
      <c r="BR35" s="7"/>
      <c r="BS35" s="26"/>
      <c r="BT35" s="7"/>
      <c r="BU35" s="26"/>
      <c r="BV35" s="7"/>
      <c r="BW35" s="26"/>
      <c r="BX35" s="7"/>
      <c r="BY35" s="26"/>
      <c r="BZ35" s="7"/>
      <c r="CA35" s="26"/>
      <c r="CB35" s="7"/>
      <c r="CC35" s="26"/>
      <c r="CD35" s="7"/>
      <c r="CE35" s="26"/>
      <c r="CF35" s="7"/>
      <c r="CG35" s="26"/>
      <c r="CH35" s="7"/>
      <c r="CI35" s="26"/>
      <c r="CJ35" s="7"/>
      <c r="CK35" s="26"/>
      <c r="CL35" s="7"/>
      <c r="CM35" s="26"/>
      <c r="CN35" s="7"/>
    </row>
    <row r="36" spans="1:92" x14ac:dyDescent="0.25">
      <c r="A36" s="41"/>
      <c r="B36" s="7"/>
      <c r="C36" s="26"/>
      <c r="D36" s="7"/>
      <c r="E36" s="26"/>
      <c r="F36" s="7"/>
      <c r="G36" s="26"/>
      <c r="H36" s="7"/>
      <c r="I36" s="26"/>
      <c r="J36" s="7"/>
      <c r="K36" s="26"/>
      <c r="L36" s="7"/>
      <c r="M36" s="26"/>
      <c r="N36" s="7"/>
      <c r="O36" s="26"/>
      <c r="P36" s="7"/>
      <c r="Q36" s="26"/>
      <c r="R36" s="7"/>
      <c r="S36" s="26"/>
      <c r="T36" s="7"/>
      <c r="U36" s="26"/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>
        <v>979.69</v>
      </c>
      <c r="AU36" s="26" t="s">
        <v>3502</v>
      </c>
      <c r="AV36" s="7"/>
      <c r="AW36" s="26"/>
      <c r="AX36" s="7"/>
      <c r="AY36" s="26"/>
      <c r="AZ36" s="9"/>
      <c r="BA36" s="15"/>
      <c r="BB36" s="7"/>
      <c r="BC36" s="26"/>
      <c r="BD36" s="7"/>
      <c r="BE36" s="26"/>
      <c r="BF36" s="7"/>
      <c r="BG36" s="26"/>
      <c r="BH36" s="7"/>
      <c r="BI36" s="26"/>
      <c r="BJ36" s="7"/>
      <c r="BK36" s="26"/>
      <c r="BL36" s="7"/>
      <c r="BM36" s="26"/>
      <c r="BN36" s="7"/>
      <c r="BO36" s="26"/>
      <c r="BP36" s="7"/>
      <c r="BQ36" s="26"/>
      <c r="BR36" s="7"/>
      <c r="BS36" s="26"/>
      <c r="BT36" s="7"/>
      <c r="BU36" s="26"/>
      <c r="BV36" s="7"/>
      <c r="BW36" s="26"/>
      <c r="BX36" s="7"/>
      <c r="BY36" s="26"/>
      <c r="BZ36" s="7"/>
      <c r="CA36" s="26"/>
      <c r="CB36" s="7"/>
      <c r="CC36" s="26"/>
      <c r="CD36" s="7"/>
      <c r="CE36" s="26"/>
      <c r="CF36" s="7"/>
      <c r="CG36" s="26"/>
      <c r="CH36" s="7"/>
      <c r="CI36" s="26"/>
      <c r="CJ36" s="7"/>
      <c r="CK36" s="26"/>
      <c r="CL36" s="7"/>
      <c r="CM36" s="26"/>
      <c r="CN36" s="7"/>
    </row>
    <row r="37" spans="1:92" x14ac:dyDescent="0.25">
      <c r="A37" s="41"/>
      <c r="B37" s="7"/>
      <c r="C37" s="26"/>
      <c r="D37" s="7"/>
      <c r="E37" s="26"/>
      <c r="F37" s="7"/>
      <c r="G37" s="26"/>
      <c r="H37" s="7"/>
      <c r="I37" s="26"/>
      <c r="J37" s="7"/>
      <c r="K37" s="26"/>
      <c r="L37" s="7"/>
      <c r="M37" s="26"/>
      <c r="N37" s="7"/>
      <c r="O37" s="26"/>
      <c r="P37" s="7"/>
      <c r="Q37" s="26"/>
      <c r="R37" s="7"/>
      <c r="S37" s="26"/>
      <c r="T37" s="7"/>
      <c r="U37" s="26"/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>
        <v>125000</v>
      </c>
      <c r="AU37" s="26" t="s">
        <v>3494</v>
      </c>
      <c r="AV37" s="7"/>
      <c r="AW37" s="26"/>
      <c r="AX37" s="7"/>
      <c r="AY37" s="26"/>
      <c r="AZ37" s="9"/>
      <c r="BA37" s="15"/>
      <c r="BB37" s="7"/>
      <c r="BC37" s="26"/>
      <c r="BD37" s="7"/>
      <c r="BE37" s="26"/>
      <c r="BF37" s="7"/>
      <c r="BG37" s="26"/>
      <c r="BH37" s="7"/>
      <c r="BI37" s="26"/>
      <c r="BJ37" s="7"/>
      <c r="BK37" s="26"/>
      <c r="BL37" s="7"/>
      <c r="BM37" s="26"/>
      <c r="BN37" s="7"/>
      <c r="BO37" s="26"/>
      <c r="BP37" s="7"/>
      <c r="BQ37" s="26"/>
      <c r="BR37" s="7"/>
      <c r="BS37" s="26"/>
      <c r="BT37" s="7"/>
      <c r="BU37" s="26"/>
      <c r="BV37" s="7"/>
      <c r="BW37" s="26"/>
      <c r="BX37" s="7"/>
      <c r="BY37" s="26"/>
      <c r="BZ37" s="7"/>
      <c r="CA37" s="26"/>
      <c r="CB37" s="7"/>
      <c r="CC37" s="26"/>
      <c r="CD37" s="7"/>
      <c r="CE37" s="26"/>
      <c r="CF37" s="7"/>
      <c r="CG37" s="26"/>
      <c r="CH37" s="7"/>
      <c r="CI37" s="26"/>
      <c r="CJ37" s="7"/>
      <c r="CK37" s="26"/>
      <c r="CL37" s="7"/>
      <c r="CM37" s="26"/>
      <c r="CN37" s="7"/>
    </row>
    <row r="38" spans="1:92" x14ac:dyDescent="0.25">
      <c r="A38" s="41"/>
      <c r="B38" s="7"/>
      <c r="C38" s="26"/>
      <c r="D38" s="7"/>
      <c r="E38" s="26"/>
      <c r="F38" s="7"/>
      <c r="G38" s="26"/>
      <c r="H38" s="7"/>
      <c r="I38" s="26"/>
      <c r="J38" s="7"/>
      <c r="K38" s="26"/>
      <c r="L38" s="7"/>
      <c r="M38" s="26"/>
      <c r="N38" s="7"/>
      <c r="O38" s="26"/>
      <c r="P38" s="7"/>
      <c r="Q38" s="26"/>
      <c r="R38" s="7"/>
      <c r="S38" s="26"/>
      <c r="T38" s="7"/>
      <c r="U38" s="26"/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9"/>
      <c r="BA38" s="15"/>
      <c r="BB38" s="7"/>
      <c r="BC38" s="26"/>
      <c r="BD38" s="7"/>
      <c r="BE38" s="26"/>
      <c r="BF38" s="7"/>
      <c r="BG38" s="26"/>
      <c r="BH38" s="7"/>
      <c r="BI38" s="26"/>
      <c r="BJ38" s="7"/>
      <c r="BK38" s="26"/>
      <c r="BL38" s="7"/>
      <c r="BM38" s="26"/>
      <c r="BN38" s="7"/>
      <c r="BO38" s="26"/>
      <c r="BP38" s="7"/>
      <c r="BQ38" s="26"/>
      <c r="BR38" s="7"/>
      <c r="BS38" s="26"/>
      <c r="BT38" s="7"/>
      <c r="BU38" s="26"/>
      <c r="BV38" s="7"/>
      <c r="BW38" s="26"/>
      <c r="BX38" s="7"/>
      <c r="BY38" s="26"/>
      <c r="BZ38" s="7"/>
      <c r="CA38" s="26"/>
      <c r="CB38" s="7"/>
      <c r="CC38" s="26"/>
      <c r="CD38" s="7"/>
      <c r="CE38" s="26"/>
      <c r="CF38" s="7"/>
      <c r="CG38" s="26"/>
      <c r="CH38" s="7"/>
      <c r="CI38" s="26"/>
      <c r="CJ38" s="7"/>
      <c r="CK38" s="26"/>
      <c r="CL38" s="7"/>
      <c r="CM38" s="26"/>
      <c r="CN38" s="7"/>
    </row>
    <row r="39" spans="1:92" x14ac:dyDescent="0.25">
      <c r="A39" s="41"/>
      <c r="B39" s="7"/>
      <c r="C39" s="26"/>
      <c r="D39" s="7"/>
      <c r="E39" s="26"/>
      <c r="F39" s="7"/>
      <c r="G39" s="26"/>
      <c r="H39" s="7"/>
      <c r="I39" s="26"/>
      <c r="J39" s="7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9"/>
      <c r="BA39" s="15"/>
      <c r="BB39" s="7"/>
      <c r="BC39" s="26"/>
      <c r="BD39" s="7"/>
      <c r="BE39" s="26"/>
      <c r="BF39" s="7"/>
      <c r="BG39" s="26"/>
      <c r="BH39" s="7"/>
      <c r="BI39" s="26"/>
      <c r="BJ39" s="7"/>
      <c r="BK39" s="26"/>
      <c r="BL39" s="7"/>
      <c r="BM39" s="26"/>
      <c r="BN39" s="7"/>
      <c r="BO39" s="26"/>
      <c r="BP39" s="7"/>
      <c r="BQ39" s="26"/>
      <c r="BR39" s="7"/>
      <c r="BS39" s="26"/>
      <c r="BT39" s="7"/>
      <c r="BU39" s="26"/>
      <c r="BV39" s="7"/>
      <c r="BW39" s="26"/>
      <c r="BX39" s="7"/>
      <c r="BY39" s="26"/>
      <c r="BZ39" s="7"/>
      <c r="CA39" s="26"/>
      <c r="CB39" s="7"/>
      <c r="CC39" s="26"/>
      <c r="CD39" s="7"/>
      <c r="CE39" s="26"/>
      <c r="CF39" s="7"/>
      <c r="CG39" s="26"/>
      <c r="CH39" s="7"/>
      <c r="CI39" s="26"/>
      <c r="CJ39" s="7"/>
      <c r="CK39" s="26"/>
      <c r="CL39" s="7"/>
      <c r="CM39" s="26"/>
      <c r="CN39" s="7"/>
    </row>
    <row r="40" spans="1:92" x14ac:dyDescent="0.25">
      <c r="A40" s="41"/>
      <c r="B40" s="7"/>
      <c r="C40" s="26"/>
      <c r="D40" s="7"/>
      <c r="E40" s="26"/>
      <c r="F40" s="7"/>
      <c r="G40" s="26"/>
      <c r="H40" s="7"/>
      <c r="I40" s="26"/>
      <c r="J40" s="7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9"/>
      <c r="BA40" s="15"/>
      <c r="BB40" s="7"/>
      <c r="BC40" s="26"/>
      <c r="BD40" s="7"/>
      <c r="BE40" s="26"/>
      <c r="BF40" s="7"/>
      <c r="BG40" s="26"/>
      <c r="BH40" s="7"/>
      <c r="BI40" s="26"/>
      <c r="BJ40" s="7"/>
      <c r="BK40" s="26"/>
      <c r="BL40" s="7"/>
      <c r="BM40" s="26"/>
      <c r="BN40" s="7"/>
      <c r="BO40" s="26"/>
      <c r="BP40" s="7"/>
      <c r="BQ40" s="26"/>
      <c r="BR40" s="7"/>
      <c r="BS40" s="26"/>
      <c r="BT40" s="7"/>
      <c r="BU40" s="26"/>
      <c r="BV40" s="7"/>
      <c r="BW40" s="26"/>
      <c r="BX40" s="7"/>
      <c r="BY40" s="26"/>
      <c r="BZ40" s="7"/>
      <c r="CA40" s="26"/>
      <c r="CB40" s="7"/>
      <c r="CC40" s="26"/>
      <c r="CD40" s="7"/>
      <c r="CE40" s="26"/>
      <c r="CF40" s="7"/>
      <c r="CG40" s="26"/>
      <c r="CH40" s="7"/>
      <c r="CI40" s="26"/>
      <c r="CJ40" s="7"/>
      <c r="CK40" s="26"/>
      <c r="CL40" s="7"/>
      <c r="CM40" s="26"/>
      <c r="CN40" s="7"/>
    </row>
    <row r="41" spans="1:92" x14ac:dyDescent="0.25">
      <c r="A41" s="41"/>
      <c r="B41" s="7"/>
      <c r="C41" s="26"/>
      <c r="D41" s="7"/>
      <c r="E41" s="26"/>
      <c r="F41" s="7"/>
      <c r="G41" s="26"/>
      <c r="H41" s="7"/>
      <c r="I41" s="26"/>
      <c r="J41" s="7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7"/>
      <c r="AE41" s="26"/>
      <c r="AF41" s="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9"/>
      <c r="BA41" s="15"/>
      <c r="BB41" s="7"/>
      <c r="BC41" s="26"/>
      <c r="BD41" s="7"/>
      <c r="BE41" s="26"/>
      <c r="BF41" s="7"/>
      <c r="BG41" s="26"/>
      <c r="BH41" s="7"/>
      <c r="BI41" s="26"/>
      <c r="BJ41" s="7"/>
      <c r="BK41" s="26"/>
      <c r="BL41" s="7"/>
      <c r="BM41" s="26"/>
      <c r="BN41" s="7">
        <v>45000</v>
      </c>
      <c r="BO41" s="26" t="s">
        <v>3906</v>
      </c>
      <c r="BP41" s="7"/>
      <c r="BQ41" s="26"/>
      <c r="BR41" s="7"/>
      <c r="BS41" s="26"/>
      <c r="BT41" s="7"/>
      <c r="BU41" s="26"/>
      <c r="BV41" s="7"/>
      <c r="BW41" s="26"/>
      <c r="BX41" s="7"/>
      <c r="BY41" s="26"/>
      <c r="BZ41" s="7"/>
      <c r="CA41" s="26"/>
      <c r="CB41" s="7"/>
      <c r="CC41" s="26"/>
      <c r="CD41" s="7"/>
      <c r="CE41" s="26"/>
      <c r="CF41" s="7"/>
      <c r="CG41" s="26"/>
      <c r="CH41" s="7"/>
      <c r="CI41" s="26"/>
      <c r="CJ41" s="7"/>
      <c r="CK41" s="26"/>
      <c r="CL41" s="7"/>
      <c r="CM41" s="26"/>
      <c r="CN41" s="7"/>
    </row>
    <row r="42" spans="1:92" x14ac:dyDescent="0.25">
      <c r="A42" s="41"/>
      <c r="B42" s="7"/>
      <c r="C42" s="26"/>
      <c r="D42" s="7"/>
      <c r="E42" s="26"/>
      <c r="F42" s="7"/>
      <c r="G42" s="26"/>
      <c r="H42" s="7"/>
      <c r="I42" s="26"/>
      <c r="J42" s="7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9"/>
      <c r="BA42" s="15"/>
      <c r="BB42" s="7"/>
      <c r="BC42" s="26"/>
      <c r="BD42" s="7"/>
      <c r="BE42" s="26"/>
      <c r="BF42" s="7"/>
      <c r="BG42" s="26"/>
      <c r="BH42" s="7"/>
      <c r="BI42" s="26"/>
      <c r="BJ42" s="7"/>
      <c r="BK42" s="26"/>
      <c r="BL42" s="7"/>
      <c r="BM42" s="26"/>
      <c r="BN42" s="7">
        <v>2900</v>
      </c>
      <c r="BO42" s="26" t="s">
        <v>3907</v>
      </c>
      <c r="BP42" s="7"/>
      <c r="BQ42" s="26"/>
      <c r="BR42" s="7"/>
      <c r="BS42" s="26"/>
      <c r="BT42" s="7"/>
      <c r="BU42" s="26"/>
      <c r="BV42" s="7"/>
      <c r="BW42" s="26"/>
      <c r="BX42" s="7"/>
      <c r="BY42" s="26"/>
      <c r="BZ42" s="7"/>
      <c r="CA42" s="26"/>
      <c r="CB42" s="7"/>
      <c r="CC42" s="26"/>
      <c r="CD42" s="7"/>
      <c r="CE42" s="26"/>
      <c r="CF42" s="7"/>
      <c r="CG42" s="26"/>
      <c r="CH42" s="7"/>
      <c r="CI42" s="26"/>
      <c r="CJ42" s="7"/>
      <c r="CK42" s="26"/>
      <c r="CL42" s="7"/>
      <c r="CM42" s="26"/>
      <c r="CN42" s="7"/>
    </row>
    <row r="43" spans="1:92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9"/>
      <c r="BA43" s="15"/>
      <c r="BB43" s="7"/>
      <c r="BC43" s="26"/>
      <c r="BD43" s="7"/>
      <c r="BE43" s="26"/>
      <c r="BF43" s="7"/>
      <c r="BG43" s="26"/>
      <c r="BH43" s="7"/>
      <c r="BI43" s="26"/>
      <c r="BJ43" s="7"/>
      <c r="BK43" s="26"/>
      <c r="BL43" s="7"/>
      <c r="BM43" s="26"/>
      <c r="BN43" s="7">
        <v>3000</v>
      </c>
      <c r="BO43" s="26" t="s">
        <v>3908</v>
      </c>
      <c r="BP43" s="7"/>
      <c r="BQ43" s="26"/>
      <c r="BR43" s="7"/>
      <c r="BS43" s="26"/>
      <c r="BT43" s="7"/>
      <c r="BU43" s="26"/>
      <c r="BV43" s="7"/>
      <c r="BW43" s="26"/>
      <c r="BX43" s="7"/>
      <c r="BY43" s="26"/>
      <c r="BZ43" s="7"/>
      <c r="CA43" s="26"/>
      <c r="CB43" s="7"/>
      <c r="CC43" s="26"/>
      <c r="CD43" s="7"/>
      <c r="CE43" s="26"/>
      <c r="CF43" s="7"/>
      <c r="CG43" s="26"/>
      <c r="CH43" s="7"/>
      <c r="CI43" s="26"/>
      <c r="CJ43" s="7"/>
      <c r="CK43" s="26"/>
      <c r="CL43" s="7"/>
      <c r="CM43" s="26"/>
      <c r="CN43" s="7"/>
    </row>
    <row r="44" spans="1:92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9"/>
      <c r="BA44" s="15"/>
      <c r="BB44" s="7"/>
      <c r="BC44" s="26"/>
      <c r="BD44" s="7"/>
      <c r="BE44" s="26"/>
      <c r="BF44" s="7"/>
      <c r="BG44" s="26"/>
      <c r="BH44" s="7"/>
      <c r="BI44" s="26"/>
      <c r="BJ44" s="7"/>
      <c r="BK44" s="26"/>
      <c r="BL44" s="7"/>
      <c r="BM44" s="26"/>
      <c r="BN44" s="7">
        <v>132000</v>
      </c>
      <c r="BO44" s="26" t="s">
        <v>3909</v>
      </c>
      <c r="BP44" s="7"/>
      <c r="BQ44" s="26"/>
      <c r="BR44" s="7"/>
      <c r="BS44" s="26"/>
      <c r="BT44" s="7"/>
      <c r="BU44" s="26"/>
      <c r="BV44" s="7"/>
      <c r="BW44" s="26"/>
      <c r="BX44" s="7"/>
      <c r="BY44" s="26"/>
      <c r="BZ44" s="7"/>
      <c r="CA44" s="26"/>
      <c r="CB44" s="7"/>
      <c r="CC44" s="26"/>
      <c r="CD44" s="7"/>
      <c r="CE44" s="26"/>
      <c r="CF44" s="7"/>
      <c r="CG44" s="26"/>
      <c r="CH44" s="7"/>
      <c r="CI44" s="26"/>
      <c r="CJ44" s="7"/>
      <c r="CK44" s="26"/>
      <c r="CL44" s="7"/>
      <c r="CM44" s="26"/>
      <c r="CN44" s="7"/>
    </row>
    <row r="45" spans="1:92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9"/>
      <c r="BA45" s="15"/>
      <c r="BB45" s="7"/>
      <c r="BC45" s="26"/>
      <c r="BD45" s="7"/>
      <c r="BE45" s="26"/>
      <c r="BF45" s="7"/>
      <c r="BG45" s="26"/>
      <c r="BH45" s="7"/>
      <c r="BI45" s="26"/>
      <c r="BJ45" s="7"/>
      <c r="BK45" s="26"/>
      <c r="BL45" s="7"/>
      <c r="BM45" s="26"/>
      <c r="BN45" s="7">
        <v>1099.01</v>
      </c>
      <c r="BO45" s="26" t="s">
        <v>3911</v>
      </c>
      <c r="BP45" s="7"/>
      <c r="BQ45" s="26"/>
      <c r="BR45" s="7"/>
      <c r="BS45" s="26"/>
      <c r="BT45" s="7"/>
      <c r="BU45" s="26"/>
      <c r="BV45" s="7"/>
      <c r="BW45" s="26"/>
      <c r="BX45" s="7"/>
      <c r="BY45" s="26"/>
      <c r="BZ45" s="7"/>
      <c r="CA45" s="26"/>
      <c r="CB45" s="7"/>
      <c r="CC45" s="26"/>
      <c r="CD45" s="7"/>
      <c r="CE45" s="26"/>
      <c r="CF45" s="7"/>
      <c r="CG45" s="26"/>
      <c r="CH45" s="7"/>
      <c r="CI45" s="26"/>
      <c r="CJ45" s="7"/>
      <c r="CK45" s="26"/>
      <c r="CL45" s="7"/>
      <c r="CM45" s="26"/>
      <c r="CN45" s="7"/>
    </row>
    <row r="46" spans="1:92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9"/>
      <c r="BA46" s="15"/>
      <c r="BB46" s="7"/>
      <c r="BC46" s="26"/>
      <c r="BD46" s="7"/>
      <c r="BE46" s="26"/>
      <c r="BF46" s="7"/>
      <c r="BG46" s="26"/>
      <c r="BH46" s="7"/>
      <c r="BI46" s="26"/>
      <c r="BJ46" s="7"/>
      <c r="BK46" s="26"/>
      <c r="BL46" s="7"/>
      <c r="BM46" s="26"/>
      <c r="BN46" s="7"/>
      <c r="BO46" s="26"/>
      <c r="BP46" s="7"/>
      <c r="BQ46" s="26"/>
      <c r="BR46" s="7"/>
      <c r="BS46" s="26"/>
      <c r="BT46" s="7"/>
      <c r="BU46" s="26"/>
      <c r="BV46" s="7"/>
      <c r="BW46" s="26"/>
      <c r="BX46" s="7"/>
      <c r="BY46" s="26"/>
      <c r="BZ46" s="7"/>
      <c r="CA46" s="26"/>
      <c r="CB46" s="7"/>
      <c r="CC46" s="26"/>
      <c r="CD46" s="7"/>
      <c r="CE46" s="26"/>
      <c r="CF46" s="7"/>
      <c r="CG46" s="26"/>
      <c r="CH46" s="7"/>
      <c r="CI46" s="26"/>
      <c r="CJ46" s="7"/>
      <c r="CK46" s="26"/>
      <c r="CL46" s="7"/>
      <c r="CM46" s="26"/>
      <c r="CN46" s="7"/>
    </row>
    <row r="47" spans="1:92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9"/>
      <c r="BA47" s="15"/>
      <c r="BB47" s="7"/>
      <c r="BC47" s="26"/>
      <c r="BD47" s="7"/>
      <c r="BE47" s="26"/>
      <c r="BF47" s="7"/>
      <c r="BG47" s="26"/>
      <c r="BH47" s="7"/>
      <c r="BI47" s="26"/>
      <c r="BJ47" s="7"/>
      <c r="BK47" s="26"/>
      <c r="BL47" s="7"/>
      <c r="BM47" s="26"/>
      <c r="BN47" s="7"/>
      <c r="BO47" s="26"/>
      <c r="BP47" s="7"/>
      <c r="BQ47" s="26"/>
      <c r="BR47" s="7"/>
      <c r="BS47" s="26"/>
      <c r="BT47" s="7"/>
      <c r="BU47" s="26"/>
      <c r="BV47" s="7"/>
      <c r="BW47" s="26"/>
      <c r="BX47" s="7"/>
      <c r="BY47" s="26"/>
      <c r="BZ47" s="7"/>
      <c r="CA47" s="26"/>
      <c r="CB47" s="7"/>
      <c r="CC47" s="26"/>
      <c r="CD47" s="7"/>
      <c r="CE47" s="26"/>
      <c r="CF47" s="7"/>
      <c r="CG47" s="26"/>
      <c r="CH47" s="7"/>
      <c r="CI47" s="26"/>
      <c r="CJ47" s="7"/>
      <c r="CK47" s="26"/>
      <c r="CL47" s="7"/>
      <c r="CM47" s="26"/>
      <c r="CN47" s="7"/>
    </row>
    <row r="48" spans="1:92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9"/>
      <c r="BA48" s="15"/>
      <c r="BB48" s="7"/>
      <c r="BC48" s="26"/>
      <c r="BD48" s="7"/>
      <c r="BE48" s="26"/>
      <c r="BF48" s="7"/>
      <c r="BG48" s="26"/>
      <c r="BH48" s="7"/>
      <c r="BI48" s="26"/>
      <c r="BJ48" s="7"/>
      <c r="BK48" s="26"/>
      <c r="BL48" s="7"/>
      <c r="BM48" s="26"/>
      <c r="BN48" s="7"/>
      <c r="BO48" s="26"/>
      <c r="BP48" s="7"/>
      <c r="BQ48" s="26"/>
      <c r="BR48" s="7"/>
      <c r="BS48" s="26"/>
      <c r="BT48" s="7"/>
      <c r="BU48" s="26"/>
      <c r="BV48" s="7"/>
      <c r="BW48" s="26"/>
      <c r="BX48" s="7"/>
      <c r="BY48" s="26"/>
      <c r="BZ48" s="7"/>
      <c r="CA48" s="26"/>
      <c r="CB48" s="7"/>
      <c r="CC48" s="26"/>
      <c r="CD48" s="7"/>
      <c r="CE48" s="26"/>
      <c r="CF48" s="7"/>
      <c r="CG48" s="26"/>
      <c r="CH48" s="7"/>
      <c r="CI48" s="26"/>
      <c r="CJ48" s="7"/>
      <c r="CK48" s="26"/>
      <c r="CL48" s="7"/>
      <c r="CM48" s="26"/>
      <c r="CN48" s="7"/>
    </row>
    <row r="49" spans="1:92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9"/>
      <c r="BA49" s="15"/>
      <c r="BB49" s="7"/>
      <c r="BC49" s="26"/>
      <c r="BD49" s="7"/>
      <c r="BE49" s="26"/>
      <c r="BF49" s="7"/>
      <c r="BG49" s="26"/>
      <c r="BH49" s="7"/>
      <c r="BI49" s="26"/>
      <c r="BJ49" s="7"/>
      <c r="BK49" s="26"/>
      <c r="BL49" s="7"/>
      <c r="BM49" s="26"/>
      <c r="BN49" s="7"/>
      <c r="BO49" s="26"/>
      <c r="BP49" s="7"/>
      <c r="BQ49" s="26"/>
      <c r="BR49" s="7"/>
      <c r="BS49" s="26"/>
      <c r="BT49" s="7"/>
      <c r="BU49" s="26"/>
      <c r="BV49" s="7"/>
      <c r="BW49" s="26"/>
      <c r="BX49" s="7"/>
      <c r="BY49" s="26"/>
      <c r="BZ49" s="7"/>
      <c r="CA49" s="26"/>
      <c r="CB49" s="7"/>
      <c r="CC49" s="26"/>
      <c r="CD49" s="7"/>
      <c r="CE49" s="26"/>
      <c r="CF49" s="7"/>
      <c r="CG49" s="26"/>
      <c r="CH49" s="7"/>
      <c r="CI49" s="26"/>
      <c r="CJ49" s="7"/>
      <c r="CK49" s="26"/>
      <c r="CL49" s="7"/>
      <c r="CM49" s="26"/>
      <c r="CN49" s="7"/>
    </row>
    <row r="50" spans="1:92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9"/>
      <c r="BA50" s="15"/>
      <c r="BB50" s="7"/>
      <c r="BC50" s="26"/>
      <c r="BD50" s="7"/>
      <c r="BE50" s="26"/>
      <c r="BF50" s="7"/>
      <c r="BG50" s="26"/>
      <c r="BH50" s="7"/>
      <c r="BI50" s="26"/>
      <c r="BJ50" s="7"/>
      <c r="BK50" s="26"/>
      <c r="BL50" s="7"/>
      <c r="BM50" s="26"/>
      <c r="BN50" s="7"/>
      <c r="BO50" s="26"/>
      <c r="BP50" s="7"/>
      <c r="BQ50" s="26"/>
      <c r="BR50" s="7"/>
      <c r="BS50" s="26"/>
      <c r="BT50" s="7"/>
      <c r="BU50" s="26"/>
      <c r="BV50" s="7"/>
      <c r="BW50" s="26"/>
      <c r="BX50" s="7"/>
      <c r="BY50" s="26"/>
      <c r="BZ50" s="7"/>
      <c r="CA50" s="26"/>
      <c r="CB50" s="7"/>
      <c r="CC50" s="26"/>
      <c r="CD50" s="7"/>
      <c r="CE50" s="26"/>
      <c r="CF50" s="7"/>
      <c r="CG50" s="26"/>
      <c r="CH50" s="7"/>
      <c r="CI50" s="26"/>
      <c r="CJ50" s="7"/>
      <c r="CK50" s="26"/>
      <c r="CL50" s="7"/>
      <c r="CM50" s="26"/>
      <c r="CN50" s="7"/>
    </row>
    <row r="51" spans="1:92" x14ac:dyDescent="0.25">
      <c r="A51" s="39" t="s">
        <v>1</v>
      </c>
      <c r="B51" s="7"/>
      <c r="C51" s="26"/>
      <c r="D51" s="7"/>
      <c r="E51" s="26"/>
      <c r="F51" s="7">
        <f>+F3+F4</f>
        <v>302658.59999999998</v>
      </c>
      <c r="G51" s="26"/>
      <c r="H51" s="7">
        <f>+H3+H4</f>
        <v>699880.39</v>
      </c>
      <c r="I51" s="26"/>
      <c r="J51" s="7">
        <f>+J3+J4</f>
        <v>62513.8</v>
      </c>
      <c r="K51" s="26"/>
      <c r="L51" s="7">
        <f>+L3+L4</f>
        <v>187153.79</v>
      </c>
      <c r="M51" s="26"/>
      <c r="N51" s="7">
        <f>+N3+N4</f>
        <v>0</v>
      </c>
      <c r="O51" s="26"/>
      <c r="P51" s="7">
        <f>+P3+P4</f>
        <v>122271.23</v>
      </c>
      <c r="Q51" s="26"/>
      <c r="R51" s="7">
        <f>+R3+R4</f>
        <v>287789.03000000003</v>
      </c>
      <c r="S51" s="26"/>
      <c r="T51" s="7">
        <f>+T3+T4</f>
        <v>42810.62</v>
      </c>
      <c r="U51" s="26"/>
      <c r="V51" s="7">
        <f>+V3+V4</f>
        <v>91295.58</v>
      </c>
      <c r="W51" s="26"/>
      <c r="X51" s="7">
        <f>+X3+X4</f>
        <v>247121.45</v>
      </c>
      <c r="Y51" s="26"/>
      <c r="Z51" s="7">
        <f>+Z3+Z4</f>
        <v>77601.539999999994</v>
      </c>
      <c r="AA51" s="26"/>
      <c r="AB51" s="7">
        <f>+AB3+AB4</f>
        <v>709575.95</v>
      </c>
      <c r="AC51" s="26"/>
      <c r="AD51" s="7">
        <f>+AD3+AD4</f>
        <v>94277.99</v>
      </c>
      <c r="AE51" s="26"/>
      <c r="AF51" s="7"/>
      <c r="AG51" s="26"/>
      <c r="AH51" s="7">
        <f>+AH3+AH4</f>
        <v>243904.68</v>
      </c>
      <c r="AI51" s="26"/>
      <c r="AJ51" s="7">
        <f>+AJ3+AJ4</f>
        <v>38958.93</v>
      </c>
      <c r="AK51" s="26"/>
      <c r="AL51" s="7">
        <f>+AL3+AL4</f>
        <v>177696.62</v>
      </c>
      <c r="AM51" s="26"/>
      <c r="AN51" s="7">
        <f>+AN3+AN4</f>
        <v>80135.710000000006</v>
      </c>
      <c r="AO51" s="26"/>
      <c r="AP51" s="7">
        <f>+AP3+AP4</f>
        <v>0</v>
      </c>
      <c r="AQ51" s="16"/>
      <c r="AR51" s="7">
        <f>+AR3+AR4</f>
        <v>0</v>
      </c>
      <c r="AS51" s="26"/>
      <c r="AT51" s="7">
        <f>+AT3+AT4</f>
        <v>364981.13</v>
      </c>
      <c r="AU51" s="26"/>
      <c r="AV51" s="7">
        <f>+AV3+AV4</f>
        <v>512551.86</v>
      </c>
      <c r="AW51" s="26"/>
      <c r="AX51" s="7">
        <f>+AX3+AX4</f>
        <v>45705.67</v>
      </c>
      <c r="AY51" s="26"/>
      <c r="AZ51" s="7">
        <f>+AZ3+AZ4</f>
        <v>42608.53</v>
      </c>
      <c r="BA51" s="15"/>
      <c r="BB51" s="7">
        <f>+BB3+BB4</f>
        <v>202968.5</v>
      </c>
      <c r="BC51" s="26"/>
      <c r="BD51" s="7"/>
      <c r="BE51" s="26"/>
      <c r="BF51" s="7">
        <f>+BF3+BF4</f>
        <v>364917.4</v>
      </c>
      <c r="BG51" s="26"/>
      <c r="BH51" s="7">
        <f>+BH3+BH4</f>
        <v>101800.58</v>
      </c>
      <c r="BI51" s="26"/>
      <c r="BJ51" s="7">
        <f>+BJ3+BJ4</f>
        <v>17645.93</v>
      </c>
      <c r="BK51" s="26"/>
      <c r="BL51" s="7">
        <f>+BL3+BL4</f>
        <v>155904.13</v>
      </c>
      <c r="BM51" s="26"/>
      <c r="BN51" s="7">
        <f>+BN3+BN4</f>
        <v>278440.93</v>
      </c>
      <c r="BO51" s="26"/>
      <c r="BP51" s="8"/>
      <c r="BQ51" s="16"/>
      <c r="BR51" s="8"/>
      <c r="BS51" s="16"/>
      <c r="BT51" s="8"/>
      <c r="BU51" s="16"/>
      <c r="BV51" s="8"/>
      <c r="BW51" s="16"/>
      <c r="BX51" s="8"/>
      <c r="BY51" s="16"/>
      <c r="BZ51" s="8"/>
      <c r="CA51" s="16"/>
      <c r="CB51" s="8"/>
      <c r="CC51" s="16"/>
      <c r="CD51" s="8"/>
      <c r="CE51" s="16"/>
      <c r="CF51" s="8"/>
      <c r="CG51" s="16"/>
      <c r="CH51" s="8"/>
      <c r="CI51" s="16"/>
      <c r="CJ51" s="8"/>
      <c r="CK51" s="16"/>
      <c r="CL51" s="8"/>
      <c r="CM51" s="16"/>
      <c r="CN51" s="8"/>
    </row>
    <row r="52" spans="1:92" x14ac:dyDescent="0.25">
      <c r="A52" s="39" t="s">
        <v>2</v>
      </c>
      <c r="B52" s="26"/>
      <c r="C52" s="26"/>
      <c r="D52" s="26"/>
      <c r="E52" s="26"/>
      <c r="F52" s="26">
        <f>+SUM(F6:F48)</f>
        <v>302658.59000000008</v>
      </c>
      <c r="G52" s="26"/>
      <c r="H52" s="26">
        <f>+SUM(H6:H48)</f>
        <v>699880.47999999986</v>
      </c>
      <c r="I52" s="26"/>
      <c r="J52" s="26">
        <f>+SUM(J6:J48)</f>
        <v>62513.799999999996</v>
      </c>
      <c r="K52" s="26"/>
      <c r="L52" s="26">
        <f>+SUM(L6:L48)</f>
        <v>187153.79</v>
      </c>
      <c r="M52" s="26"/>
      <c r="N52" s="26">
        <f>+SUM(N6:N48)</f>
        <v>0</v>
      </c>
      <c r="O52" s="26"/>
      <c r="P52" s="26">
        <f>+SUM(P5:P48)</f>
        <v>122271.22999999997</v>
      </c>
      <c r="Q52" s="26"/>
      <c r="R52" s="26">
        <f>+SUM(R5:R48)</f>
        <v>287789.03000000009</v>
      </c>
      <c r="S52" s="26"/>
      <c r="T52" s="26">
        <f>+SUM(T5:T48)</f>
        <v>42810.630000000005</v>
      </c>
      <c r="U52" s="26"/>
      <c r="V52" s="26">
        <f>+SUM(V5:V48)</f>
        <v>91295.609999999971</v>
      </c>
      <c r="W52" s="26"/>
      <c r="X52" s="26">
        <f>+SUM(X5:X48)</f>
        <v>247121.45</v>
      </c>
      <c r="Y52" s="26"/>
      <c r="Z52" s="26">
        <f>+SUM(Z5:Z48)</f>
        <v>77601.52999999997</v>
      </c>
      <c r="AA52" s="26"/>
      <c r="AB52" s="26">
        <f>+SUM(AB5:AB48)</f>
        <v>709575.96000000008</v>
      </c>
      <c r="AC52" s="26"/>
      <c r="AD52" s="26">
        <f>+SUM(AD5:AD48)</f>
        <v>94278.02999999997</v>
      </c>
      <c r="AE52" s="26"/>
      <c r="AF52" s="26"/>
      <c r="AG52" s="26"/>
      <c r="AH52" s="26">
        <f>+SUM(AH5:AH48)</f>
        <v>243905.58000000007</v>
      </c>
      <c r="AI52" s="26"/>
      <c r="AJ52" s="26">
        <f>+SUM(AJ5:AJ48)</f>
        <v>38958.93</v>
      </c>
      <c r="AK52" s="26"/>
      <c r="AL52" s="26">
        <f>+SUM(AL5:AL48)</f>
        <v>177696.63</v>
      </c>
      <c r="AM52" s="26"/>
      <c r="AN52" s="26">
        <f>+SUM(AN5:AN48)</f>
        <v>80135.960999999981</v>
      </c>
      <c r="AO52" s="26"/>
      <c r="AP52" s="26">
        <f>+SUM(AP5:AP48)</f>
        <v>0</v>
      </c>
      <c r="AQ52" s="16"/>
      <c r="AR52" s="26">
        <f>+SUM(AR5:AR48)</f>
        <v>0</v>
      </c>
      <c r="AS52" s="26"/>
      <c r="AT52" s="26">
        <f>+SUM(AT5:AT48)</f>
        <v>365475.21</v>
      </c>
      <c r="AU52" s="26"/>
      <c r="AV52" s="26">
        <f>+SUM(AV5:AV48)</f>
        <v>512552.23000000004</v>
      </c>
      <c r="AW52" s="26"/>
      <c r="AX52" s="26">
        <f>+SUM(AX5:AX48)</f>
        <v>45705.679999999993</v>
      </c>
      <c r="AY52" s="26"/>
      <c r="AZ52" s="26">
        <f>+SUM(AZ5:AZ48)</f>
        <v>42608.540000000008</v>
      </c>
      <c r="BA52" s="15"/>
      <c r="BB52" s="26">
        <f>+SUM(BB5:BB48)</f>
        <v>202968.5</v>
      </c>
      <c r="BC52" s="26"/>
      <c r="BD52" s="26"/>
      <c r="BE52" s="26"/>
      <c r="BF52" s="26">
        <f>+SUM(BF5:BF48)</f>
        <v>364917.41000000003</v>
      </c>
      <c r="BG52" s="26"/>
      <c r="BH52" s="26">
        <f>+SUM(BH5:BH48)</f>
        <v>101800.59999999998</v>
      </c>
      <c r="BI52" s="26"/>
      <c r="BJ52" s="26">
        <f>+SUM(BJ5:BJ48)</f>
        <v>17646.100000000002</v>
      </c>
      <c r="BK52" s="26"/>
      <c r="BL52" s="26">
        <f>+SUM(BL5:BL48)</f>
        <v>155904.13999999998</v>
      </c>
      <c r="BM52" s="26"/>
      <c r="BN52" s="26">
        <f>+SUM(BN5:BN48)</f>
        <v>278440.98</v>
      </c>
      <c r="BO52" s="2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</row>
    <row r="53" spans="1:92" x14ac:dyDescent="0.25">
      <c r="A53" s="39" t="s">
        <v>3</v>
      </c>
      <c r="B53" s="117"/>
      <c r="C53" s="117"/>
      <c r="D53" s="117"/>
      <c r="E53" s="117"/>
      <c r="F53" s="117">
        <f>+F51-F52</f>
        <v>9.9999998928979039E-3</v>
      </c>
      <c r="G53" s="117"/>
      <c r="H53" s="117">
        <f>+H51-H52</f>
        <v>-8.9999999850988388E-2</v>
      </c>
      <c r="I53" s="117"/>
      <c r="J53" s="117">
        <f>+J51-J52</f>
        <v>0</v>
      </c>
      <c r="K53" s="117"/>
      <c r="L53" s="117">
        <f>+L51-L52</f>
        <v>0</v>
      </c>
      <c r="M53" s="117"/>
      <c r="N53" s="117">
        <f>+N51-N52</f>
        <v>0</v>
      </c>
      <c r="O53" s="117"/>
      <c r="P53" s="117">
        <f>+P51-P52</f>
        <v>0</v>
      </c>
      <c r="Q53" s="117"/>
      <c r="R53" s="117">
        <f>+R51-R52</f>
        <v>0</v>
      </c>
      <c r="S53" s="117"/>
      <c r="T53" s="117">
        <f>+T51-T52</f>
        <v>-1.0000000002037268E-2</v>
      </c>
      <c r="U53" s="117"/>
      <c r="V53" s="117">
        <f>+V51-V52</f>
        <v>-2.9999999969732016E-2</v>
      </c>
      <c r="W53" s="117"/>
      <c r="X53" s="117">
        <f>+X51-X52</f>
        <v>0</v>
      </c>
      <c r="Y53" s="117"/>
      <c r="Z53" s="117">
        <f>+Z51-Z52</f>
        <v>1.0000000023865141E-2</v>
      </c>
      <c r="AA53" s="117"/>
      <c r="AB53" s="117">
        <f>+AB51-AB52</f>
        <v>-1.0000000125728548E-2</v>
      </c>
      <c r="AC53" s="117"/>
      <c r="AD53" s="117">
        <f>+AD51-AD52</f>
        <v>-3.9999999964493327E-2</v>
      </c>
      <c r="AE53" s="117"/>
      <c r="AF53" s="117"/>
      <c r="AG53" s="117"/>
      <c r="AH53" s="117">
        <f>+AH51-AH52</f>
        <v>-0.90000000008149073</v>
      </c>
      <c r="AI53" s="117"/>
      <c r="AJ53" s="117">
        <f>+AJ51-AJ52</f>
        <v>0</v>
      </c>
      <c r="AK53" s="117"/>
      <c r="AL53" s="117">
        <f>+AL51-AL52</f>
        <v>-1.0000000009313226E-2</v>
      </c>
      <c r="AM53" s="117"/>
      <c r="AN53" s="117">
        <f>+AN51-AN52</f>
        <v>-0.25099999997473788</v>
      </c>
      <c r="AO53" s="117"/>
      <c r="AP53" s="117">
        <f>+AP51-AP52</f>
        <v>0</v>
      </c>
      <c r="AQ53" s="17"/>
      <c r="AR53" s="117">
        <f>+AR51-AR52</f>
        <v>0</v>
      </c>
      <c r="AS53" s="117"/>
      <c r="AT53" s="117">
        <f>+AT51-AT52</f>
        <v>-494.0800000000163</v>
      </c>
      <c r="AU53" s="117"/>
      <c r="AV53" s="117">
        <f>+AV51-AV52</f>
        <v>-0.37000000005355105</v>
      </c>
      <c r="AW53" s="117"/>
      <c r="AX53" s="117">
        <f>+AX51-AX52</f>
        <v>-9.9999999947613105E-3</v>
      </c>
      <c r="AY53" s="117"/>
      <c r="AZ53" s="117">
        <f>+AZ51-AZ52</f>
        <v>-1.0000000009313226E-2</v>
      </c>
      <c r="BA53" s="134"/>
      <c r="BB53" s="117">
        <f>+BB51-BB52</f>
        <v>0</v>
      </c>
      <c r="BC53" s="117"/>
      <c r="BD53" s="117"/>
      <c r="BE53" s="117"/>
      <c r="BF53" s="117">
        <f>+BF51-BF52</f>
        <v>-1.0000000009313226E-2</v>
      </c>
      <c r="BG53" s="117"/>
      <c r="BH53" s="117">
        <f>+BH51-BH52</f>
        <v>-1.9999999974970706E-2</v>
      </c>
      <c r="BI53" s="117"/>
      <c r="BJ53" s="117">
        <f>+BJ51-BJ52</f>
        <v>-0.17000000000189175</v>
      </c>
      <c r="BK53" s="117"/>
      <c r="BL53" s="117">
        <f>+BL51-BL52</f>
        <v>-9.9999999802093953E-3</v>
      </c>
      <c r="BM53" s="117"/>
      <c r="BN53" s="117">
        <f>+BN51-BN52</f>
        <v>-4.9999999988358468E-2</v>
      </c>
      <c r="BO53" s="1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</row>
    <row r="54" spans="1:92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18"/>
      <c r="AA54" s="59"/>
      <c r="AB54" s="18"/>
      <c r="AC54" s="59"/>
      <c r="AD54" s="18"/>
      <c r="AE54" s="59"/>
      <c r="AF54" s="18"/>
      <c r="AG54" s="59"/>
      <c r="AH54" s="18"/>
      <c r="AI54" s="59"/>
      <c r="AJ54" s="18"/>
      <c r="AK54" s="59"/>
      <c r="AL54" s="18"/>
      <c r="AM54" s="59"/>
      <c r="AN54" s="18"/>
      <c r="AO54" s="59"/>
      <c r="AP54" s="18"/>
      <c r="AQ54" s="56"/>
      <c r="AR54" s="18"/>
      <c r="AS54" s="59"/>
      <c r="AT54" s="18"/>
      <c r="AU54" s="59"/>
      <c r="AV54" s="18"/>
      <c r="AW54" s="59"/>
      <c r="AX54" s="18"/>
      <c r="AY54" s="59"/>
      <c r="AZ54" s="75"/>
      <c r="BA54" s="25"/>
      <c r="BB54" s="18"/>
      <c r="BC54" s="59"/>
      <c r="BD54" s="18"/>
      <c r="BE54" s="59"/>
      <c r="BF54" s="18"/>
      <c r="BG54" s="59"/>
      <c r="BH54" s="18"/>
      <c r="BI54" s="59"/>
      <c r="BJ54" s="18"/>
      <c r="BK54" s="59"/>
      <c r="BL54" s="18"/>
      <c r="BM54" s="59"/>
      <c r="BN54" s="18"/>
      <c r="BO54" s="59"/>
      <c r="BP54" s="6"/>
      <c r="BQ54" s="56"/>
      <c r="BR54" s="6"/>
      <c r="BS54" s="56"/>
      <c r="BT54" s="6"/>
      <c r="BU54" s="56"/>
      <c r="BV54" s="6"/>
      <c r="BW54" s="56"/>
      <c r="BX54" s="6"/>
      <c r="BY54" s="56"/>
      <c r="BZ54" s="6"/>
      <c r="CA54" s="56"/>
      <c r="CB54" s="6"/>
      <c r="CC54" s="56"/>
      <c r="CD54" s="6"/>
      <c r="CE54" s="56"/>
      <c r="CF54" s="6"/>
      <c r="CG54" s="56"/>
      <c r="CH54" s="6"/>
      <c r="CI54" s="56"/>
      <c r="CJ54" s="6"/>
      <c r="CK54" s="56"/>
      <c r="CL54" s="6"/>
      <c r="CM54" s="56"/>
      <c r="CN54" s="6"/>
    </row>
    <row r="55" spans="1:92" x14ac:dyDescent="0.25">
      <c r="A55" s="48"/>
      <c r="B55" s="18"/>
      <c r="C55" s="59"/>
      <c r="D55" s="18"/>
      <c r="E55" s="59"/>
      <c r="F55" s="18"/>
      <c r="G55" s="59"/>
      <c r="H55" s="18"/>
      <c r="I55" s="59"/>
      <c r="J55" s="18"/>
      <c r="K55" s="59"/>
      <c r="L55" s="18"/>
      <c r="M55" s="59"/>
      <c r="N55" s="18"/>
      <c r="O55" s="59"/>
      <c r="P55" s="18"/>
      <c r="Q55" s="59"/>
      <c r="R55" s="18"/>
      <c r="S55" s="59"/>
      <c r="T55" s="18"/>
      <c r="U55" s="59"/>
      <c r="V55" s="18"/>
      <c r="W55" s="59"/>
      <c r="X55" s="18"/>
      <c r="Y55" s="59"/>
      <c r="Z55" s="18"/>
      <c r="AA55" s="59"/>
      <c r="AB55" s="18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6"/>
      <c r="AR55" s="18"/>
      <c r="AS55" s="59"/>
      <c r="AT55" s="18"/>
      <c r="AU55" s="59"/>
      <c r="AV55" s="18"/>
      <c r="AW55" s="59"/>
      <c r="AX55" s="18"/>
      <c r="AY55" s="59"/>
      <c r="AZ55" s="75"/>
      <c r="BA55" s="25"/>
      <c r="BB55" s="18"/>
      <c r="BC55" s="59"/>
      <c r="BD55" s="18"/>
      <c r="BE55" s="59"/>
      <c r="BF55" s="18"/>
      <c r="BG55" s="59"/>
      <c r="BH55" s="18"/>
      <c r="BI55" s="59"/>
      <c r="BJ55" s="18"/>
      <c r="BK55" s="59"/>
      <c r="BL55" s="18"/>
      <c r="BM55" s="59"/>
      <c r="BN55" s="18"/>
      <c r="BO55" s="59"/>
      <c r="BP55" s="6"/>
      <c r="BQ55" s="56"/>
      <c r="BR55" s="6"/>
      <c r="BS55" s="56"/>
      <c r="BT55" s="6"/>
      <c r="BU55" s="56"/>
      <c r="BV55" s="6"/>
      <c r="BW55" s="56"/>
      <c r="BX55" s="6"/>
      <c r="BY55" s="56"/>
      <c r="BZ55" s="6"/>
      <c r="CA55" s="56"/>
      <c r="CB55" s="6"/>
      <c r="CC55" s="56"/>
      <c r="CD55" s="6"/>
      <c r="CE55" s="56"/>
      <c r="CF55" s="6"/>
      <c r="CG55" s="56"/>
      <c r="CH55" s="6"/>
      <c r="CI55" s="56"/>
      <c r="CJ55" s="6"/>
      <c r="CK55" s="56"/>
      <c r="CL55" s="6"/>
      <c r="CM55" s="56"/>
      <c r="CN55" s="6"/>
    </row>
    <row r="56" spans="1:92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1"/>
      <c r="BA56" s="13"/>
      <c r="BB56" s="10"/>
      <c r="BC56" s="12"/>
      <c r="BD56" s="10"/>
      <c r="BE56" s="12"/>
      <c r="BF56" s="10"/>
      <c r="BG56" s="12"/>
      <c r="BH56" s="10"/>
      <c r="BI56" s="12"/>
      <c r="BJ56" s="10"/>
      <c r="BK56" s="12"/>
      <c r="BL56" s="10"/>
      <c r="BM56" s="12"/>
      <c r="BN56" s="10"/>
      <c r="BO56" s="12"/>
      <c r="BP56" s="10"/>
      <c r="BQ56" s="12"/>
      <c r="BR56" s="10"/>
      <c r="BS56" s="12"/>
      <c r="BT56" s="10"/>
      <c r="BU56" s="12"/>
      <c r="BV56" s="10"/>
      <c r="BW56" s="12"/>
      <c r="BX56" s="10"/>
      <c r="BY56" s="12"/>
      <c r="BZ56" s="10"/>
      <c r="CA56" s="12"/>
      <c r="CB56" s="10"/>
      <c r="CC56" s="12"/>
      <c r="CD56" s="10"/>
      <c r="CE56" s="12"/>
      <c r="CF56" s="10"/>
      <c r="CG56" s="12"/>
      <c r="CH56" s="10"/>
      <c r="CI56" s="12"/>
      <c r="CJ56" s="10"/>
      <c r="CK56" s="12"/>
      <c r="CL56" s="10"/>
      <c r="CM56" s="12"/>
      <c r="CN56" s="10"/>
    </row>
    <row r="57" spans="1:92" x14ac:dyDescent="0.25">
      <c r="A57" s="40" t="s">
        <v>4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>
        <v>42809</v>
      </c>
      <c r="AI57" s="20"/>
      <c r="AJ57" s="20">
        <v>42810</v>
      </c>
      <c r="AK57" s="20"/>
      <c r="AL57" s="20">
        <v>42811</v>
      </c>
      <c r="AM57" s="20"/>
      <c r="AN57" s="20">
        <v>42812</v>
      </c>
      <c r="AO57" s="20"/>
      <c r="AP57" s="20">
        <v>42813</v>
      </c>
      <c r="AQ57" s="20"/>
      <c r="AR57" s="20">
        <v>42814</v>
      </c>
      <c r="AS57" s="20"/>
      <c r="AT57" s="20">
        <v>42815</v>
      </c>
      <c r="AU57" s="20"/>
      <c r="AV57" s="20">
        <v>42816</v>
      </c>
      <c r="AW57" s="20"/>
      <c r="AX57" s="20">
        <v>42817</v>
      </c>
      <c r="AY57" s="20"/>
      <c r="AZ57" s="20">
        <v>42818</v>
      </c>
      <c r="BA57" s="20"/>
      <c r="BB57" s="20">
        <v>42819</v>
      </c>
      <c r="BC57" s="20"/>
      <c r="BD57" s="20">
        <v>42820</v>
      </c>
      <c r="BE57" s="20"/>
      <c r="BF57" s="20">
        <v>42821</v>
      </c>
      <c r="BG57" s="20"/>
      <c r="BH57" s="20">
        <v>42822</v>
      </c>
      <c r="BI57" s="20"/>
      <c r="BJ57" s="20">
        <v>42823</v>
      </c>
      <c r="BK57" s="20"/>
      <c r="BL57" s="20">
        <v>42824</v>
      </c>
      <c r="BM57" s="20"/>
      <c r="BN57" s="20">
        <v>42825</v>
      </c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</row>
    <row r="58" spans="1:92" x14ac:dyDescent="0.25">
      <c r="A58" s="49"/>
      <c r="B58" s="19"/>
      <c r="C58" s="21"/>
      <c r="D58" s="19"/>
      <c r="E58" s="21"/>
      <c r="F58" s="19"/>
      <c r="G58" s="21"/>
      <c r="H58" s="19"/>
      <c r="I58" s="21"/>
      <c r="J58" s="19"/>
      <c r="K58" s="21"/>
      <c r="L58" s="19"/>
      <c r="M58" s="21"/>
      <c r="N58" s="19"/>
      <c r="O58" s="21"/>
      <c r="P58" s="19"/>
      <c r="Q58" s="21"/>
      <c r="R58" s="19"/>
      <c r="S58" s="21"/>
      <c r="T58" s="19"/>
      <c r="U58" s="21"/>
      <c r="V58" s="19"/>
      <c r="W58" s="21"/>
      <c r="X58" s="68"/>
      <c r="Y58" s="21"/>
      <c r="Z58" s="19"/>
      <c r="AA58" s="21"/>
      <c r="AB58" s="19"/>
      <c r="AC58" s="21"/>
      <c r="AD58" s="19"/>
      <c r="AE58" s="21"/>
      <c r="AF58" s="19"/>
      <c r="AG58" s="21"/>
      <c r="AH58" s="19"/>
      <c r="AI58" s="21"/>
      <c r="AJ58" s="19"/>
      <c r="AK58" s="21"/>
      <c r="AL58" s="19"/>
      <c r="AM58" s="21"/>
      <c r="AN58" s="19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68"/>
      <c r="BA58" s="135"/>
      <c r="BB58" s="19"/>
      <c r="BC58" s="21"/>
      <c r="BD58" s="19"/>
      <c r="BE58" s="21"/>
      <c r="BF58" s="19"/>
      <c r="BG58" s="21"/>
      <c r="BH58" s="19"/>
      <c r="BI58" s="21"/>
      <c r="BJ58" s="19"/>
      <c r="BK58" s="21"/>
      <c r="BL58" s="19"/>
      <c r="BM58" s="21"/>
      <c r="BN58" s="68"/>
      <c r="BO58" s="21"/>
      <c r="BP58" s="19"/>
      <c r="BQ58" s="21"/>
      <c r="BR58" s="19"/>
      <c r="BS58" s="21"/>
      <c r="BT58" s="19"/>
      <c r="BU58" s="21"/>
      <c r="BV58" s="19"/>
      <c r="BW58" s="21"/>
      <c r="BX58" s="19"/>
      <c r="BY58" s="21"/>
      <c r="BZ58" s="19"/>
      <c r="CA58" s="21"/>
      <c r="CB58" s="19"/>
      <c r="CC58" s="21"/>
      <c r="CD58" s="19"/>
      <c r="CE58" s="21"/>
      <c r="CF58" s="19"/>
      <c r="CG58" s="21"/>
      <c r="CH58" s="19"/>
      <c r="CI58" s="21"/>
      <c r="CJ58" s="19"/>
      <c r="CK58" s="21"/>
      <c r="CL58" s="19"/>
      <c r="CM58" s="21"/>
      <c r="CN58" s="19"/>
    </row>
    <row r="59" spans="1:92" x14ac:dyDescent="0.25">
      <c r="A59" s="41" t="s">
        <v>5</v>
      </c>
      <c r="B59" s="9"/>
      <c r="C59" s="15"/>
      <c r="D59" s="9"/>
      <c r="E59" s="15"/>
      <c r="F59" s="9">
        <v>50000</v>
      </c>
      <c r="G59" s="15" t="s">
        <v>2567</v>
      </c>
      <c r="H59" s="9">
        <v>10354.98</v>
      </c>
      <c r="I59" s="15" t="s">
        <v>2623</v>
      </c>
      <c r="J59" s="9">
        <v>5000</v>
      </c>
      <c r="K59" s="15" t="s">
        <v>2687</v>
      </c>
      <c r="L59" s="9">
        <v>1970</v>
      </c>
      <c r="M59" s="15" t="s">
        <v>2743</v>
      </c>
      <c r="N59" s="9"/>
      <c r="O59" s="15"/>
      <c r="P59" s="9">
        <v>1099.01</v>
      </c>
      <c r="Q59" s="15" t="s">
        <v>2767</v>
      </c>
      <c r="R59" s="9">
        <v>20000</v>
      </c>
      <c r="S59" s="15" t="s">
        <v>2823</v>
      </c>
      <c r="T59" s="9">
        <v>20000</v>
      </c>
      <c r="U59" s="15" t="s">
        <v>2882</v>
      </c>
      <c r="V59" s="9">
        <v>10753.18</v>
      </c>
      <c r="W59" s="15" t="s">
        <v>2931</v>
      </c>
      <c r="X59" s="9">
        <v>5000</v>
      </c>
      <c r="Y59" s="15" t="s">
        <v>2978</v>
      </c>
      <c r="Z59" s="9">
        <v>1844.91</v>
      </c>
      <c r="AA59" s="15" t="s">
        <v>3059</v>
      </c>
      <c r="AB59" s="9">
        <v>300</v>
      </c>
      <c r="AC59" s="15" t="s">
        <v>3090</v>
      </c>
      <c r="AD59" s="9">
        <v>2480.0500000000002</v>
      </c>
      <c r="AE59" s="15" t="s">
        <v>3142</v>
      </c>
      <c r="AF59" s="9"/>
      <c r="AG59" s="15"/>
      <c r="AH59" s="9">
        <v>20000</v>
      </c>
      <c r="AI59" s="15" t="s">
        <v>3188</v>
      </c>
      <c r="AJ59" s="9">
        <v>20000</v>
      </c>
      <c r="AK59" s="15" t="s">
        <v>3243</v>
      </c>
      <c r="AL59" s="9">
        <v>48000</v>
      </c>
      <c r="AM59" s="15" t="s">
        <v>3307</v>
      </c>
      <c r="AN59" s="9">
        <v>4509</v>
      </c>
      <c r="AO59" s="15" t="s">
        <v>3364</v>
      </c>
      <c r="AP59" s="9">
        <v>20000</v>
      </c>
      <c r="AQ59" s="15" t="s">
        <v>3406</v>
      </c>
      <c r="AR59" s="9"/>
      <c r="AS59" s="15"/>
      <c r="AT59" s="9">
        <v>20000</v>
      </c>
      <c r="AU59" s="15" t="s">
        <v>3411</v>
      </c>
      <c r="AV59" s="9">
        <v>1147.5899999999999</v>
      </c>
      <c r="AW59" s="15" t="s">
        <v>3450</v>
      </c>
      <c r="AX59" s="9">
        <v>30000</v>
      </c>
      <c r="AY59" s="15" t="s">
        <v>3529</v>
      </c>
      <c r="AZ59" s="9">
        <v>20000</v>
      </c>
      <c r="BA59" s="15" t="s">
        <v>3563</v>
      </c>
      <c r="BB59" s="9">
        <v>20000</v>
      </c>
      <c r="BC59" s="15" t="s">
        <v>3595</v>
      </c>
      <c r="BD59" s="9">
        <v>20000</v>
      </c>
      <c r="BE59" s="15" t="s">
        <v>3659</v>
      </c>
      <c r="BF59" s="9">
        <v>684.51</v>
      </c>
      <c r="BG59" s="15" t="s">
        <v>3661</v>
      </c>
      <c r="BH59" s="9">
        <v>10000</v>
      </c>
      <c r="BI59" s="15" t="s">
        <v>3671</v>
      </c>
      <c r="BJ59" s="9">
        <v>745.37</v>
      </c>
      <c r="BK59" s="15" t="s">
        <v>3684</v>
      </c>
      <c r="BL59" s="9">
        <f>3312.25-2412.25</f>
        <v>900</v>
      </c>
      <c r="BM59" s="15" t="s">
        <v>3697</v>
      </c>
      <c r="BN59" s="9">
        <v>1500</v>
      </c>
      <c r="BO59" s="15" t="s">
        <v>3857</v>
      </c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</row>
    <row r="60" spans="1:92" x14ac:dyDescent="0.25">
      <c r="A60" s="41"/>
      <c r="B60" s="9"/>
      <c r="C60" s="15"/>
      <c r="D60" s="9"/>
      <c r="E60" s="15"/>
      <c r="F60" s="9">
        <v>10000</v>
      </c>
      <c r="G60" s="15" t="s">
        <v>2576</v>
      </c>
      <c r="H60" s="9">
        <v>10000</v>
      </c>
      <c r="I60" s="15" t="s">
        <v>2628</v>
      </c>
      <c r="J60" s="72">
        <v>1099.01</v>
      </c>
      <c r="K60" s="24" t="s">
        <v>2690</v>
      </c>
      <c r="L60" s="9">
        <v>771.19</v>
      </c>
      <c r="M60" s="15" t="s">
        <v>2727</v>
      </c>
      <c r="N60" s="9"/>
      <c r="O60" s="15"/>
      <c r="P60" s="9">
        <v>1788</v>
      </c>
      <c r="Q60" s="15" t="s">
        <v>2768</v>
      </c>
      <c r="R60" s="9">
        <v>8443.0499999999993</v>
      </c>
      <c r="S60" s="15" t="s">
        <v>2840</v>
      </c>
      <c r="T60" s="9">
        <v>3000</v>
      </c>
      <c r="U60" s="15" t="s">
        <v>2888</v>
      </c>
      <c r="V60" s="9">
        <v>100</v>
      </c>
      <c r="W60" s="15" t="s">
        <v>2936</v>
      </c>
      <c r="X60" s="9">
        <v>500</v>
      </c>
      <c r="Y60" s="15" t="s">
        <v>2982</v>
      </c>
      <c r="Z60" s="9">
        <v>3250</v>
      </c>
      <c r="AA60" s="15" t="s">
        <v>3061</v>
      </c>
      <c r="AB60" s="72">
        <v>10506.61</v>
      </c>
      <c r="AC60" s="15" t="s">
        <v>3094</v>
      </c>
      <c r="AD60" s="87">
        <v>600</v>
      </c>
      <c r="AE60" s="26" t="s">
        <v>3160</v>
      </c>
      <c r="AF60" s="9"/>
      <c r="AG60" s="15"/>
      <c r="AH60" s="72">
        <v>5000</v>
      </c>
      <c r="AI60" s="15" t="s">
        <v>3189</v>
      </c>
      <c r="AJ60" s="9">
        <v>5000</v>
      </c>
      <c r="AK60" s="15" t="s">
        <v>3245</v>
      </c>
      <c r="AL60" s="9">
        <v>5000</v>
      </c>
      <c r="AM60" s="15" t="s">
        <v>3308</v>
      </c>
      <c r="AN60" s="9">
        <v>20000</v>
      </c>
      <c r="AO60" s="15" t="s">
        <v>3365</v>
      </c>
      <c r="AP60" s="9"/>
      <c r="AQ60" s="15"/>
      <c r="AR60" s="9"/>
      <c r="AS60" s="15"/>
      <c r="AT60" s="9">
        <v>4395.01</v>
      </c>
      <c r="AU60" s="15" t="s">
        <v>3427</v>
      </c>
      <c r="AV60" s="9">
        <v>20000</v>
      </c>
      <c r="AW60" s="15" t="s">
        <v>3455</v>
      </c>
      <c r="AX60" s="9">
        <v>3866.01</v>
      </c>
      <c r="AY60" s="15" t="s">
        <v>3536</v>
      </c>
      <c r="AZ60" s="9">
        <v>10</v>
      </c>
      <c r="BA60" s="15" t="s">
        <v>3564</v>
      </c>
      <c r="BB60" s="9">
        <v>4928.26</v>
      </c>
      <c r="BC60" s="15" t="s">
        <v>3596</v>
      </c>
      <c r="BD60" s="9"/>
      <c r="BE60" s="15"/>
      <c r="BF60" s="9">
        <v>20000</v>
      </c>
      <c r="BG60" s="15" t="s">
        <v>3662</v>
      </c>
      <c r="BH60" s="9">
        <v>10000</v>
      </c>
      <c r="BI60" s="15" t="s">
        <v>3672</v>
      </c>
      <c r="BJ60" s="9">
        <v>1954.59</v>
      </c>
      <c r="BK60" s="15" t="s">
        <v>3689</v>
      </c>
      <c r="BL60" s="9">
        <v>1099.01</v>
      </c>
      <c r="BM60" s="15" t="s">
        <v>3698</v>
      </c>
      <c r="BN60" s="9">
        <v>6138.87</v>
      </c>
      <c r="BO60" s="15" t="s">
        <v>3861</v>
      </c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</row>
    <row r="61" spans="1:92" x14ac:dyDescent="0.25">
      <c r="A61" s="43"/>
      <c r="B61" s="9"/>
      <c r="C61" s="15"/>
      <c r="D61" s="10"/>
      <c r="E61" s="12"/>
      <c r="F61" s="10">
        <v>10000</v>
      </c>
      <c r="G61" s="12" t="s">
        <v>2577</v>
      </c>
      <c r="H61" s="10">
        <v>7072.07</v>
      </c>
      <c r="I61" s="12" t="s">
        <v>2630</v>
      </c>
      <c r="J61" s="72">
        <v>2109.9899999999998</v>
      </c>
      <c r="K61" s="24" t="s">
        <v>2691</v>
      </c>
      <c r="L61" s="11">
        <v>1099</v>
      </c>
      <c r="M61" s="12" t="s">
        <v>2728</v>
      </c>
      <c r="N61" s="10"/>
      <c r="O61" s="12"/>
      <c r="P61" s="11">
        <v>20000</v>
      </c>
      <c r="Q61" s="12" t="s">
        <v>2769</v>
      </c>
      <c r="R61" s="10">
        <v>4300</v>
      </c>
      <c r="S61" s="12" t="s">
        <v>2842</v>
      </c>
      <c r="T61" s="10">
        <v>20000</v>
      </c>
      <c r="U61" s="12" t="s">
        <v>2892</v>
      </c>
      <c r="V61" s="10">
        <v>5071.6899999999996</v>
      </c>
      <c r="W61" s="12" t="s">
        <v>2943</v>
      </c>
      <c r="X61" s="11">
        <v>1883.54</v>
      </c>
      <c r="Y61" s="12" t="s">
        <v>2985</v>
      </c>
      <c r="Z61" s="10">
        <v>1099.01</v>
      </c>
      <c r="AA61" s="12" t="s">
        <v>3065</v>
      </c>
      <c r="AB61" s="120">
        <v>8000</v>
      </c>
      <c r="AC61" s="120" t="s">
        <v>3111</v>
      </c>
      <c r="AD61" s="10">
        <v>2866</v>
      </c>
      <c r="AE61" s="12" t="s">
        <v>3161</v>
      </c>
      <c r="AF61" s="11"/>
      <c r="AG61" s="12"/>
      <c r="AH61" s="87">
        <v>20000</v>
      </c>
      <c r="AI61" s="12" t="s">
        <v>3190</v>
      </c>
      <c r="AJ61" s="10">
        <v>2658.13</v>
      </c>
      <c r="AK61" s="12" t="s">
        <v>3248</v>
      </c>
      <c r="AL61" s="9">
        <v>3200</v>
      </c>
      <c r="AM61" s="15" t="s">
        <v>3312</v>
      </c>
      <c r="AN61" s="9">
        <v>254.72</v>
      </c>
      <c r="AO61" s="12" t="s">
        <v>3369</v>
      </c>
      <c r="AP61" s="10"/>
      <c r="AQ61" s="12"/>
      <c r="AR61" s="9"/>
      <c r="AS61" s="15"/>
      <c r="AT61" s="10">
        <v>1099.01</v>
      </c>
      <c r="AU61" s="12" t="s">
        <v>3432</v>
      </c>
      <c r="AV61" s="10">
        <v>2139.6999999999998</v>
      </c>
      <c r="AW61" s="12" t="s">
        <v>3456</v>
      </c>
      <c r="AX61" s="10">
        <v>1587.01</v>
      </c>
      <c r="AY61" s="12" t="s">
        <v>3543</v>
      </c>
      <c r="AZ61" s="11">
        <v>6248.38</v>
      </c>
      <c r="BA61" s="13" t="s">
        <v>3566</v>
      </c>
      <c r="BB61" s="10">
        <v>6200</v>
      </c>
      <c r="BC61" s="12" t="s">
        <v>3597</v>
      </c>
      <c r="BD61" s="10"/>
      <c r="BE61" s="12"/>
      <c r="BF61" s="9">
        <v>3250</v>
      </c>
      <c r="BG61" s="15" t="s">
        <v>3663</v>
      </c>
      <c r="BH61" s="10">
        <v>484.65</v>
      </c>
      <c r="BI61" s="12" t="s">
        <v>3673</v>
      </c>
      <c r="BJ61" s="152">
        <f>+BJ60+BJ59</f>
        <v>2699.96</v>
      </c>
      <c r="BK61" s="12"/>
      <c r="BL61" s="10">
        <v>2346.5100000000002</v>
      </c>
      <c r="BM61" s="12" t="s">
        <v>3710</v>
      </c>
      <c r="BN61" s="11">
        <v>4588.8599999999997</v>
      </c>
      <c r="BO61" s="12" t="s">
        <v>3866</v>
      </c>
      <c r="BP61" s="10"/>
      <c r="BQ61" s="12"/>
      <c r="BR61" s="10"/>
      <c r="BS61" s="12"/>
      <c r="BT61" s="10"/>
      <c r="BU61" s="12"/>
      <c r="BV61" s="10"/>
      <c r="BW61" s="12"/>
      <c r="BX61" s="10"/>
      <c r="BY61" s="12"/>
      <c r="BZ61" s="10"/>
      <c r="CA61" s="12"/>
      <c r="CB61" s="10"/>
      <c r="CC61" s="12"/>
      <c r="CD61" s="10"/>
      <c r="CE61" s="12"/>
      <c r="CF61" s="10"/>
      <c r="CG61" s="12"/>
      <c r="CH61" s="10"/>
      <c r="CI61" s="12"/>
      <c r="CJ61" s="10"/>
      <c r="CK61" s="12"/>
      <c r="CL61" s="10"/>
      <c r="CM61" s="12"/>
      <c r="CN61" s="10"/>
    </row>
    <row r="62" spans="1:92" x14ac:dyDescent="0.25">
      <c r="A62" s="41"/>
      <c r="B62" s="7"/>
      <c r="C62" s="26"/>
      <c r="D62" s="9"/>
      <c r="E62" s="15"/>
      <c r="F62" s="9">
        <v>535.15</v>
      </c>
      <c r="G62" s="15" t="s">
        <v>2582</v>
      </c>
      <c r="H62" s="9">
        <v>1970</v>
      </c>
      <c r="I62" s="15" t="s">
        <v>2635</v>
      </c>
      <c r="J62" s="9">
        <v>1869</v>
      </c>
      <c r="K62" s="15" t="s">
        <v>2693</v>
      </c>
      <c r="L62" s="9">
        <v>11600</v>
      </c>
      <c r="M62" s="15" t="s">
        <v>2731</v>
      </c>
      <c r="N62" s="9"/>
      <c r="O62" s="15"/>
      <c r="P62" s="9">
        <v>20000</v>
      </c>
      <c r="Q62" s="26" t="s">
        <v>2770</v>
      </c>
      <c r="R62" s="7">
        <v>1970</v>
      </c>
      <c r="S62" s="26" t="s">
        <v>2844</v>
      </c>
      <c r="T62" s="9">
        <v>3372.49</v>
      </c>
      <c r="U62" s="15" t="s">
        <v>2890</v>
      </c>
      <c r="V62" s="9">
        <v>6381.5</v>
      </c>
      <c r="W62" s="15" t="s">
        <v>2944</v>
      </c>
      <c r="X62" s="9">
        <v>254.95</v>
      </c>
      <c r="Y62" s="15" t="s">
        <v>2998</v>
      </c>
      <c r="Z62" s="9">
        <v>473.16</v>
      </c>
      <c r="AA62" s="15" t="s">
        <v>3068</v>
      </c>
      <c r="AB62" s="72">
        <v>1099.01</v>
      </c>
      <c r="AC62" s="15" t="s">
        <v>3116</v>
      </c>
      <c r="AD62" s="9">
        <v>3250.01</v>
      </c>
      <c r="AE62" s="15" t="s">
        <v>3162</v>
      </c>
      <c r="AF62" s="9"/>
      <c r="AG62" s="15"/>
      <c r="AH62" s="72">
        <v>2904.05</v>
      </c>
      <c r="AI62" s="15" t="s">
        <v>3196</v>
      </c>
      <c r="AJ62" s="9">
        <v>20000</v>
      </c>
      <c r="AK62" s="15" t="s">
        <v>3254</v>
      </c>
      <c r="AL62" s="9">
        <v>5000</v>
      </c>
      <c r="AM62" s="15" t="s">
        <v>3323</v>
      </c>
      <c r="AN62" s="9">
        <v>10000</v>
      </c>
      <c r="AO62" s="15" t="s">
        <v>3370</v>
      </c>
      <c r="AP62" s="9"/>
      <c r="AQ62" s="15"/>
      <c r="AR62" s="9"/>
      <c r="AS62" s="15"/>
      <c r="AT62" s="9">
        <v>1099.01</v>
      </c>
      <c r="AU62" s="15" t="s">
        <v>3441</v>
      </c>
      <c r="AV62" s="9">
        <v>3500</v>
      </c>
      <c r="AW62" s="15" t="s">
        <v>3458</v>
      </c>
      <c r="AX62" s="9">
        <v>232</v>
      </c>
      <c r="AY62" s="15" t="s">
        <v>3545</v>
      </c>
      <c r="AZ62" s="9">
        <f>6812.66-4509</f>
        <v>2303.66</v>
      </c>
      <c r="BA62" s="15" t="s">
        <v>3573</v>
      </c>
      <c r="BB62" s="9">
        <v>15331</v>
      </c>
      <c r="BC62" s="15" t="s">
        <v>3598</v>
      </c>
      <c r="BD62" s="9"/>
      <c r="BE62" s="15"/>
      <c r="BF62" s="7">
        <v>1099.01</v>
      </c>
      <c r="BG62" s="26" t="s">
        <v>3665</v>
      </c>
      <c r="BH62" s="95">
        <f>+BH61+BH60+BH59</f>
        <v>20484.650000000001</v>
      </c>
      <c r="BI62" s="15"/>
      <c r="BJ62" s="9"/>
      <c r="BK62" s="15"/>
      <c r="BL62" s="9">
        <v>3169</v>
      </c>
      <c r="BM62" s="15" t="s">
        <v>3711</v>
      </c>
      <c r="BN62" s="9">
        <v>3169</v>
      </c>
      <c r="BO62" s="15" t="s">
        <v>3867</v>
      </c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</row>
    <row r="63" spans="1:92" x14ac:dyDescent="0.25">
      <c r="A63" s="41"/>
      <c r="B63" s="9"/>
      <c r="C63" s="15"/>
      <c r="D63" s="7"/>
      <c r="E63" s="26"/>
      <c r="F63" s="7">
        <v>16000</v>
      </c>
      <c r="G63" s="26" t="s">
        <v>2583</v>
      </c>
      <c r="H63" s="7">
        <v>1099.01</v>
      </c>
      <c r="I63" s="26" t="s">
        <v>2639</v>
      </c>
      <c r="J63" s="7">
        <v>310.01</v>
      </c>
      <c r="K63" s="26" t="s">
        <v>2698</v>
      </c>
      <c r="L63" s="9">
        <v>1099.01</v>
      </c>
      <c r="M63" s="26" t="s">
        <v>2735</v>
      </c>
      <c r="N63" s="7"/>
      <c r="O63" s="26"/>
      <c r="P63" s="9">
        <v>1949.97</v>
      </c>
      <c r="Q63" s="15" t="s">
        <v>2779</v>
      </c>
      <c r="R63" s="7">
        <v>2350.0100000000002</v>
      </c>
      <c r="S63" s="26" t="s">
        <v>2846</v>
      </c>
      <c r="T63" s="7">
        <v>3869.01</v>
      </c>
      <c r="U63" s="26" t="s">
        <v>2897</v>
      </c>
      <c r="V63" s="7">
        <v>1099.01</v>
      </c>
      <c r="W63" s="26" t="s">
        <v>2949</v>
      </c>
      <c r="X63" s="9">
        <v>1501.76</v>
      </c>
      <c r="Y63" s="26" t="s">
        <v>2999</v>
      </c>
      <c r="Z63" s="7">
        <v>2360.0100000000002</v>
      </c>
      <c r="AA63" s="26" t="s">
        <v>3070</v>
      </c>
      <c r="AB63" s="87">
        <v>635</v>
      </c>
      <c r="AC63" s="26" t="s">
        <v>3117</v>
      </c>
      <c r="AD63" s="7">
        <v>464</v>
      </c>
      <c r="AE63" s="26" t="s">
        <v>3164</v>
      </c>
      <c r="AF63" s="9"/>
      <c r="AG63" s="26"/>
      <c r="AH63" s="87">
        <v>20000</v>
      </c>
      <c r="AI63" s="26" t="s">
        <v>3200</v>
      </c>
      <c r="AJ63" s="7">
        <v>4060</v>
      </c>
      <c r="AK63" s="26" t="s">
        <v>3257</v>
      </c>
      <c r="AL63" s="7">
        <v>13695.5</v>
      </c>
      <c r="AM63" s="26" t="s">
        <v>3324</v>
      </c>
      <c r="AN63" s="7">
        <v>5000</v>
      </c>
      <c r="AO63" s="26" t="s">
        <v>3372</v>
      </c>
      <c r="AP63" s="7"/>
      <c r="AQ63" s="26"/>
      <c r="AR63" s="7"/>
      <c r="AS63" s="26"/>
      <c r="AT63" s="9">
        <v>1522.06</v>
      </c>
      <c r="AU63" s="15" t="s">
        <v>3443</v>
      </c>
      <c r="AV63" s="7">
        <v>3250</v>
      </c>
      <c r="AW63" s="26" t="s">
        <v>3472</v>
      </c>
      <c r="AX63" s="7">
        <v>453.8</v>
      </c>
      <c r="AY63" s="26" t="s">
        <v>3546</v>
      </c>
      <c r="AZ63" s="9">
        <v>1099.01</v>
      </c>
      <c r="BA63" s="15" t="s">
        <v>3574</v>
      </c>
      <c r="BB63" s="7">
        <v>12172.84</v>
      </c>
      <c r="BC63" s="26" t="s">
        <v>3599</v>
      </c>
      <c r="BD63" s="7"/>
      <c r="BE63" s="26"/>
      <c r="BF63" s="9">
        <v>1970</v>
      </c>
      <c r="BG63" s="15" t="s">
        <v>3666</v>
      </c>
      <c r="BH63" s="7"/>
      <c r="BI63" s="26"/>
      <c r="BJ63" s="112">
        <v>2000</v>
      </c>
      <c r="BK63" s="26" t="s">
        <v>3812</v>
      </c>
      <c r="BL63" s="7">
        <v>1099.01</v>
      </c>
      <c r="BM63" s="26" t="s">
        <v>3712</v>
      </c>
      <c r="BN63" s="9">
        <v>1099.01</v>
      </c>
      <c r="BO63" s="26" t="s">
        <v>3868</v>
      </c>
      <c r="BP63" s="7"/>
      <c r="BQ63" s="26"/>
      <c r="BR63" s="7"/>
      <c r="BS63" s="26"/>
      <c r="BT63" s="7"/>
      <c r="BU63" s="26"/>
      <c r="BV63" s="7"/>
      <c r="BW63" s="26"/>
      <c r="BX63" s="7"/>
      <c r="BY63" s="26"/>
      <c r="BZ63" s="7"/>
      <c r="CA63" s="26"/>
      <c r="CB63" s="7"/>
      <c r="CC63" s="26"/>
      <c r="CD63" s="7"/>
      <c r="CE63" s="26"/>
      <c r="CF63" s="7"/>
      <c r="CG63" s="26"/>
      <c r="CH63" s="7"/>
      <c r="CI63" s="26"/>
      <c r="CJ63" s="7"/>
      <c r="CK63" s="26"/>
      <c r="CL63" s="7"/>
      <c r="CM63" s="26"/>
      <c r="CN63" s="7"/>
    </row>
    <row r="64" spans="1:92" x14ac:dyDescent="0.25">
      <c r="A64" s="41"/>
      <c r="B64" s="9"/>
      <c r="C64" s="15"/>
      <c r="D64" s="9"/>
      <c r="E64" s="15"/>
      <c r="F64" s="9">
        <v>1970</v>
      </c>
      <c r="G64" s="15" t="s">
        <v>2591</v>
      </c>
      <c r="H64" s="9">
        <v>1099.01</v>
      </c>
      <c r="I64" s="15" t="s">
        <v>2648</v>
      </c>
      <c r="J64" s="9">
        <v>1995</v>
      </c>
      <c r="K64" s="15" t="s">
        <v>2705</v>
      </c>
      <c r="L64" s="9">
        <v>1970</v>
      </c>
      <c r="M64" s="15" t="s">
        <v>2737</v>
      </c>
      <c r="N64" s="9"/>
      <c r="O64" s="15"/>
      <c r="P64" s="9">
        <v>143.47</v>
      </c>
      <c r="Q64" s="15" t="s">
        <v>2780</v>
      </c>
      <c r="R64" s="9">
        <v>1099.01</v>
      </c>
      <c r="S64" s="15" t="s">
        <v>2848</v>
      </c>
      <c r="T64" s="9">
        <v>1099.01</v>
      </c>
      <c r="U64" s="15" t="s">
        <v>2905</v>
      </c>
      <c r="V64" s="9">
        <v>3250.01</v>
      </c>
      <c r="W64" s="15" t="s">
        <v>2950</v>
      </c>
      <c r="X64" s="9">
        <v>910.07</v>
      </c>
      <c r="Y64" s="15" t="s">
        <v>3002</v>
      </c>
      <c r="Z64" s="9">
        <v>1099.01</v>
      </c>
      <c r="AA64" s="15" t="s">
        <v>3084</v>
      </c>
      <c r="AB64" s="72">
        <v>1099.01</v>
      </c>
      <c r="AC64" s="15" t="s">
        <v>3118</v>
      </c>
      <c r="AD64" s="9">
        <v>1099.01</v>
      </c>
      <c r="AE64" s="15" t="s">
        <v>3170</v>
      </c>
      <c r="AF64" s="9"/>
      <c r="AG64" s="15"/>
      <c r="AH64" s="72">
        <v>3208</v>
      </c>
      <c r="AI64" s="15" t="s">
        <v>3204</v>
      </c>
      <c r="AJ64" s="9">
        <v>1099.01</v>
      </c>
      <c r="AK64" s="15" t="s">
        <v>3262</v>
      </c>
      <c r="AL64" s="9">
        <v>4146</v>
      </c>
      <c r="AM64" s="15" t="s">
        <v>3327</v>
      </c>
      <c r="AN64" s="9">
        <v>3588.99</v>
      </c>
      <c r="AO64" s="15" t="s">
        <v>3374</v>
      </c>
      <c r="AP64" s="9"/>
      <c r="AQ64" s="15"/>
      <c r="AR64" s="133"/>
      <c r="AS64" s="120"/>
      <c r="AT64" s="11">
        <v>868.5</v>
      </c>
      <c r="AU64" s="13" t="s">
        <v>3447</v>
      </c>
      <c r="AV64" s="9">
        <v>2360.0100000000002</v>
      </c>
      <c r="AW64" s="15" t="s">
        <v>3473</v>
      </c>
      <c r="AX64" s="9">
        <v>1970</v>
      </c>
      <c r="AY64" s="15" t="s">
        <v>3547</v>
      </c>
      <c r="AZ64" s="9">
        <v>2350.0100000000002</v>
      </c>
      <c r="BA64" s="15" t="s">
        <v>3583</v>
      </c>
      <c r="BB64" s="9">
        <v>2299.96</v>
      </c>
      <c r="BC64" s="15" t="s">
        <v>3602</v>
      </c>
      <c r="BD64" s="9"/>
      <c r="BE64" s="15"/>
      <c r="BF64" s="9">
        <v>1099.01</v>
      </c>
      <c r="BG64" s="15" t="s">
        <v>3668</v>
      </c>
      <c r="BH64" s="112">
        <v>1365.89</v>
      </c>
      <c r="BI64" s="15" t="s">
        <v>3771</v>
      </c>
      <c r="BJ64" s="112">
        <v>4740.0200000000004</v>
      </c>
      <c r="BK64" s="15" t="s">
        <v>3815</v>
      </c>
      <c r="BL64" s="95">
        <f>+SUM(BL59:BL63)</f>
        <v>8613.5300000000007</v>
      </c>
      <c r="BM64" s="15"/>
      <c r="BN64" s="9">
        <v>1969.99</v>
      </c>
      <c r="BO64" s="15" t="s">
        <v>3870</v>
      </c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</row>
    <row r="65" spans="1:92" x14ac:dyDescent="0.25">
      <c r="A65" s="41"/>
      <c r="B65" s="9"/>
      <c r="C65" s="15"/>
      <c r="D65" s="9"/>
      <c r="E65" s="15"/>
      <c r="F65" s="9">
        <v>1099</v>
      </c>
      <c r="G65" s="15" t="s">
        <v>2602</v>
      </c>
      <c r="H65" s="9">
        <v>1099.01</v>
      </c>
      <c r="I65" s="15" t="s">
        <v>2650</v>
      </c>
      <c r="J65" s="9">
        <v>1099.01</v>
      </c>
      <c r="K65" s="15" t="s">
        <v>2706</v>
      </c>
      <c r="L65" s="9">
        <v>2866</v>
      </c>
      <c r="M65" s="15" t="s">
        <v>2738</v>
      </c>
      <c r="N65" s="9"/>
      <c r="O65" s="15"/>
      <c r="P65" s="9">
        <v>1099.01</v>
      </c>
      <c r="Q65" s="15" t="s">
        <v>2788</v>
      </c>
      <c r="R65" s="9">
        <v>1970</v>
      </c>
      <c r="S65" s="15" t="s">
        <v>2851</v>
      </c>
      <c r="T65" s="9">
        <v>4245</v>
      </c>
      <c r="U65" s="15" t="s">
        <v>2909</v>
      </c>
      <c r="V65" s="9">
        <v>2866</v>
      </c>
      <c r="W65" s="15" t="s">
        <v>2956</v>
      </c>
      <c r="X65" s="9">
        <v>1099.01</v>
      </c>
      <c r="Y65" s="15" t="s">
        <v>3009</v>
      </c>
      <c r="Z65" s="7">
        <v>150</v>
      </c>
      <c r="AA65" s="26" t="s">
        <v>3086</v>
      </c>
      <c r="AB65" s="72">
        <v>1970</v>
      </c>
      <c r="AC65" s="15" t="s">
        <v>3119</v>
      </c>
      <c r="AD65" s="9">
        <v>3176</v>
      </c>
      <c r="AE65" s="15" t="s">
        <v>3171</v>
      </c>
      <c r="AF65" s="9"/>
      <c r="AG65" s="15"/>
      <c r="AH65" s="72">
        <v>20000</v>
      </c>
      <c r="AI65" s="15" t="s">
        <v>3205</v>
      </c>
      <c r="AJ65" s="9">
        <v>4395</v>
      </c>
      <c r="AK65" s="15" t="s">
        <v>3264</v>
      </c>
      <c r="AL65" s="9">
        <v>3250.01</v>
      </c>
      <c r="AM65" s="15" t="s">
        <v>3333</v>
      </c>
      <c r="AN65" s="9">
        <v>1099</v>
      </c>
      <c r="AO65" s="15" t="s">
        <v>3375</v>
      </c>
      <c r="AP65" s="9"/>
      <c r="AQ65" s="15"/>
      <c r="AR65" s="9"/>
      <c r="AS65" s="15"/>
      <c r="AT65" s="51">
        <f>SUM(AT58:AT64)</f>
        <v>28983.59</v>
      </c>
      <c r="AU65" s="26"/>
      <c r="AV65" s="9">
        <v>3250</v>
      </c>
      <c r="AW65" s="15" t="s">
        <v>3482</v>
      </c>
      <c r="AX65" s="9">
        <v>1970</v>
      </c>
      <c r="AY65" s="15" t="s">
        <v>3553</v>
      </c>
      <c r="AZ65" s="11">
        <v>4395</v>
      </c>
      <c r="BA65" s="13" t="s">
        <v>3585</v>
      </c>
      <c r="BB65" s="9">
        <v>20000</v>
      </c>
      <c r="BC65" s="15" t="s">
        <v>3603</v>
      </c>
      <c r="BD65" s="9"/>
      <c r="BE65" s="15"/>
      <c r="BF65" s="9">
        <f>2845.83-1500</f>
        <v>1345.83</v>
      </c>
      <c r="BG65" s="15" t="s">
        <v>3660</v>
      </c>
      <c r="BH65" s="112">
        <v>254.92</v>
      </c>
      <c r="BI65" s="15" t="s">
        <v>3772</v>
      </c>
      <c r="BJ65" s="112">
        <v>1099.01</v>
      </c>
      <c r="BK65" s="15" t="s">
        <v>3818</v>
      </c>
      <c r="BL65" s="95"/>
      <c r="BM65" s="15"/>
      <c r="BN65" s="9">
        <v>1099.01</v>
      </c>
      <c r="BO65" s="15" t="s">
        <v>3871</v>
      </c>
      <c r="BP65" s="9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</row>
    <row r="66" spans="1:92" x14ac:dyDescent="0.25">
      <c r="A66" s="41"/>
      <c r="B66" s="11"/>
      <c r="C66" s="13"/>
      <c r="D66" s="9"/>
      <c r="E66" s="15"/>
      <c r="F66" s="9">
        <v>2866</v>
      </c>
      <c r="G66" s="15" t="s">
        <v>2603</v>
      </c>
      <c r="H66" s="9">
        <v>1995</v>
      </c>
      <c r="I66" s="15" t="s">
        <v>2651</v>
      </c>
      <c r="J66" s="9">
        <v>1099.01</v>
      </c>
      <c r="K66" s="15" t="s">
        <v>2711</v>
      </c>
      <c r="L66" s="11">
        <v>1970</v>
      </c>
      <c r="M66" s="13" t="s">
        <v>2741</v>
      </c>
      <c r="N66" s="11"/>
      <c r="O66" s="13"/>
      <c r="P66" s="11">
        <f>2397.24-1597.24</f>
        <v>799.99999999999977</v>
      </c>
      <c r="Q66" s="13" t="s">
        <v>2789</v>
      </c>
      <c r="R66" s="137">
        <v>1099.01</v>
      </c>
      <c r="S66" s="15" t="s">
        <v>2852</v>
      </c>
      <c r="T66" s="9">
        <v>1099</v>
      </c>
      <c r="U66" s="15" t="s">
        <v>2917</v>
      </c>
      <c r="V66" s="9">
        <v>1099.01</v>
      </c>
      <c r="W66" s="15" t="s">
        <v>2958</v>
      </c>
      <c r="X66" s="9">
        <v>1099.01</v>
      </c>
      <c r="Y66" s="15" t="s">
        <v>3011</v>
      </c>
      <c r="Z66" s="95">
        <f>+SUM(Z59:Z65)</f>
        <v>10276.1</v>
      </c>
      <c r="AA66" s="26"/>
      <c r="AB66" s="72">
        <v>2040.01</v>
      </c>
      <c r="AC66" s="15" t="s">
        <v>3120</v>
      </c>
      <c r="AD66" s="9">
        <v>200</v>
      </c>
      <c r="AE66" s="15" t="s">
        <v>3174</v>
      </c>
      <c r="AF66" s="9"/>
      <c r="AG66" s="15"/>
      <c r="AH66" s="72">
        <v>1969.99</v>
      </c>
      <c r="AI66" s="15" t="s">
        <v>3216</v>
      </c>
      <c r="AJ66" s="9">
        <v>1970</v>
      </c>
      <c r="AK66" s="15" t="s">
        <v>3265</v>
      </c>
      <c r="AL66" s="9">
        <v>1869</v>
      </c>
      <c r="AM66" s="15" t="s">
        <v>3336</v>
      </c>
      <c r="AN66" s="9">
        <v>1449</v>
      </c>
      <c r="AO66" s="15" t="s">
        <v>3377</v>
      </c>
      <c r="AP66" s="9"/>
      <c r="AQ66" s="15"/>
      <c r="AR66" s="9"/>
      <c r="AS66" s="15"/>
      <c r="AT66" s="95"/>
      <c r="AU66" s="26"/>
      <c r="AV66" s="11">
        <v>285</v>
      </c>
      <c r="AW66" s="13" t="s">
        <v>3483</v>
      </c>
      <c r="AX66" s="9">
        <v>2195.0100000000002</v>
      </c>
      <c r="AY66" s="15" t="s">
        <v>3556</v>
      </c>
      <c r="AZ66" s="9">
        <v>4395.01</v>
      </c>
      <c r="BA66" s="15" t="s">
        <v>3587</v>
      </c>
      <c r="BB66" s="9">
        <v>2223.42</v>
      </c>
      <c r="BC66" s="15" t="s">
        <v>3608</v>
      </c>
      <c r="BD66" s="11"/>
      <c r="BE66" s="13"/>
      <c r="BF66" s="51">
        <f>SUM(BF59:BF65)</f>
        <v>29448.359999999993</v>
      </c>
      <c r="BG66" s="13"/>
      <c r="BH66" s="112">
        <v>20000</v>
      </c>
      <c r="BI66" s="15" t="s">
        <v>3778</v>
      </c>
      <c r="BJ66" s="112">
        <v>1099</v>
      </c>
      <c r="BK66" s="15" t="s">
        <v>3821</v>
      </c>
      <c r="BL66" s="9">
        <v>20000</v>
      </c>
      <c r="BM66" s="15" t="s">
        <v>3938</v>
      </c>
      <c r="BN66" s="9">
        <v>1970</v>
      </c>
      <c r="BO66" s="15" t="s">
        <v>3872</v>
      </c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</row>
    <row r="67" spans="1:92" x14ac:dyDescent="0.25">
      <c r="A67" s="43"/>
      <c r="B67" s="9"/>
      <c r="C67" s="26"/>
      <c r="D67" s="11"/>
      <c r="E67" s="13"/>
      <c r="F67" s="11">
        <v>1970</v>
      </c>
      <c r="G67" s="13" t="s">
        <v>2608</v>
      </c>
      <c r="H67" s="11">
        <v>1099.01</v>
      </c>
      <c r="I67" s="13" t="s">
        <v>2652</v>
      </c>
      <c r="J67" s="95">
        <f>+SUM(J60:J66)</f>
        <v>9581.0300000000007</v>
      </c>
      <c r="K67" s="13"/>
      <c r="L67" s="9">
        <v>1970</v>
      </c>
      <c r="M67" s="26" t="s">
        <v>2744</v>
      </c>
      <c r="N67" s="7"/>
      <c r="O67" s="26"/>
      <c r="P67" s="9">
        <v>1099.01</v>
      </c>
      <c r="Q67" s="15" t="s">
        <v>2792</v>
      </c>
      <c r="R67" s="11">
        <v>5767.94</v>
      </c>
      <c r="S67" s="13" t="s">
        <v>2853</v>
      </c>
      <c r="T67" s="11">
        <v>1995</v>
      </c>
      <c r="U67" s="13" t="s">
        <v>2918</v>
      </c>
      <c r="V67" s="11">
        <v>1099.01</v>
      </c>
      <c r="W67" s="13" t="s">
        <v>2962</v>
      </c>
      <c r="X67" s="11">
        <v>1519.01</v>
      </c>
      <c r="Y67" s="13" t="s">
        <v>3013</v>
      </c>
      <c r="Z67" s="11"/>
      <c r="AA67" s="13"/>
      <c r="AB67" s="72">
        <v>1970</v>
      </c>
      <c r="AC67" s="13" t="s">
        <v>3122</v>
      </c>
      <c r="AD67" s="72">
        <v>1995.01</v>
      </c>
      <c r="AE67" s="13" t="s">
        <v>3175</v>
      </c>
      <c r="AF67" s="11"/>
      <c r="AG67" s="13"/>
      <c r="AH67" s="72">
        <v>1099.01</v>
      </c>
      <c r="AI67" s="13" t="s">
        <v>3217</v>
      </c>
      <c r="AJ67" s="11">
        <v>4169.01</v>
      </c>
      <c r="AK67" s="13" t="s">
        <v>3266</v>
      </c>
      <c r="AL67" s="11">
        <v>1099.01</v>
      </c>
      <c r="AM67" s="13" t="s">
        <v>3345</v>
      </c>
      <c r="AN67" s="11">
        <v>1943</v>
      </c>
      <c r="AO67" s="13" t="s">
        <v>3378</v>
      </c>
      <c r="AP67" s="9"/>
      <c r="AQ67" s="15"/>
      <c r="AR67" s="11"/>
      <c r="AS67" s="13"/>
      <c r="AT67" s="9">
        <v>1737.08</v>
      </c>
      <c r="AU67" s="15" t="s">
        <v>3491</v>
      </c>
      <c r="AV67" s="72">
        <v>75.41</v>
      </c>
      <c r="AW67" s="26" t="s">
        <v>3486</v>
      </c>
      <c r="AX67" s="11">
        <v>1099.01</v>
      </c>
      <c r="AY67" s="13" t="s">
        <v>3559</v>
      </c>
      <c r="AZ67" s="9">
        <v>2457.9899999999998</v>
      </c>
      <c r="BA67" s="15" t="s">
        <v>3588</v>
      </c>
      <c r="BB67" s="11">
        <v>1970</v>
      </c>
      <c r="BC67" s="13" t="s">
        <v>3609</v>
      </c>
      <c r="BD67" s="7"/>
      <c r="BE67" s="26"/>
      <c r="BF67" s="9"/>
      <c r="BG67" s="26"/>
      <c r="BH67" s="113">
        <v>1099.01</v>
      </c>
      <c r="BI67" s="13" t="s">
        <v>3779</v>
      </c>
      <c r="BJ67" s="112">
        <v>1970</v>
      </c>
      <c r="BK67" s="26" t="s">
        <v>3836</v>
      </c>
      <c r="BL67" s="113">
        <v>5000</v>
      </c>
      <c r="BM67" s="13" t="s">
        <v>3939</v>
      </c>
      <c r="BN67" s="11">
        <v>3250.01</v>
      </c>
      <c r="BO67" s="13" t="s">
        <v>3880</v>
      </c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</row>
    <row r="68" spans="1:92" x14ac:dyDescent="0.25">
      <c r="A68" s="41"/>
      <c r="B68" s="9"/>
      <c r="C68" s="15"/>
      <c r="D68" s="7"/>
      <c r="E68" s="26"/>
      <c r="F68" s="147">
        <f>+SUM(F59:F67)</f>
        <v>94440.15</v>
      </c>
      <c r="G68" s="26"/>
      <c r="H68" s="7">
        <v>1099.01</v>
      </c>
      <c r="I68" s="26" t="s">
        <v>2653</v>
      </c>
      <c r="J68" s="7"/>
      <c r="K68" s="26"/>
      <c r="L68" s="9">
        <v>4395.01</v>
      </c>
      <c r="M68" s="15" t="s">
        <v>2745</v>
      </c>
      <c r="N68" s="9"/>
      <c r="O68" s="15"/>
      <c r="P68" s="72">
        <v>3250.01</v>
      </c>
      <c r="Q68" s="15" t="s">
        <v>2797</v>
      </c>
      <c r="R68" s="7">
        <v>2015.01</v>
      </c>
      <c r="S68" s="26" t="s">
        <v>2860</v>
      </c>
      <c r="T68" s="7">
        <v>1970</v>
      </c>
      <c r="U68" s="26" t="s">
        <v>2922</v>
      </c>
      <c r="V68" s="7">
        <v>1435.95</v>
      </c>
      <c r="W68" s="26" t="s">
        <v>2967</v>
      </c>
      <c r="X68" s="9">
        <v>6315.01</v>
      </c>
      <c r="Y68" s="26" t="s">
        <v>3018</v>
      </c>
      <c r="Z68" s="7"/>
      <c r="AA68" s="26"/>
      <c r="AB68" s="87">
        <v>1099.01</v>
      </c>
      <c r="AC68" s="26" t="s">
        <v>3123</v>
      </c>
      <c r="AD68" s="7">
        <v>1970</v>
      </c>
      <c r="AE68" s="26" t="s">
        <v>3176</v>
      </c>
      <c r="AF68" s="9"/>
      <c r="AG68" s="26"/>
      <c r="AH68" s="87">
        <v>1970</v>
      </c>
      <c r="AI68" s="26" t="s">
        <v>3224</v>
      </c>
      <c r="AJ68" s="7">
        <v>4395.01</v>
      </c>
      <c r="AK68" s="26" t="s">
        <v>3267</v>
      </c>
      <c r="AL68" s="9">
        <v>1970</v>
      </c>
      <c r="AM68" s="15" t="s">
        <v>3347</v>
      </c>
      <c r="AN68" s="7">
        <v>2375.6999999999998</v>
      </c>
      <c r="AO68" s="26" t="s">
        <v>3380</v>
      </c>
      <c r="AP68" s="26"/>
      <c r="AQ68" s="26"/>
      <c r="AR68" s="9"/>
      <c r="AS68" s="15"/>
      <c r="AT68" s="9">
        <v>1869</v>
      </c>
      <c r="AU68" s="15" t="s">
        <v>3498</v>
      </c>
      <c r="AV68" s="51">
        <f>SUM(AV58:AV67)</f>
        <v>36007.710000000006</v>
      </c>
      <c r="AW68" s="15"/>
      <c r="AX68" s="51">
        <f>SUM(AX59:AX67)</f>
        <v>43372.840000000011</v>
      </c>
      <c r="AY68" s="26"/>
      <c r="AZ68" s="51">
        <f>SUM(AZ58:AZ67)</f>
        <v>43259.06</v>
      </c>
      <c r="BA68" s="15"/>
      <c r="BB68" s="7">
        <v>1099.01</v>
      </c>
      <c r="BC68" s="26" t="s">
        <v>3610</v>
      </c>
      <c r="BD68" s="9"/>
      <c r="BE68" s="15"/>
      <c r="BF68" s="9">
        <v>11224.82</v>
      </c>
      <c r="BG68" s="15" t="s">
        <v>3713</v>
      </c>
      <c r="BH68" s="112">
        <v>1970</v>
      </c>
      <c r="BI68" s="26" t="s">
        <v>3786</v>
      </c>
      <c r="BJ68" s="112">
        <v>1099.01</v>
      </c>
      <c r="BK68" s="15" t="s">
        <v>3837</v>
      </c>
      <c r="BL68" s="7">
        <v>5000</v>
      </c>
      <c r="BM68" s="26" t="s">
        <v>3940</v>
      </c>
      <c r="BN68" s="9">
        <v>1479.01</v>
      </c>
      <c r="BO68" s="26" t="s">
        <v>3881</v>
      </c>
      <c r="BP68" s="7"/>
      <c r="BQ68" s="26"/>
      <c r="BR68" s="7"/>
      <c r="BS68" s="26"/>
      <c r="BT68" s="7"/>
      <c r="BU68" s="26"/>
      <c r="BV68" s="7"/>
      <c r="BW68" s="26"/>
      <c r="BX68" s="7"/>
      <c r="BY68" s="26"/>
      <c r="BZ68" s="7"/>
      <c r="CA68" s="26"/>
      <c r="CB68" s="7"/>
      <c r="CC68" s="26"/>
      <c r="CD68" s="7"/>
      <c r="CE68" s="26"/>
      <c r="CF68" s="7"/>
      <c r="CG68" s="26"/>
      <c r="CH68" s="7"/>
      <c r="CI68" s="26"/>
      <c r="CJ68" s="7"/>
      <c r="CK68" s="26"/>
      <c r="CL68" s="7"/>
      <c r="CM68" s="26"/>
      <c r="CN68" s="7"/>
    </row>
    <row r="69" spans="1:92" x14ac:dyDescent="0.25">
      <c r="A69" s="41"/>
      <c r="B69" s="9"/>
      <c r="C69" s="15"/>
      <c r="D69" s="24"/>
      <c r="E69" s="15"/>
      <c r="F69" s="9"/>
      <c r="G69" s="15"/>
      <c r="H69" s="9">
        <v>5474.86</v>
      </c>
      <c r="I69" s="15" t="s">
        <v>2657</v>
      </c>
      <c r="J69" s="9"/>
      <c r="K69" s="15"/>
      <c r="L69" s="9">
        <v>499.99</v>
      </c>
      <c r="M69" s="15" t="s">
        <v>2752</v>
      </c>
      <c r="N69" s="9"/>
      <c r="O69" s="15"/>
      <c r="P69" s="72">
        <v>1099.01</v>
      </c>
      <c r="Q69" s="15" t="s">
        <v>2798</v>
      </c>
      <c r="R69" s="9">
        <v>277.91000000000003</v>
      </c>
      <c r="S69" s="15" t="s">
        <v>2871</v>
      </c>
      <c r="T69" s="95">
        <f>+SUM(T59:T68)</f>
        <v>60649.51</v>
      </c>
      <c r="U69" s="15"/>
      <c r="V69" s="9">
        <v>1099.01</v>
      </c>
      <c r="W69" s="15" t="s">
        <v>2968</v>
      </c>
      <c r="X69" s="9">
        <v>679</v>
      </c>
      <c r="Y69" s="15" t="s">
        <v>3021</v>
      </c>
      <c r="Z69" s="15"/>
      <c r="AA69" s="15"/>
      <c r="AB69" s="72">
        <v>1099.01</v>
      </c>
      <c r="AC69" s="15" t="s">
        <v>3125</v>
      </c>
      <c r="AD69" s="9">
        <v>3411.33</v>
      </c>
      <c r="AE69" s="15" t="s">
        <v>3180</v>
      </c>
      <c r="AF69" s="9"/>
      <c r="AG69" s="15"/>
      <c r="AH69" s="72">
        <v>1995</v>
      </c>
      <c r="AI69" s="15" t="s">
        <v>3226</v>
      </c>
      <c r="AJ69" s="9">
        <v>464</v>
      </c>
      <c r="AK69" s="15" t="s">
        <v>3268</v>
      </c>
      <c r="AL69" s="9">
        <v>1099.01</v>
      </c>
      <c r="AM69" s="15" t="s">
        <v>3350</v>
      </c>
      <c r="AN69" s="9">
        <v>3250.01</v>
      </c>
      <c r="AO69" s="15" t="s">
        <v>3382</v>
      </c>
      <c r="AP69" s="15"/>
      <c r="AQ69" s="15"/>
      <c r="AR69" s="9"/>
      <c r="AS69" s="15"/>
      <c r="AT69" s="95">
        <f>+AT68+AT67</f>
        <v>3606.08</v>
      </c>
      <c r="AU69" s="15"/>
      <c r="AV69" s="95"/>
      <c r="AW69" s="15"/>
      <c r="AX69" s="9"/>
      <c r="AY69" s="15"/>
      <c r="AZ69" s="95"/>
      <c r="BA69" s="15"/>
      <c r="BB69" s="9">
        <v>2070.0100000000002</v>
      </c>
      <c r="BC69" s="15" t="s">
        <v>3612</v>
      </c>
      <c r="BD69" s="9"/>
      <c r="BE69" s="15"/>
      <c r="BF69" s="9">
        <v>4453.76</v>
      </c>
      <c r="BG69" s="15" t="s">
        <v>3717</v>
      </c>
      <c r="BH69" s="112">
        <v>1099</v>
      </c>
      <c r="BI69" s="15" t="s">
        <v>3788</v>
      </c>
      <c r="BJ69" s="112">
        <v>1099.01</v>
      </c>
      <c r="BK69" s="15" t="s">
        <v>3839</v>
      </c>
      <c r="BL69" s="9">
        <v>10700</v>
      </c>
      <c r="BM69" s="15" t="s">
        <v>3946</v>
      </c>
      <c r="BN69" s="9">
        <v>1970</v>
      </c>
      <c r="BO69" s="15" t="s">
        <v>3883</v>
      </c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</row>
    <row r="70" spans="1:92" x14ac:dyDescent="0.25">
      <c r="A70" s="41"/>
      <c r="B70" s="72"/>
      <c r="C70" s="15"/>
      <c r="D70" s="9"/>
      <c r="E70" s="15"/>
      <c r="F70" s="9"/>
      <c r="G70" s="15"/>
      <c r="H70" s="9">
        <v>4395</v>
      </c>
      <c r="I70" s="15" t="s">
        <v>2660</v>
      </c>
      <c r="J70" s="9"/>
      <c r="K70" s="15"/>
      <c r="L70" s="9">
        <v>1869</v>
      </c>
      <c r="M70" s="15" t="s">
        <v>2754</v>
      </c>
      <c r="N70" s="9"/>
      <c r="O70" s="15"/>
      <c r="P70" s="9">
        <v>2280</v>
      </c>
      <c r="Q70" s="15" t="s">
        <v>2802</v>
      </c>
      <c r="R70" s="7">
        <v>1970</v>
      </c>
      <c r="S70" s="26" t="s">
        <v>2855</v>
      </c>
      <c r="T70" s="15"/>
      <c r="U70" s="15"/>
      <c r="V70" s="9">
        <v>277.91000000000003</v>
      </c>
      <c r="W70" s="15" t="s">
        <v>2976</v>
      </c>
      <c r="X70" s="9">
        <v>1349</v>
      </c>
      <c r="Y70" s="15" t="s">
        <v>3023</v>
      </c>
      <c r="Z70" s="9"/>
      <c r="AA70" s="15"/>
      <c r="AB70" s="72">
        <v>1099.01</v>
      </c>
      <c r="AC70" s="85" t="s">
        <v>3128</v>
      </c>
      <c r="AD70" s="9">
        <v>1082.19</v>
      </c>
      <c r="AE70" s="15" t="s">
        <v>3187</v>
      </c>
      <c r="AF70" s="72"/>
      <c r="AG70" s="24"/>
      <c r="AH70" s="9">
        <v>3349.01</v>
      </c>
      <c r="AI70" s="15" t="s">
        <v>3228</v>
      </c>
      <c r="AJ70" s="9">
        <v>3030.01</v>
      </c>
      <c r="AK70" s="15" t="s">
        <v>3269</v>
      </c>
      <c r="AL70" s="9">
        <v>2634</v>
      </c>
      <c r="AM70" s="15" t="s">
        <v>3351</v>
      </c>
      <c r="AN70" s="9">
        <v>232</v>
      </c>
      <c r="AO70" s="15" t="s">
        <v>3383</v>
      </c>
      <c r="AP70" s="9"/>
      <c r="AQ70" s="15"/>
      <c r="AR70" s="9"/>
      <c r="AS70" s="15"/>
      <c r="AT70" s="72"/>
      <c r="AU70" s="15"/>
      <c r="AV70" s="133">
        <v>2175.88</v>
      </c>
      <c r="AW70" s="15" t="s">
        <v>3504</v>
      </c>
      <c r="AX70" s="9">
        <v>79.44</v>
      </c>
      <c r="AY70" s="15" t="s">
        <v>3639</v>
      </c>
      <c r="AZ70" s="9"/>
      <c r="BA70" s="15"/>
      <c r="BB70" s="9">
        <v>1099.01</v>
      </c>
      <c r="BC70" s="15" t="s">
        <v>3613</v>
      </c>
      <c r="BD70" s="9"/>
      <c r="BE70" s="15"/>
      <c r="BF70" s="72">
        <v>20000</v>
      </c>
      <c r="BG70" s="15" t="s">
        <v>3718</v>
      </c>
      <c r="BH70" s="112">
        <v>1099.01</v>
      </c>
      <c r="BI70" s="15" t="s">
        <v>3794</v>
      </c>
      <c r="BJ70" s="112">
        <v>2300</v>
      </c>
      <c r="BK70" s="15" t="s">
        <v>3840</v>
      </c>
      <c r="BL70" s="9">
        <v>3769.94</v>
      </c>
      <c r="BM70" s="15" t="s">
        <v>3962</v>
      </c>
      <c r="BN70" s="9">
        <v>1099.01</v>
      </c>
      <c r="BO70" s="15" t="s">
        <v>3895</v>
      </c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</row>
    <row r="71" spans="1:92" x14ac:dyDescent="0.25">
      <c r="A71" s="41"/>
      <c r="B71" s="24"/>
      <c r="C71" s="15"/>
      <c r="D71" s="9"/>
      <c r="E71" s="15"/>
      <c r="F71" s="9"/>
      <c r="G71" s="15"/>
      <c r="H71" s="9">
        <f>1450-1048.49</f>
        <v>401.51</v>
      </c>
      <c r="I71" s="15" t="s">
        <v>2655</v>
      </c>
      <c r="J71" s="9"/>
      <c r="K71" s="15"/>
      <c r="L71" s="72">
        <v>1185.73</v>
      </c>
      <c r="M71" s="15" t="s">
        <v>2763</v>
      </c>
      <c r="N71" s="24"/>
      <c r="O71" s="15"/>
      <c r="P71" s="9">
        <v>1479.01</v>
      </c>
      <c r="Q71" s="15" t="s">
        <v>2809</v>
      </c>
      <c r="R71" s="95">
        <f>+SUM(R58:R70)</f>
        <v>51261.940000000017</v>
      </c>
      <c r="S71" s="15"/>
      <c r="T71" s="9"/>
      <c r="U71" s="15"/>
      <c r="V71" s="95">
        <f>+SUM(V59:V70)</f>
        <v>34532.28</v>
      </c>
      <c r="W71" s="15"/>
      <c r="X71" s="9">
        <f>3881.16-2009.51</f>
        <v>1871.6499999999999</v>
      </c>
      <c r="Y71" s="9" t="s">
        <v>3024</v>
      </c>
      <c r="Z71" s="9"/>
      <c r="AA71" s="15"/>
      <c r="AB71" s="72">
        <v>504.99</v>
      </c>
      <c r="AC71" s="15" t="s">
        <v>3133</v>
      </c>
      <c r="AD71" s="95">
        <f>+SUM(AD59:AD70)</f>
        <v>22593.600000000002</v>
      </c>
      <c r="AE71" s="15"/>
      <c r="AF71" s="9"/>
      <c r="AG71" s="15"/>
      <c r="AH71" s="72">
        <v>2500</v>
      </c>
      <c r="AI71" s="15" t="s">
        <v>3215</v>
      </c>
      <c r="AJ71" s="9">
        <v>4395</v>
      </c>
      <c r="AK71" s="15" t="s">
        <v>3276</v>
      </c>
      <c r="AL71" s="9">
        <v>232</v>
      </c>
      <c r="AM71" s="15" t="s">
        <v>3354</v>
      </c>
      <c r="AN71" s="9">
        <v>896</v>
      </c>
      <c r="AO71" s="15" t="s">
        <v>3379</v>
      </c>
      <c r="AP71" s="9"/>
      <c r="AQ71" s="15"/>
      <c r="AR71" s="9"/>
      <c r="AS71" s="15"/>
      <c r="AT71" s="9"/>
      <c r="AU71" s="15"/>
      <c r="AV71" s="9"/>
      <c r="AW71" s="15"/>
      <c r="AX71" s="9"/>
      <c r="AY71" s="15"/>
      <c r="AZ71" s="9">
        <f>3677.42-2139.7</f>
        <v>1537.7200000000003</v>
      </c>
      <c r="BA71" s="15" t="s">
        <v>3647</v>
      </c>
      <c r="BB71" s="137">
        <v>1099.01</v>
      </c>
      <c r="BC71" s="15" t="s">
        <v>3614</v>
      </c>
      <c r="BD71" s="9"/>
      <c r="BE71" s="15"/>
      <c r="BF71" s="72">
        <v>1000</v>
      </c>
      <c r="BG71" s="15" t="s">
        <v>3726</v>
      </c>
      <c r="BH71" s="112">
        <v>4970.1000000000004</v>
      </c>
      <c r="BI71" s="15" t="s">
        <v>3796</v>
      </c>
      <c r="BJ71" s="112">
        <v>2784</v>
      </c>
      <c r="BK71" s="15" t="s">
        <v>3842</v>
      </c>
      <c r="BL71" s="9">
        <v>175</v>
      </c>
      <c r="BM71" s="15" t="s">
        <v>3978</v>
      </c>
      <c r="BN71" s="9">
        <v>1099.01</v>
      </c>
      <c r="BO71" s="15" t="s">
        <v>3898</v>
      </c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</row>
    <row r="72" spans="1:92" x14ac:dyDescent="0.25">
      <c r="A72" s="41"/>
      <c r="B72" s="15"/>
      <c r="C72" s="15"/>
      <c r="D72" s="15"/>
      <c r="E72" s="15"/>
      <c r="F72" s="9"/>
      <c r="G72" s="15"/>
      <c r="H72" s="72">
        <v>1099.01</v>
      </c>
      <c r="I72" s="24" t="s">
        <v>2637</v>
      </c>
      <c r="J72" s="9"/>
      <c r="K72" s="15"/>
      <c r="L72" s="9">
        <f>4451.91-2500</f>
        <v>1951.9099999999999</v>
      </c>
      <c r="M72" s="15" t="s">
        <v>2762</v>
      </c>
      <c r="N72" s="24"/>
      <c r="O72" s="15"/>
      <c r="P72" s="9">
        <v>2350.0100000000002</v>
      </c>
      <c r="Q72" s="15" t="s">
        <v>2811</v>
      </c>
      <c r="R72" s="95"/>
      <c r="S72" s="15"/>
      <c r="T72" s="15"/>
      <c r="U72" s="15"/>
      <c r="V72" s="15"/>
      <c r="W72" s="15"/>
      <c r="X72" s="9">
        <v>3550.01</v>
      </c>
      <c r="Y72" s="15" t="s">
        <v>3032</v>
      </c>
      <c r="Z72" s="15"/>
      <c r="AA72" s="15"/>
      <c r="AB72" s="95">
        <f>+SUM(AB59:AB71)</f>
        <v>31421.659999999993</v>
      </c>
      <c r="AC72" s="15"/>
      <c r="AD72" s="9"/>
      <c r="AE72" s="15"/>
      <c r="AF72" s="15"/>
      <c r="AG72" s="15"/>
      <c r="AH72" s="125">
        <f>SUM(AH59:AH71)</f>
        <v>103995.06</v>
      </c>
      <c r="AI72" s="15"/>
      <c r="AJ72" s="9">
        <v>1099.01</v>
      </c>
      <c r="AK72" s="15" t="s">
        <v>3278</v>
      </c>
      <c r="AL72" s="9">
        <v>3250.01</v>
      </c>
      <c r="AM72" s="15" t="s">
        <v>3355</v>
      </c>
      <c r="AN72" s="9">
        <v>2866</v>
      </c>
      <c r="AO72" s="15" t="s">
        <v>3384</v>
      </c>
      <c r="AP72" s="9"/>
      <c r="AQ72" s="15"/>
      <c r="AR72" s="9"/>
      <c r="AS72" s="15"/>
      <c r="AT72" s="9"/>
      <c r="AU72" s="15"/>
      <c r="AV72" s="15"/>
      <c r="AW72" s="15"/>
      <c r="AX72" s="9"/>
      <c r="AY72" s="15"/>
      <c r="AZ72" s="9">
        <v>1970</v>
      </c>
      <c r="BA72" s="15" t="s">
        <v>3649</v>
      </c>
      <c r="BB72" s="133">
        <v>1099.01</v>
      </c>
      <c r="BC72" s="15" t="s">
        <v>3616</v>
      </c>
      <c r="BD72" s="9"/>
      <c r="BE72" s="15"/>
      <c r="BF72" s="9">
        <v>20000</v>
      </c>
      <c r="BG72" s="15" t="s">
        <v>3739</v>
      </c>
      <c r="BH72" s="95">
        <f>+SUM(BH63:BH71)</f>
        <v>31857.93</v>
      </c>
      <c r="BI72" s="15"/>
      <c r="BJ72" s="112">
        <v>1099</v>
      </c>
      <c r="BK72" s="15" t="s">
        <v>3843</v>
      </c>
      <c r="BL72" s="112">
        <v>4105</v>
      </c>
      <c r="BM72" s="15" t="s">
        <v>3963</v>
      </c>
      <c r="BN72" s="9">
        <f>1991</f>
        <v>1991</v>
      </c>
      <c r="BO72" s="15" t="s">
        <v>3899</v>
      </c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</row>
    <row r="73" spans="1:92" x14ac:dyDescent="0.25">
      <c r="A73" s="41"/>
      <c r="B73" s="9"/>
      <c r="C73" s="15"/>
      <c r="D73" s="9"/>
      <c r="E73" s="15"/>
      <c r="F73" s="9"/>
      <c r="G73" s="15"/>
      <c r="H73" s="95">
        <f>+SUM(H59:H72)</f>
        <v>48257.48</v>
      </c>
      <c r="I73" s="15"/>
      <c r="J73" s="9"/>
      <c r="K73" s="15"/>
      <c r="L73" s="9">
        <v>1000</v>
      </c>
      <c r="M73" s="15" t="s">
        <v>2764</v>
      </c>
      <c r="N73" s="72"/>
      <c r="O73" s="15"/>
      <c r="P73" s="9">
        <v>3250</v>
      </c>
      <c r="Q73" s="15" t="s">
        <v>2812</v>
      </c>
      <c r="R73" s="9"/>
      <c r="S73" s="15"/>
      <c r="T73" s="9"/>
      <c r="U73" s="15"/>
      <c r="V73" s="9"/>
      <c r="W73" s="15"/>
      <c r="X73" s="9">
        <v>1995</v>
      </c>
      <c r="Y73" s="15" t="s">
        <v>3034</v>
      </c>
      <c r="Z73" s="9"/>
      <c r="AA73" s="15"/>
      <c r="AB73" s="9"/>
      <c r="AC73" s="15"/>
      <c r="AD73" s="9"/>
      <c r="AE73" s="15"/>
      <c r="AF73" s="9"/>
      <c r="AG73" s="15"/>
      <c r="AH73" s="72"/>
      <c r="AI73" s="15"/>
      <c r="AJ73" s="9">
        <v>1099.01</v>
      </c>
      <c r="AK73" s="15" t="s">
        <v>3282</v>
      </c>
      <c r="AL73" s="9">
        <v>1099.01</v>
      </c>
      <c r="AM73" s="15" t="s">
        <v>3357</v>
      </c>
      <c r="AN73" s="9">
        <v>3169</v>
      </c>
      <c r="AO73" s="15" t="s">
        <v>3386</v>
      </c>
      <c r="AP73" s="15"/>
      <c r="AQ73" s="15"/>
      <c r="AR73" s="9"/>
      <c r="AS73" s="15"/>
      <c r="AT73" s="9"/>
      <c r="AU73" s="15"/>
      <c r="AV73" s="9"/>
      <c r="AW73" s="15"/>
      <c r="AX73" s="24"/>
      <c r="AY73" s="15"/>
      <c r="AZ73" s="9">
        <v>1970</v>
      </c>
      <c r="BA73" s="15" t="s">
        <v>3651</v>
      </c>
      <c r="BB73" s="9">
        <v>3250</v>
      </c>
      <c r="BC73" s="15" t="s">
        <v>3618</v>
      </c>
      <c r="BD73" s="9"/>
      <c r="BE73" s="15"/>
      <c r="BF73" s="9">
        <v>8727.02</v>
      </c>
      <c r="BG73" s="15" t="s">
        <v>3743</v>
      </c>
      <c r="BH73" s="95"/>
      <c r="BI73" s="15"/>
      <c r="BJ73" s="112">
        <v>1626.6</v>
      </c>
      <c r="BK73" s="26" t="s">
        <v>3844</v>
      </c>
      <c r="BL73" s="112">
        <v>1099</v>
      </c>
      <c r="BM73" s="15" t="s">
        <v>3965</v>
      </c>
      <c r="BN73" s="9">
        <v>99.99</v>
      </c>
      <c r="BO73" s="15" t="s">
        <v>3901</v>
      </c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</row>
    <row r="74" spans="1:92" x14ac:dyDescent="0.25">
      <c r="A74" s="41"/>
      <c r="B74" s="9"/>
      <c r="C74" s="15"/>
      <c r="D74" s="9"/>
      <c r="E74" s="15"/>
      <c r="F74" s="9"/>
      <c r="G74" s="15"/>
      <c r="H74" s="9"/>
      <c r="I74" s="15"/>
      <c r="J74" s="9"/>
      <c r="K74" s="15"/>
      <c r="L74" s="95">
        <f>+SUM(L59:L73)</f>
        <v>36216.839999999997</v>
      </c>
      <c r="M74" s="15"/>
      <c r="N74" s="9"/>
      <c r="O74" s="15"/>
      <c r="P74" s="9">
        <v>1099.01</v>
      </c>
      <c r="Q74" s="15" t="s">
        <v>2813</v>
      </c>
      <c r="R74" s="15"/>
      <c r="S74" s="15"/>
      <c r="T74" s="9"/>
      <c r="U74" s="15"/>
      <c r="V74" s="9"/>
      <c r="W74" s="15"/>
      <c r="X74" s="95">
        <f>+SUM(X59:X73)</f>
        <v>29527.020000000004</v>
      </c>
      <c r="Y74" s="15"/>
      <c r="Z74" s="15"/>
      <c r="AA74" s="15"/>
      <c r="AB74" s="9"/>
      <c r="AC74" s="15"/>
      <c r="AD74" s="9"/>
      <c r="AE74" s="15"/>
      <c r="AF74" s="9"/>
      <c r="AG74" s="15"/>
      <c r="AH74" s="72"/>
      <c r="AI74" s="15"/>
      <c r="AJ74" s="9">
        <v>1099.01</v>
      </c>
      <c r="AK74" s="15" t="s">
        <v>3285</v>
      </c>
      <c r="AL74" s="9">
        <v>2360.0100000000002</v>
      </c>
      <c r="AM74" s="15" t="s">
        <v>3408</v>
      </c>
      <c r="AN74" s="9">
        <v>6501.94</v>
      </c>
      <c r="AO74" s="15" t="s">
        <v>3334</v>
      </c>
      <c r="AP74" s="9"/>
      <c r="AQ74" s="15"/>
      <c r="AR74" s="9"/>
      <c r="AS74" s="15"/>
      <c r="AT74" s="9"/>
      <c r="AU74" s="15"/>
      <c r="AV74" s="9"/>
      <c r="AW74" s="15"/>
      <c r="AX74" s="9"/>
      <c r="AY74" s="15"/>
      <c r="AZ74" s="9">
        <v>5610.02</v>
      </c>
      <c r="BA74" s="15" t="s">
        <v>3653</v>
      </c>
      <c r="BB74" s="9">
        <v>3250.01</v>
      </c>
      <c r="BC74" s="15" t="s">
        <v>3620</v>
      </c>
      <c r="BD74" s="9"/>
      <c r="BE74" s="15"/>
      <c r="BF74" s="9">
        <v>2350.0100000000002</v>
      </c>
      <c r="BG74" s="15" t="s">
        <v>3750</v>
      </c>
      <c r="BH74" s="9"/>
      <c r="BI74" s="15"/>
      <c r="BJ74" s="112">
        <v>464</v>
      </c>
      <c r="BK74" s="15" t="s">
        <v>3833</v>
      </c>
      <c r="BL74" s="112">
        <v>6305.35</v>
      </c>
      <c r="BM74" s="15" t="s">
        <v>3969</v>
      </c>
      <c r="BN74" s="51">
        <f>+SUM(BN59:BN73)</f>
        <v>32522.769999999997</v>
      </c>
      <c r="BO74" s="15"/>
      <c r="BP74" s="9"/>
      <c r="BQ74" s="15"/>
      <c r="BR74" s="9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</row>
    <row r="75" spans="1:92" x14ac:dyDescent="0.25">
      <c r="A75" s="41"/>
      <c r="B75" s="9"/>
      <c r="C75" s="15"/>
      <c r="D75" s="9"/>
      <c r="E75" s="15"/>
      <c r="F75" s="9"/>
      <c r="G75" s="15"/>
      <c r="H75" s="9"/>
      <c r="I75" s="15"/>
      <c r="J75" s="9"/>
      <c r="K75" s="15"/>
      <c r="L75" s="9"/>
      <c r="M75" s="15"/>
      <c r="N75" s="9"/>
      <c r="O75" s="15"/>
      <c r="P75" s="95">
        <f>+SUM(P59:P74)</f>
        <v>62785.520000000019</v>
      </c>
      <c r="Q75" s="15"/>
      <c r="R75" s="9"/>
      <c r="S75" s="15"/>
      <c r="T75" s="9"/>
      <c r="U75" s="15"/>
      <c r="V75" s="9"/>
      <c r="W75" s="15"/>
      <c r="X75" s="9"/>
      <c r="Y75" s="9"/>
      <c r="Z75" s="9"/>
      <c r="AA75" s="15"/>
      <c r="AB75" s="9"/>
      <c r="AC75" s="15"/>
      <c r="AD75" s="15"/>
      <c r="AE75" s="15"/>
      <c r="AF75" s="9"/>
      <c r="AG75" s="15"/>
      <c r="AH75" s="72"/>
      <c r="AI75" s="15"/>
      <c r="AJ75" s="7">
        <v>1679.01</v>
      </c>
      <c r="AK75" s="26" t="s">
        <v>3291</v>
      </c>
      <c r="AL75" s="51">
        <f>SUM(AL59:AL74)</f>
        <v>97903.559999999969</v>
      </c>
      <c r="AM75" s="15"/>
      <c r="AN75" s="9">
        <v>923.7</v>
      </c>
      <c r="AO75" s="15" t="s">
        <v>3401</v>
      </c>
      <c r="AP75" s="24"/>
      <c r="AQ75" s="15"/>
      <c r="AR75" s="9"/>
      <c r="AS75" s="15"/>
      <c r="AT75" s="9"/>
      <c r="AU75" s="15"/>
      <c r="AV75" s="9"/>
      <c r="AW75" s="15"/>
      <c r="AX75" s="9"/>
      <c r="AY75" s="15"/>
      <c r="AZ75" s="9">
        <v>1995.01</v>
      </c>
      <c r="BA75" s="15" t="s">
        <v>3655</v>
      </c>
      <c r="BB75" s="9">
        <v>1099.01</v>
      </c>
      <c r="BC75" s="15" t="s">
        <v>3622</v>
      </c>
      <c r="BD75" s="7"/>
      <c r="BE75" s="26"/>
      <c r="BF75" s="9">
        <v>4146</v>
      </c>
      <c r="BG75" s="15" t="s">
        <v>3751</v>
      </c>
      <c r="BH75" s="9"/>
      <c r="BI75" s="15"/>
      <c r="BJ75" s="112">
        <v>1969.99</v>
      </c>
      <c r="BK75" s="15" t="s">
        <v>3834</v>
      </c>
      <c r="BL75" s="155">
        <f>+SUM(BL66:BL74)</f>
        <v>56154.29</v>
      </c>
      <c r="BM75" s="15"/>
      <c r="BN75" s="95"/>
      <c r="BO75" s="15"/>
      <c r="BP75" s="9"/>
      <c r="BQ75" s="15"/>
      <c r="BR75" s="9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</row>
    <row r="76" spans="1:92" x14ac:dyDescent="0.25">
      <c r="A76" s="41"/>
      <c r="B76" s="9"/>
      <c r="C76" s="15"/>
      <c r="D76" s="9"/>
      <c r="E76" s="15"/>
      <c r="F76" s="9"/>
      <c r="G76" s="15"/>
      <c r="H76" s="15"/>
      <c r="I76" s="15"/>
      <c r="J76" s="15"/>
      <c r="K76" s="9"/>
      <c r="L76" s="9"/>
      <c r="M76" s="15"/>
      <c r="N76" s="9"/>
      <c r="O76" s="15"/>
      <c r="P76" s="9"/>
      <c r="Q76" s="15"/>
      <c r="R76" s="9"/>
      <c r="S76" s="15"/>
      <c r="T76" s="9"/>
      <c r="U76" s="15"/>
      <c r="V76" s="9"/>
      <c r="W76" s="15"/>
      <c r="X76" s="9"/>
      <c r="Y76" s="15"/>
      <c r="Z76" s="9"/>
      <c r="AA76" s="15"/>
      <c r="AB76" s="9"/>
      <c r="AC76" s="15"/>
      <c r="AD76" s="9"/>
      <c r="AE76" s="15"/>
      <c r="AF76" s="9"/>
      <c r="AG76" s="15"/>
      <c r="AH76" s="72"/>
      <c r="AI76" s="15"/>
      <c r="AJ76" s="9">
        <v>1587.01</v>
      </c>
      <c r="AK76" s="15" t="s">
        <v>3292</v>
      </c>
      <c r="AL76" s="9"/>
      <c r="AM76" s="15"/>
      <c r="AN76" s="51">
        <f>SUM(AN58:AN75)</f>
        <v>68058.06</v>
      </c>
      <c r="AO76" s="15"/>
      <c r="AP76" s="9"/>
      <c r="AQ76" s="15"/>
      <c r="AR76" s="9"/>
      <c r="AS76" s="15"/>
      <c r="AT76" s="9"/>
      <c r="AU76" s="15"/>
      <c r="AV76" s="9"/>
      <c r="AW76" s="15"/>
      <c r="AX76" s="9"/>
      <c r="AY76" s="15"/>
      <c r="AZ76" s="9">
        <v>1970</v>
      </c>
      <c r="BA76" s="26" t="s">
        <v>3656</v>
      </c>
      <c r="BB76" s="51">
        <f>SUM(BB59:BB75)</f>
        <v>99190.549999999959</v>
      </c>
      <c r="BC76" s="15"/>
      <c r="BD76" s="24"/>
      <c r="BE76" s="15"/>
      <c r="BF76" s="9">
        <v>4395.01</v>
      </c>
      <c r="BG76" s="15" t="s">
        <v>3754</v>
      </c>
      <c r="BH76" s="9"/>
      <c r="BI76" s="15"/>
      <c r="BJ76" s="155">
        <f>+SUM(BJ63:BJ75)</f>
        <v>23349.640000000003</v>
      </c>
      <c r="BK76" s="15"/>
      <c r="BL76" s="9"/>
      <c r="BM76" s="15"/>
      <c r="BN76" s="9">
        <v>100</v>
      </c>
      <c r="BO76" s="15" t="s">
        <v>3907</v>
      </c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</row>
    <row r="77" spans="1:92" x14ac:dyDescent="0.25">
      <c r="A77" s="41"/>
      <c r="B77" s="9"/>
      <c r="C77" s="15"/>
      <c r="D77" s="9"/>
      <c r="E77" s="15"/>
      <c r="F77" s="9"/>
      <c r="G77" s="15"/>
      <c r="H77" s="9"/>
      <c r="I77" s="15"/>
      <c r="J77" s="9"/>
      <c r="K77" s="9"/>
      <c r="L77" s="9"/>
      <c r="M77" s="15"/>
      <c r="N77" s="9"/>
      <c r="O77" s="15"/>
      <c r="P77" s="9"/>
      <c r="Q77" s="15"/>
      <c r="R77" s="9"/>
      <c r="S77" s="15"/>
      <c r="T77" s="9"/>
      <c r="U77" s="15"/>
      <c r="V77" s="9"/>
      <c r="W77" s="15"/>
      <c r="X77" s="9"/>
      <c r="Y77" s="15"/>
      <c r="Z77" s="9"/>
      <c r="AA77" s="15"/>
      <c r="AB77" s="9"/>
      <c r="AC77" s="15"/>
      <c r="AD77" s="9"/>
      <c r="AE77" s="15"/>
      <c r="AF77" s="9"/>
      <c r="AG77" s="15"/>
      <c r="AH77" s="72"/>
      <c r="AI77" s="15"/>
      <c r="AJ77" s="72">
        <v>11500</v>
      </c>
      <c r="AK77" s="15" t="s">
        <v>3296</v>
      </c>
      <c r="AL77" s="9"/>
      <c r="AM77" s="15"/>
      <c r="AN77" s="51"/>
      <c r="AO77" s="15"/>
      <c r="AP77" s="9"/>
      <c r="AQ77" s="15"/>
      <c r="AR77" s="24"/>
      <c r="AS77" s="15"/>
      <c r="AT77" s="9"/>
      <c r="AU77" s="15"/>
      <c r="AV77" s="9"/>
      <c r="AW77" s="15"/>
      <c r="AX77" s="9"/>
      <c r="AY77" s="15"/>
      <c r="AZ77" s="51">
        <f>SUM(AZ71:AZ76)</f>
        <v>15052.750000000002</v>
      </c>
      <c r="BA77" s="15"/>
      <c r="BB77" s="9"/>
      <c r="BC77" s="15"/>
      <c r="BD77" s="24"/>
      <c r="BE77" s="15"/>
      <c r="BF77" s="9">
        <v>2827.18</v>
      </c>
      <c r="BG77" s="15" t="s">
        <v>3758</v>
      </c>
      <c r="BH77" s="9"/>
      <c r="BI77" s="15"/>
      <c r="BJ77" s="9"/>
      <c r="BK77" s="15"/>
      <c r="BL77" s="9"/>
      <c r="BM77" s="15"/>
      <c r="BN77" s="9">
        <v>1799</v>
      </c>
      <c r="BO77" s="15" t="s">
        <v>3910</v>
      </c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</row>
    <row r="78" spans="1:92" x14ac:dyDescent="0.25">
      <c r="A78" s="41"/>
      <c r="B78" s="9"/>
      <c r="C78" s="15"/>
      <c r="D78" s="9"/>
      <c r="E78" s="15"/>
      <c r="F78" s="9"/>
      <c r="G78" s="15"/>
      <c r="H78" s="9"/>
      <c r="I78" s="15"/>
      <c r="J78" s="9"/>
      <c r="K78" s="15"/>
      <c r="L78" s="9"/>
      <c r="M78" s="15"/>
      <c r="N78" s="24"/>
      <c r="O78" s="15"/>
      <c r="P78" s="9"/>
      <c r="Q78" s="15"/>
      <c r="R78" s="9"/>
      <c r="S78" s="15"/>
      <c r="T78" s="9"/>
      <c r="U78" s="15"/>
      <c r="V78" s="9"/>
      <c r="W78" s="15"/>
      <c r="X78" s="9"/>
      <c r="Y78" s="15"/>
      <c r="Z78" s="9"/>
      <c r="AA78" s="15"/>
      <c r="AB78" s="15"/>
      <c r="AC78" s="15"/>
      <c r="AD78" s="9"/>
      <c r="AE78" s="15"/>
      <c r="AF78" s="9"/>
      <c r="AG78" s="15"/>
      <c r="AH78" s="72"/>
      <c r="AI78" s="15"/>
      <c r="AJ78" s="9">
        <v>414.64</v>
      </c>
      <c r="AK78" s="15" t="s">
        <v>3299</v>
      </c>
      <c r="AL78" s="9"/>
      <c r="AM78" s="15"/>
      <c r="AN78" s="9"/>
      <c r="AO78" s="15"/>
      <c r="AP78" s="9"/>
      <c r="AQ78" s="15"/>
      <c r="AR78" s="9"/>
      <c r="AS78" s="15"/>
      <c r="AT78" s="133"/>
      <c r="AU78" s="15"/>
      <c r="AV78" s="9"/>
      <c r="AW78" s="15"/>
      <c r="AX78" s="9"/>
      <c r="AY78" s="15"/>
      <c r="AZ78" s="133"/>
      <c r="BA78" s="15"/>
      <c r="BB78" s="9"/>
      <c r="BC78" s="15"/>
      <c r="BD78" s="9"/>
      <c r="BE78" s="15"/>
      <c r="BF78" s="9">
        <v>75.41</v>
      </c>
      <c r="BG78" s="15" t="s">
        <v>3759</v>
      </c>
      <c r="BH78" s="9"/>
      <c r="BI78" s="15"/>
      <c r="BJ78" s="9"/>
      <c r="BK78" s="15"/>
      <c r="BL78" s="9"/>
      <c r="BM78" s="15"/>
      <c r="BN78" s="9">
        <v>2360</v>
      </c>
      <c r="BO78" s="15" t="s">
        <v>3912</v>
      </c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</row>
    <row r="79" spans="1:92" x14ac:dyDescent="0.25">
      <c r="A79" s="41"/>
      <c r="B79" s="9"/>
      <c r="C79" s="15"/>
      <c r="D79" s="9"/>
      <c r="E79" s="15"/>
      <c r="F79" s="9"/>
      <c r="G79" s="15"/>
      <c r="H79" s="9"/>
      <c r="I79" s="15"/>
      <c r="J79" s="9"/>
      <c r="K79" s="15"/>
      <c r="L79" s="9"/>
      <c r="M79" s="15"/>
      <c r="N79" s="9"/>
      <c r="O79" s="15"/>
      <c r="P79" s="9"/>
      <c r="Q79" s="15"/>
      <c r="R79" s="9"/>
      <c r="S79" s="15"/>
      <c r="T79" s="9"/>
      <c r="U79" s="15"/>
      <c r="V79" s="9"/>
      <c r="W79" s="15"/>
      <c r="X79" s="9"/>
      <c r="Y79" s="15"/>
      <c r="Z79" s="9"/>
      <c r="AA79" s="15"/>
      <c r="AB79" s="9"/>
      <c r="AC79" s="15"/>
      <c r="AD79" s="9"/>
      <c r="AE79" s="15"/>
      <c r="AF79" s="15"/>
      <c r="AG79" s="15"/>
      <c r="AH79" s="72"/>
      <c r="AI79" s="15"/>
      <c r="AJ79" s="51">
        <f>SUM(AJ59:AJ78)</f>
        <v>94112.859999999971</v>
      </c>
      <c r="AK79" s="15"/>
      <c r="AL79" s="9"/>
      <c r="AM79" s="15"/>
      <c r="AN79" s="9"/>
      <c r="AO79" s="15"/>
      <c r="AP79" s="9"/>
      <c r="AQ79" s="15"/>
      <c r="AR79" s="120"/>
      <c r="AS79" s="120"/>
      <c r="AT79" s="9"/>
      <c r="AU79" s="15"/>
      <c r="AV79" s="9"/>
      <c r="AW79" s="15"/>
      <c r="AX79" s="9"/>
      <c r="AY79" s="15"/>
      <c r="AZ79" s="24"/>
      <c r="BA79" s="15"/>
      <c r="BB79" s="9"/>
      <c r="BC79" s="15"/>
      <c r="BD79" s="9"/>
      <c r="BE79" s="15"/>
      <c r="BF79" s="51">
        <f>SUM(BF68:BF78)</f>
        <v>79199.209999999992</v>
      </c>
      <c r="BG79" s="15"/>
      <c r="BH79" s="9"/>
      <c r="BI79" s="15"/>
      <c r="BJ79" s="9"/>
      <c r="BK79" s="15"/>
      <c r="BL79" s="9"/>
      <c r="BM79" s="15"/>
      <c r="BN79" s="9">
        <v>150.82</v>
      </c>
      <c r="BO79" s="15" t="s">
        <v>3913</v>
      </c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</row>
    <row r="80" spans="1:92" x14ac:dyDescent="0.25">
      <c r="A80" s="41"/>
      <c r="B80" s="9"/>
      <c r="C80" s="15"/>
      <c r="D80" s="9"/>
      <c r="E80" s="15"/>
      <c r="F80" s="24"/>
      <c r="G80" s="15"/>
      <c r="H80" s="9"/>
      <c r="I80" s="15"/>
      <c r="J80" s="9"/>
      <c r="K80" s="15"/>
      <c r="L80" s="9"/>
      <c r="M80" s="15"/>
      <c r="N80" s="9"/>
      <c r="O80" s="15"/>
      <c r="P80" s="9"/>
      <c r="Q80" s="15"/>
      <c r="R80" s="9"/>
      <c r="S80" s="15"/>
      <c r="T80" s="9"/>
      <c r="U80" s="15"/>
      <c r="V80" s="9"/>
      <c r="W80" s="15"/>
      <c r="X80" s="120"/>
      <c r="Y80" s="15"/>
      <c r="Z80" s="9"/>
      <c r="AA80" s="15"/>
      <c r="AB80" s="9"/>
      <c r="AC80" s="15"/>
      <c r="AD80" s="9"/>
      <c r="AE80" s="15"/>
      <c r="AF80" s="120"/>
      <c r="AG80" s="15"/>
      <c r="AH80" s="72"/>
      <c r="AI80" s="15"/>
      <c r="AJ80" s="9"/>
      <c r="AK80" s="15"/>
      <c r="AL80" s="9"/>
      <c r="AM80" s="15"/>
      <c r="AN80" s="9"/>
      <c r="AO80" s="15"/>
      <c r="AP80" s="9"/>
      <c r="AQ80" s="15"/>
      <c r="AR80" s="9"/>
      <c r="AS80" s="15"/>
      <c r="AT80" s="133"/>
      <c r="AU80" s="15"/>
      <c r="AV80" s="9"/>
      <c r="AW80" s="15"/>
      <c r="AX80" s="9"/>
      <c r="AY80" s="15"/>
      <c r="AZ80" s="9"/>
      <c r="BA80" s="9"/>
      <c r="BB80" s="9"/>
      <c r="BC80" s="15"/>
      <c r="BD80" s="9"/>
      <c r="BE80" s="15"/>
      <c r="BF80" s="9"/>
      <c r="BG80" s="15"/>
      <c r="BH80" s="9"/>
      <c r="BI80" s="15"/>
      <c r="BJ80" s="9"/>
      <c r="BK80" s="15"/>
      <c r="BL80" s="9"/>
      <c r="BM80" s="15"/>
      <c r="BN80" s="51">
        <f>SUM(BN76:BN79)</f>
        <v>4409.82</v>
      </c>
      <c r="BO80" s="15"/>
      <c r="BP80" s="9"/>
      <c r="BQ80" s="15"/>
      <c r="BR80" s="9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</row>
    <row r="81" spans="1:92" x14ac:dyDescent="0.25">
      <c r="A81" s="41"/>
      <c r="B81" s="9"/>
      <c r="C81" s="15"/>
      <c r="D81" s="9"/>
      <c r="E81" s="15"/>
      <c r="F81" s="9"/>
      <c r="G81" s="15"/>
      <c r="H81" s="9"/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9"/>
      <c r="W81" s="15"/>
      <c r="X81" s="15"/>
      <c r="Y81" s="15"/>
      <c r="Z81" s="9"/>
      <c r="AA81" s="15"/>
      <c r="AB81" s="9"/>
      <c r="AC81" s="15"/>
      <c r="AD81" s="9"/>
      <c r="AE81" s="15"/>
      <c r="AF81" s="9"/>
      <c r="AG81" s="15"/>
      <c r="AH81" s="72"/>
      <c r="AI81" s="15"/>
      <c r="AJ81" s="9"/>
      <c r="AK81" s="15"/>
      <c r="AL81" s="9"/>
      <c r="AM81" s="15"/>
      <c r="AN81" s="9"/>
      <c r="AO81" s="15"/>
      <c r="AP81" s="9"/>
      <c r="AQ81" s="15"/>
      <c r="AR81" s="9"/>
      <c r="AS81" s="15"/>
      <c r="AT81" s="9"/>
      <c r="AU81" s="15"/>
      <c r="AV81" s="9"/>
      <c r="AW81" s="15"/>
      <c r="AX81" s="9"/>
      <c r="AY81" s="15"/>
      <c r="AZ81" s="9"/>
      <c r="BA81" s="15"/>
      <c r="BB81" s="9"/>
      <c r="BC81" s="15"/>
      <c r="BD81" s="9"/>
      <c r="BE81" s="15"/>
      <c r="BF81" s="9"/>
      <c r="BG81" s="15"/>
      <c r="BH81" s="9"/>
      <c r="BI81" s="15"/>
      <c r="BJ81" s="9"/>
      <c r="BK81" s="15"/>
      <c r="BL81" s="9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</row>
    <row r="82" spans="1:92" x14ac:dyDescent="0.25">
      <c r="A82" s="42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4"/>
      <c r="AI82" s="23"/>
      <c r="AJ82" s="23"/>
      <c r="AK82" s="23"/>
      <c r="AL82" s="14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</row>
    <row r="83" spans="1:92" x14ac:dyDescent="0.25">
      <c r="A83" s="41"/>
      <c r="B83" s="9"/>
      <c r="C83" s="15"/>
      <c r="D83" s="9"/>
      <c r="E83" s="15"/>
      <c r="F83" s="9"/>
      <c r="G83" s="15"/>
      <c r="H83" s="9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9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24"/>
      <c r="AM83" s="15"/>
      <c r="AN83" s="9"/>
      <c r="AO83" s="15"/>
      <c r="AP83" s="9"/>
      <c r="AQ83" s="15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</row>
    <row r="84" spans="1:92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9"/>
      <c r="Q84" s="15"/>
      <c r="R84" s="9"/>
      <c r="S84" s="15"/>
      <c r="T84" s="9"/>
      <c r="U84" s="15"/>
      <c r="V84" s="9"/>
      <c r="W84" s="15"/>
      <c r="X84" s="9"/>
      <c r="Y84" s="15"/>
      <c r="Z84" s="9"/>
      <c r="AA84" s="15"/>
      <c r="AB84" s="120"/>
      <c r="AC84" s="120"/>
      <c r="AD84" s="9"/>
      <c r="AE84" s="15"/>
      <c r="AF84" s="9"/>
      <c r="AG84" s="15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</row>
    <row r="85" spans="1:92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9"/>
      <c r="M85" s="15"/>
      <c r="N85" s="9"/>
      <c r="O85" s="15"/>
      <c r="P85" s="9"/>
      <c r="Q85" s="15"/>
      <c r="R85" s="9"/>
      <c r="S85" s="15"/>
      <c r="T85" s="9"/>
      <c r="U85" s="15"/>
      <c r="V85" s="9"/>
      <c r="W85" s="15"/>
      <c r="X85" s="9"/>
      <c r="Y85" s="15"/>
      <c r="Z85" s="9"/>
      <c r="AA85" s="15"/>
      <c r="AB85" s="120"/>
      <c r="AC85" s="120"/>
      <c r="AD85" s="9"/>
      <c r="AE85" s="15"/>
      <c r="AF85" s="9"/>
      <c r="AG85" s="15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</row>
    <row r="86" spans="1:92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9"/>
      <c r="AA86" s="15"/>
      <c r="AB86" s="120"/>
      <c r="AC86" s="120"/>
      <c r="AD86" s="9"/>
      <c r="AE86" s="15"/>
      <c r="AF86" s="9"/>
      <c r="AG86" s="15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</row>
    <row r="87" spans="1:92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1"/>
      <c r="AA87" s="13"/>
      <c r="AB87" s="120"/>
      <c r="AC87" s="120"/>
      <c r="AD87" s="11"/>
      <c r="AE87" s="13"/>
      <c r="AF87" s="11"/>
      <c r="AG87" s="13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</row>
    <row r="88" spans="1:92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23"/>
      <c r="Y88" s="13"/>
      <c r="Z88" s="13"/>
      <c r="AA88" s="13"/>
      <c r="AB88" s="120"/>
      <c r="AC88" s="120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</row>
    <row r="89" spans="1:92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</row>
    <row r="90" spans="1:92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</row>
    <row r="91" spans="1:92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</row>
    <row r="92" spans="1:92" x14ac:dyDescent="0.25">
      <c r="A92" s="41" t="s">
        <v>6</v>
      </c>
      <c r="B92" s="9"/>
      <c r="C92" s="15"/>
      <c r="D92" s="9"/>
      <c r="E92" s="15"/>
      <c r="F92" s="9">
        <v>1099.01</v>
      </c>
      <c r="G92" s="15" t="s">
        <v>2610</v>
      </c>
      <c r="H92" s="9">
        <v>1970</v>
      </c>
      <c r="I92" s="15" t="s">
        <v>2643</v>
      </c>
      <c r="J92" s="9">
        <v>1484.33</v>
      </c>
      <c r="K92" s="15" t="s">
        <v>2689</v>
      </c>
      <c r="L92" s="9">
        <v>1399.01</v>
      </c>
      <c r="M92" s="15" t="s">
        <v>2746</v>
      </c>
      <c r="N92" s="9"/>
      <c r="O92" s="15"/>
      <c r="P92" s="9">
        <v>3869</v>
      </c>
      <c r="Q92" s="15" t="s">
        <v>2767</v>
      </c>
      <c r="R92" s="9">
        <v>2500</v>
      </c>
      <c r="S92" s="15" t="s">
        <v>2832</v>
      </c>
      <c r="T92" s="9">
        <v>50</v>
      </c>
      <c r="U92" s="15" t="s">
        <v>2875</v>
      </c>
      <c r="V92" s="9">
        <v>17354.939999999999</v>
      </c>
      <c r="W92" s="15" t="s">
        <v>2941</v>
      </c>
      <c r="X92" s="9">
        <v>1000</v>
      </c>
      <c r="Y92" s="15" t="s">
        <v>2980</v>
      </c>
      <c r="Z92" s="9">
        <v>20000</v>
      </c>
      <c r="AA92" s="15" t="s">
        <v>3045</v>
      </c>
      <c r="AB92" s="9">
        <v>1029.51</v>
      </c>
      <c r="AC92" s="15" t="s">
        <v>3113</v>
      </c>
      <c r="AD92" s="9">
        <v>79500</v>
      </c>
      <c r="AE92" s="15" t="s">
        <v>3137</v>
      </c>
      <c r="AF92" s="9"/>
      <c r="AG92" s="15"/>
      <c r="AH92" s="9">
        <v>1100</v>
      </c>
      <c r="AI92" s="15" t="s">
        <v>3192</v>
      </c>
      <c r="AJ92" s="9">
        <v>3700.12</v>
      </c>
      <c r="AK92" s="15" t="s">
        <v>3244</v>
      </c>
      <c r="AL92" s="9">
        <v>1924.62</v>
      </c>
      <c r="AM92" s="15" t="s">
        <v>3314</v>
      </c>
      <c r="AN92" s="9">
        <v>2750.37</v>
      </c>
      <c r="AO92" s="15" t="s">
        <v>3371</v>
      </c>
      <c r="AP92" s="9"/>
      <c r="AQ92" s="15"/>
      <c r="AR92" s="9">
        <v>1000</v>
      </c>
      <c r="AS92" s="15" t="s">
        <v>3407</v>
      </c>
      <c r="AT92" s="9">
        <v>1565.28</v>
      </c>
      <c r="AU92" s="15" t="s">
        <v>3417</v>
      </c>
      <c r="AV92" s="9">
        <v>3250</v>
      </c>
      <c r="AW92" s="15" t="s">
        <v>3469</v>
      </c>
      <c r="AX92" s="9">
        <v>1821.28</v>
      </c>
      <c r="AY92" s="15" t="s">
        <v>3539</v>
      </c>
      <c r="AZ92" s="9">
        <v>16855.41</v>
      </c>
      <c r="BA92" s="15" t="s">
        <v>3571</v>
      </c>
      <c r="BB92" s="9">
        <v>3250</v>
      </c>
      <c r="BC92" s="15" t="s">
        <v>3611</v>
      </c>
      <c r="BD92" s="9"/>
      <c r="BE92" s="15"/>
      <c r="BF92" s="9">
        <v>232</v>
      </c>
      <c r="BG92" s="15" t="s">
        <v>3664</v>
      </c>
      <c r="BH92" s="9">
        <v>1099.01</v>
      </c>
      <c r="BI92" s="15" t="s">
        <v>3665</v>
      </c>
      <c r="BJ92" s="9">
        <v>3880.15</v>
      </c>
      <c r="BK92" s="15" t="s">
        <v>3687</v>
      </c>
      <c r="BL92" s="112">
        <v>2866</v>
      </c>
      <c r="BM92" s="15" t="s">
        <v>3954</v>
      </c>
      <c r="BN92" s="157">
        <v>100</v>
      </c>
      <c r="BO92" s="15" t="s">
        <v>3847</v>
      </c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</row>
    <row r="93" spans="1:92" x14ac:dyDescent="0.25">
      <c r="A93" s="41"/>
      <c r="B93" s="9"/>
      <c r="C93" s="15"/>
      <c r="D93" s="121"/>
      <c r="E93" s="15"/>
      <c r="F93" s="9">
        <v>3250</v>
      </c>
      <c r="G93" s="15" t="s">
        <v>2611</v>
      </c>
      <c r="H93" s="9">
        <v>1970</v>
      </c>
      <c r="I93" s="15" t="s">
        <v>2646</v>
      </c>
      <c r="J93" s="9">
        <v>2457.9899999999998</v>
      </c>
      <c r="K93" s="15" t="s">
        <v>2692</v>
      </c>
      <c r="L93" s="9">
        <v>1995</v>
      </c>
      <c r="M93" s="15" t="s">
        <v>2747</v>
      </c>
      <c r="N93" s="15"/>
      <c r="O93" s="15"/>
      <c r="P93" s="9">
        <v>10000</v>
      </c>
      <c r="Q93" s="15" t="s">
        <v>2771</v>
      </c>
      <c r="R93" s="9">
        <v>3499.01</v>
      </c>
      <c r="S93" s="15" t="s">
        <v>2850</v>
      </c>
      <c r="T93" s="9">
        <v>2064.23</v>
      </c>
      <c r="U93" s="15" t="s">
        <v>2878</v>
      </c>
      <c r="V93" s="9">
        <v>3250</v>
      </c>
      <c r="W93" s="15" t="s">
        <v>2961</v>
      </c>
      <c r="X93" s="9">
        <v>1099.01</v>
      </c>
      <c r="Y93" s="15" t="s">
        <v>3015</v>
      </c>
      <c r="Z93" s="9">
        <v>1099.01</v>
      </c>
      <c r="AA93" s="15" t="s">
        <v>3066</v>
      </c>
      <c r="AB93" s="72">
        <v>1099.01</v>
      </c>
      <c r="AC93" s="15" t="s">
        <v>3124</v>
      </c>
      <c r="AD93" s="9">
        <v>254.92</v>
      </c>
      <c r="AE93" s="15" t="s">
        <v>3140</v>
      </c>
      <c r="AF93" s="9"/>
      <c r="AG93" s="15"/>
      <c r="AH93" s="9">
        <v>2668</v>
      </c>
      <c r="AI93" s="15" t="s">
        <v>3202</v>
      </c>
      <c r="AJ93" s="9">
        <v>15871.93</v>
      </c>
      <c r="AK93" s="15" t="s">
        <v>3247</v>
      </c>
      <c r="AL93" s="9">
        <v>1099.01</v>
      </c>
      <c r="AM93" s="15" t="s">
        <v>3335</v>
      </c>
      <c r="AN93" s="9">
        <v>2499.21</v>
      </c>
      <c r="AO93" s="15" t="s">
        <v>3391</v>
      </c>
      <c r="AP93" s="9"/>
      <c r="AQ93" s="15"/>
      <c r="AR93" s="9"/>
      <c r="AS93" s="15"/>
      <c r="AT93" s="9">
        <v>11668.25</v>
      </c>
      <c r="AU93" s="15" t="s">
        <v>3421</v>
      </c>
      <c r="AV93" s="9">
        <v>925.01</v>
      </c>
      <c r="AW93" s="15" t="s">
        <v>3470</v>
      </c>
      <c r="AX93" s="10">
        <v>1099.01</v>
      </c>
      <c r="AY93" s="12" t="s">
        <v>3541</v>
      </c>
      <c r="AZ93" s="9">
        <v>4200</v>
      </c>
      <c r="BA93" s="15" t="s">
        <v>3575</v>
      </c>
      <c r="BB93" s="9">
        <v>3169</v>
      </c>
      <c r="BC93" s="15" t="s">
        <v>3624</v>
      </c>
      <c r="BD93" s="9"/>
      <c r="BE93" s="15"/>
      <c r="BF93" s="9"/>
      <c r="BG93" s="15"/>
      <c r="BH93" s="9">
        <v>374.42</v>
      </c>
      <c r="BI93" s="15" t="s">
        <v>3680</v>
      </c>
      <c r="BJ93" s="9"/>
      <c r="BK93" s="15"/>
      <c r="BL93" s="112">
        <v>4168.99</v>
      </c>
      <c r="BM93" s="15" t="s">
        <v>3956</v>
      </c>
      <c r="BN93" s="157">
        <v>4395.01</v>
      </c>
      <c r="BO93" s="15" t="s">
        <v>3869</v>
      </c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</row>
    <row r="94" spans="1:92" x14ac:dyDescent="0.25">
      <c r="A94" s="41"/>
      <c r="B94" s="9"/>
      <c r="C94" s="15"/>
      <c r="D94" s="121"/>
      <c r="E94" s="15"/>
      <c r="F94" s="95">
        <f>+F92+F93</f>
        <v>4349.01</v>
      </c>
      <c r="G94" s="15"/>
      <c r="H94" s="9">
        <v>1099.01</v>
      </c>
      <c r="I94" s="15" t="s">
        <v>2659</v>
      </c>
      <c r="J94" s="9">
        <v>3169</v>
      </c>
      <c r="K94" s="15" t="s">
        <v>2703</v>
      </c>
      <c r="L94" s="9">
        <v>1532.26</v>
      </c>
      <c r="M94" s="15" t="s">
        <v>2748</v>
      </c>
      <c r="N94" s="9"/>
      <c r="O94" s="15"/>
      <c r="P94" s="9">
        <v>1496.55</v>
      </c>
      <c r="Q94" s="15" t="s">
        <v>2778</v>
      </c>
      <c r="R94" s="95">
        <f>+R92+R93</f>
        <v>5999.01</v>
      </c>
      <c r="S94" s="15"/>
      <c r="T94" s="9">
        <v>1969.99</v>
      </c>
      <c r="U94" s="15" t="s">
        <v>2898</v>
      </c>
      <c r="V94" s="95">
        <f>+V92+V93</f>
        <v>20604.939999999999</v>
      </c>
      <c r="W94" s="15"/>
      <c r="X94" s="9">
        <v>1995</v>
      </c>
      <c r="Y94" s="15" t="s">
        <v>3022</v>
      </c>
      <c r="Z94" s="9">
        <v>1099.01</v>
      </c>
      <c r="AA94" s="15" t="s">
        <v>3067</v>
      </c>
      <c r="AB94" s="9">
        <v>4395.01</v>
      </c>
      <c r="AC94" s="15" t="s">
        <v>3126</v>
      </c>
      <c r="AD94" s="95">
        <f>+SUM(AD92:AD93)</f>
        <v>79754.92</v>
      </c>
      <c r="AE94" s="15"/>
      <c r="AF94" s="9"/>
      <c r="AG94" s="15"/>
      <c r="AH94" s="9">
        <v>1099.01</v>
      </c>
      <c r="AI94" s="15" t="s">
        <v>3212</v>
      </c>
      <c r="AJ94" s="15">
        <v>13345.63</v>
      </c>
      <c r="AK94" s="15" t="s">
        <v>3258</v>
      </c>
      <c r="AL94" s="9">
        <v>1099.01</v>
      </c>
      <c r="AM94" s="15" t="s">
        <v>3341</v>
      </c>
      <c r="AN94" s="120">
        <v>1899.01</v>
      </c>
      <c r="AO94" s="120" t="s">
        <v>3394</v>
      </c>
      <c r="AP94" s="9"/>
      <c r="AQ94" s="15"/>
      <c r="AR94" s="9"/>
      <c r="AS94" s="15"/>
      <c r="AT94" s="95">
        <f>+AT92+AT93</f>
        <v>13233.53</v>
      </c>
      <c r="AU94" s="15"/>
      <c r="AV94" s="9">
        <v>1969.99</v>
      </c>
      <c r="AW94" s="15" t="s">
        <v>3477</v>
      </c>
      <c r="AX94" s="9">
        <v>1219.01</v>
      </c>
      <c r="AY94" s="15" t="s">
        <v>3542</v>
      </c>
      <c r="AZ94" s="95">
        <f>+AZ92+AZ93</f>
        <v>21055.41</v>
      </c>
      <c r="BA94" s="15"/>
      <c r="BB94" s="95">
        <f>+BB93+BB92</f>
        <v>6419</v>
      </c>
      <c r="BC94" s="15"/>
      <c r="BD94" s="9"/>
      <c r="BE94" s="15"/>
      <c r="BF94" s="9">
        <v>1970</v>
      </c>
      <c r="BG94" s="15" t="s">
        <v>3755</v>
      </c>
      <c r="BH94" s="95">
        <f>+BH93+BH92</f>
        <v>1473.43</v>
      </c>
      <c r="BI94" s="15"/>
      <c r="BJ94" s="9">
        <v>3250</v>
      </c>
      <c r="BK94" s="15" t="s">
        <v>3816</v>
      </c>
      <c r="BL94" s="112">
        <v>1099.01</v>
      </c>
      <c r="BM94" s="15" t="s">
        <v>3958</v>
      </c>
      <c r="BN94" s="157">
        <v>3250.01</v>
      </c>
      <c r="BO94" s="15" t="s">
        <v>3873</v>
      </c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</row>
    <row r="95" spans="1:92" x14ac:dyDescent="0.25">
      <c r="A95" s="41"/>
      <c r="B95" s="9"/>
      <c r="C95" s="15"/>
      <c r="D95" s="121"/>
      <c r="E95" s="15"/>
      <c r="F95" s="9"/>
      <c r="G95" s="15"/>
      <c r="H95" s="95">
        <f>+H93+H94+H92+H91</f>
        <v>5039.01</v>
      </c>
      <c r="I95" s="15"/>
      <c r="J95" s="9">
        <v>2573.89</v>
      </c>
      <c r="K95" s="15" t="s">
        <v>2712</v>
      </c>
      <c r="L95" s="9">
        <v>1392.9</v>
      </c>
      <c r="M95" s="15" t="s">
        <v>2749</v>
      </c>
      <c r="N95" s="9"/>
      <c r="O95" s="15"/>
      <c r="P95" s="9">
        <v>2360.0100000000002</v>
      </c>
      <c r="Q95" s="15" t="s">
        <v>2791</v>
      </c>
      <c r="R95" s="9"/>
      <c r="S95" s="15"/>
      <c r="T95" s="9">
        <v>464</v>
      </c>
      <c r="U95" s="15" t="s">
        <v>2903</v>
      </c>
      <c r="V95" s="9"/>
      <c r="W95" s="15"/>
      <c r="X95" s="9">
        <v>250</v>
      </c>
      <c r="Y95" s="15" t="s">
        <v>3025</v>
      </c>
      <c r="Z95" s="9">
        <v>1970</v>
      </c>
      <c r="AA95" s="15" t="s">
        <v>3076</v>
      </c>
      <c r="AB95" s="9">
        <v>2865.99</v>
      </c>
      <c r="AC95" s="15" t="s">
        <v>3131</v>
      </c>
      <c r="AD95" s="9"/>
      <c r="AE95" s="15"/>
      <c r="AF95" s="9"/>
      <c r="AG95" s="15"/>
      <c r="AH95" s="9">
        <v>4445.01</v>
      </c>
      <c r="AI95" s="15" t="s">
        <v>3215</v>
      </c>
      <c r="AJ95" s="9">
        <v>2287.02</v>
      </c>
      <c r="AK95" s="15" t="s">
        <v>3261</v>
      </c>
      <c r="AL95" s="9">
        <v>1099.01</v>
      </c>
      <c r="AM95" s="15" t="s">
        <v>3342</v>
      </c>
      <c r="AN95" s="120">
        <v>676.59</v>
      </c>
      <c r="AO95" s="120" t="s">
        <v>3396</v>
      </c>
      <c r="AP95" s="9"/>
      <c r="AQ95" s="15"/>
      <c r="AR95" s="9"/>
      <c r="AS95" s="15"/>
      <c r="AT95" s="133"/>
      <c r="AU95" s="15"/>
      <c r="AV95" s="9">
        <v>3250.01</v>
      </c>
      <c r="AW95" s="15" t="s">
        <v>3480</v>
      </c>
      <c r="AX95" s="9">
        <v>1099</v>
      </c>
      <c r="AY95" s="15" t="s">
        <v>3548</v>
      </c>
      <c r="AZ95" s="9"/>
      <c r="BA95" s="15"/>
      <c r="BB95" s="9"/>
      <c r="BC95" s="15"/>
      <c r="BD95" s="15"/>
      <c r="BE95" s="15"/>
      <c r="BF95" s="9">
        <v>1995</v>
      </c>
      <c r="BG95" s="15" t="s">
        <v>3757</v>
      </c>
      <c r="BH95" s="9"/>
      <c r="BI95" s="15"/>
      <c r="BJ95" s="15">
        <v>2350.0100000000002</v>
      </c>
      <c r="BK95" s="15" t="s">
        <v>3817</v>
      </c>
      <c r="BL95" s="112">
        <v>2212.96</v>
      </c>
      <c r="BM95" s="15" t="s">
        <v>3959</v>
      </c>
      <c r="BN95" s="157">
        <v>1994.99</v>
      </c>
      <c r="BO95" s="15" t="s">
        <v>3877</v>
      </c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</row>
    <row r="96" spans="1:92" x14ac:dyDescent="0.25">
      <c r="A96" s="41"/>
      <c r="B96" s="9"/>
      <c r="C96" s="15"/>
      <c r="D96" s="15"/>
      <c r="E96" s="26"/>
      <c r="F96" s="9"/>
      <c r="G96" s="15"/>
      <c r="H96" s="95"/>
      <c r="I96" s="15"/>
      <c r="J96" s="9">
        <v>2108.86</v>
      </c>
      <c r="K96" s="15" t="s">
        <v>2715</v>
      </c>
      <c r="L96" s="9">
        <v>1392.9</v>
      </c>
      <c r="M96" s="15" t="s">
        <v>2750</v>
      </c>
      <c r="N96" s="9"/>
      <c r="O96" s="15"/>
      <c r="P96" s="9">
        <v>1099.01</v>
      </c>
      <c r="Q96" s="15" t="s">
        <v>2799</v>
      </c>
      <c r="R96" s="72"/>
      <c r="S96" s="24"/>
      <c r="T96" s="9">
        <v>1099.01</v>
      </c>
      <c r="U96" s="9" t="s">
        <v>2907</v>
      </c>
      <c r="V96" s="9"/>
      <c r="W96" s="15"/>
      <c r="X96" s="9">
        <v>3250</v>
      </c>
      <c r="Y96" s="15" t="s">
        <v>3027</v>
      </c>
      <c r="Z96" s="9">
        <v>1970</v>
      </c>
      <c r="AA96" s="15" t="s">
        <v>3080</v>
      </c>
      <c r="AB96" s="95">
        <f>+SUM(AB92:AB95)</f>
        <v>9389.52</v>
      </c>
      <c r="AC96" s="13"/>
      <c r="AD96" s="9"/>
      <c r="AE96" s="15"/>
      <c r="AF96" s="9"/>
      <c r="AG96" s="15"/>
      <c r="AH96" s="9">
        <v>4372.1400000000003</v>
      </c>
      <c r="AI96" s="15" t="s">
        <v>3218</v>
      </c>
      <c r="AJ96" s="9">
        <v>1099.01</v>
      </c>
      <c r="AK96" s="15" t="s">
        <v>3275</v>
      </c>
      <c r="AL96" s="9">
        <v>1099</v>
      </c>
      <c r="AM96" s="15" t="s">
        <v>3353</v>
      </c>
      <c r="AN96" s="9">
        <v>556.61</v>
      </c>
      <c r="AO96" s="15" t="s">
        <v>3399</v>
      </c>
      <c r="AP96" s="133"/>
      <c r="AR96" s="9"/>
      <c r="AS96" s="15"/>
      <c r="AT96" s="9">
        <v>8051.01</v>
      </c>
      <c r="AU96" s="15" t="s">
        <v>3492</v>
      </c>
      <c r="AV96" s="51">
        <f>SUM(AV92:AV95)</f>
        <v>9395.01</v>
      </c>
      <c r="AW96" s="15"/>
      <c r="AX96" s="9">
        <v>1969.99</v>
      </c>
      <c r="AY96" s="15" t="s">
        <v>3549</v>
      </c>
      <c r="AZ96" s="9">
        <v>1919</v>
      </c>
      <c r="BA96" s="15" t="s">
        <v>3646</v>
      </c>
      <c r="BB96" s="9"/>
      <c r="BC96" s="15"/>
      <c r="BD96" s="9"/>
      <c r="BE96" s="15"/>
      <c r="BF96" s="95">
        <f>+BF94+BF95</f>
        <v>3965</v>
      </c>
      <c r="BG96" s="15"/>
      <c r="BH96" s="9">
        <v>5000</v>
      </c>
      <c r="BI96" s="15" t="s">
        <v>3762</v>
      </c>
      <c r="BJ96" s="15">
        <v>2863.01</v>
      </c>
      <c r="BK96" s="15" t="s">
        <v>3835</v>
      </c>
      <c r="BL96" s="112">
        <v>3250.01</v>
      </c>
      <c r="BM96" s="15" t="s">
        <v>3961</v>
      </c>
      <c r="BN96" s="157">
        <v>1099.01</v>
      </c>
      <c r="BO96" s="15" t="s">
        <v>3887</v>
      </c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</row>
    <row r="97" spans="1:92" x14ac:dyDescent="0.25">
      <c r="A97" s="41"/>
      <c r="B97" s="9"/>
      <c r="C97" s="15"/>
      <c r="D97" s="9"/>
      <c r="E97" s="15"/>
      <c r="F97" s="9"/>
      <c r="G97" s="15"/>
      <c r="H97" s="15"/>
      <c r="I97" s="15"/>
      <c r="J97" s="95">
        <f>+J95+J96+J94+J93+J92</f>
        <v>11794.07</v>
      </c>
      <c r="K97" s="15"/>
      <c r="L97" s="9">
        <v>1970</v>
      </c>
      <c r="M97" s="15" t="s">
        <v>2755</v>
      </c>
      <c r="N97" s="9"/>
      <c r="O97" s="15"/>
      <c r="P97" s="9">
        <v>4395.01</v>
      </c>
      <c r="Q97" s="15" t="s">
        <v>2801</v>
      </c>
      <c r="R97" s="15"/>
      <c r="S97" s="15"/>
      <c r="T97" s="9">
        <v>1970</v>
      </c>
      <c r="U97" s="15" t="s">
        <v>2915</v>
      </c>
      <c r="V97" s="15"/>
      <c r="W97" s="15"/>
      <c r="X97" s="9">
        <v>505.01</v>
      </c>
      <c r="Y97" s="15" t="s">
        <v>3028</v>
      </c>
      <c r="Z97" s="9">
        <v>1970</v>
      </c>
      <c r="AA97" s="15" t="s">
        <v>3083</v>
      </c>
      <c r="AB97" s="13"/>
      <c r="AC97" s="13"/>
      <c r="AD97" s="15"/>
      <c r="AE97" s="15"/>
      <c r="AF97" s="133"/>
      <c r="AG97" s="120"/>
      <c r="AH97" s="9">
        <v>1970</v>
      </c>
      <c r="AI97" s="15" t="s">
        <v>3219</v>
      </c>
      <c r="AJ97" s="15">
        <v>1970</v>
      </c>
      <c r="AK97" s="15" t="s">
        <v>3279</v>
      </c>
      <c r="AL97" s="51">
        <f>SUM(AL92:AL96)</f>
        <v>6320.6500000000005</v>
      </c>
      <c r="AM97" s="15"/>
      <c r="AN97" s="9">
        <v>339.16</v>
      </c>
      <c r="AO97" s="15" t="s">
        <v>3400</v>
      </c>
      <c r="AP97" s="9"/>
      <c r="AQ97" s="15"/>
      <c r="AR97" s="15"/>
      <c r="AS97" s="15"/>
      <c r="AT97" s="9">
        <v>14000</v>
      </c>
      <c r="AU97" s="15" t="s">
        <v>3494</v>
      </c>
      <c r="AV97" s="9"/>
      <c r="AW97" s="15"/>
      <c r="AX97" s="9">
        <v>11454.81</v>
      </c>
      <c r="AY97" s="15" t="s">
        <v>3554</v>
      </c>
      <c r="AZ97" s="9">
        <v>250</v>
      </c>
      <c r="BA97" s="15" t="s">
        <v>3648</v>
      </c>
      <c r="BB97" s="9"/>
      <c r="BC97" s="15"/>
      <c r="BD97" s="15"/>
      <c r="BE97" s="15"/>
      <c r="BF97" s="9"/>
      <c r="BG97" s="15"/>
      <c r="BH97" s="9">
        <v>1969.99</v>
      </c>
      <c r="BI97" s="15" t="s">
        <v>3783</v>
      </c>
      <c r="BJ97" s="95">
        <f>+SUM(BJ94:BJ96)</f>
        <v>8463.02</v>
      </c>
      <c r="BK97" s="15"/>
      <c r="BL97" s="112">
        <v>4395.01</v>
      </c>
      <c r="BM97" s="15" t="s">
        <v>3966</v>
      </c>
      <c r="BN97" s="95">
        <f>+SUM(BN91:BN96)</f>
        <v>10839.02</v>
      </c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</row>
    <row r="98" spans="1:92" x14ac:dyDescent="0.25">
      <c r="A98" s="41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9">
        <v>10000</v>
      </c>
      <c r="M98" s="15" t="s">
        <v>2722</v>
      </c>
      <c r="N98" s="15"/>
      <c r="O98" s="15"/>
      <c r="P98" s="9">
        <v>3030</v>
      </c>
      <c r="Q98" s="15" t="s">
        <v>2808</v>
      </c>
      <c r="R98" s="15"/>
      <c r="S98" s="15"/>
      <c r="T98" s="9">
        <v>1449</v>
      </c>
      <c r="U98" s="15" t="s">
        <v>2916</v>
      </c>
      <c r="V98" s="15"/>
      <c r="W98" s="15"/>
      <c r="X98" s="9">
        <v>1099.01</v>
      </c>
      <c r="Y98" s="15" t="s">
        <v>3031</v>
      </c>
      <c r="Z98" s="95">
        <f>+SUM(Z92:Z97)</f>
        <v>28108.019999999997</v>
      </c>
      <c r="AA98" s="15"/>
      <c r="AB98" s="15"/>
      <c r="AC98" s="15"/>
      <c r="AD98" s="15"/>
      <c r="AE98" s="15"/>
      <c r="AF98" s="15"/>
      <c r="AG98" s="15"/>
      <c r="AH98" s="9">
        <v>7035.16</v>
      </c>
      <c r="AI98" s="15" t="s">
        <v>3225</v>
      </c>
      <c r="AJ98" s="15">
        <v>1969.99</v>
      </c>
      <c r="AK98" s="15" t="s">
        <v>3280</v>
      </c>
      <c r="AL98" s="9"/>
      <c r="AM98" s="15"/>
      <c r="AN98" s="51">
        <f>SUM(AN92:AN97)</f>
        <v>8720.9500000000007</v>
      </c>
      <c r="AO98" s="15"/>
      <c r="AP98" s="9"/>
      <c r="AQ98" s="15"/>
      <c r="AR98" s="15"/>
      <c r="AS98" s="15"/>
      <c r="AT98" s="9">
        <v>1099</v>
      </c>
      <c r="AU98" s="15" t="s">
        <v>3495</v>
      </c>
      <c r="AV98" s="9">
        <v>1362.48</v>
      </c>
      <c r="AW98" s="15" t="s">
        <v>3510</v>
      </c>
      <c r="AX98" s="9">
        <v>1099.01</v>
      </c>
      <c r="AY98" s="15" t="s">
        <v>3557</v>
      </c>
      <c r="AZ98" s="9">
        <v>3354</v>
      </c>
      <c r="BA98" s="15" t="s">
        <v>3654</v>
      </c>
      <c r="BB98" s="9"/>
      <c r="BC98" s="15"/>
      <c r="BD98" s="15"/>
      <c r="BE98" s="15"/>
      <c r="BF98" s="15"/>
      <c r="BG98" s="15"/>
      <c r="BH98" s="9">
        <v>1969.99</v>
      </c>
      <c r="BI98" s="15" t="s">
        <v>3784</v>
      </c>
      <c r="BJ98" s="15"/>
      <c r="BK98" s="15"/>
      <c r="BL98" s="112">
        <v>3274.34</v>
      </c>
      <c r="BM98" s="15" t="s">
        <v>3970</v>
      </c>
      <c r="BN98" s="9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</row>
    <row r="99" spans="1:92" x14ac:dyDescent="0.25">
      <c r="A99" s="41"/>
      <c r="B99" s="9"/>
      <c r="C99" s="15"/>
      <c r="D99" s="9"/>
      <c r="E99" s="15"/>
      <c r="F99" s="15"/>
      <c r="G99" s="15"/>
      <c r="H99" s="9"/>
      <c r="I99" s="15"/>
      <c r="J99" s="9"/>
      <c r="K99" s="15"/>
      <c r="L99" s="95">
        <f>+SUM(L92:L98)</f>
        <v>19682.07</v>
      </c>
      <c r="M99" s="15"/>
      <c r="N99" s="9"/>
      <c r="O99" s="15"/>
      <c r="P99" s="9">
        <v>1949.99</v>
      </c>
      <c r="Q99" s="15" t="s">
        <v>2814</v>
      </c>
      <c r="R99" s="15"/>
      <c r="S99" s="15"/>
      <c r="T99" s="95">
        <f>+SUM(T92:T98)</f>
        <v>9066.23</v>
      </c>
      <c r="U99" s="15"/>
      <c r="V99" s="9"/>
      <c r="W99" s="15"/>
      <c r="X99" s="9">
        <v>250</v>
      </c>
      <c r="Y99" s="15" t="s">
        <v>3033</v>
      </c>
      <c r="Z99" s="9"/>
      <c r="AA99" s="15"/>
      <c r="AB99" s="9"/>
      <c r="AC99" s="15"/>
      <c r="AD99" s="15"/>
      <c r="AE99" s="15"/>
      <c r="AF99" s="9"/>
      <c r="AG99" s="15"/>
      <c r="AH99" s="9">
        <v>6576.96</v>
      </c>
      <c r="AI99" s="15" t="s">
        <v>3232</v>
      </c>
      <c r="AJ99" s="9">
        <v>1970</v>
      </c>
      <c r="AK99" s="15" t="s">
        <v>3284</v>
      </c>
      <c r="AL99" s="9"/>
      <c r="AM99" s="15"/>
      <c r="AN99" s="15"/>
      <c r="AO99" s="15"/>
      <c r="AP99" s="9"/>
      <c r="AQ99" s="15"/>
      <c r="AR99" s="9"/>
      <c r="AS99" s="15"/>
      <c r="AT99" s="95">
        <f>+AT97+AT98+AT96</f>
        <v>23150.010000000002</v>
      </c>
      <c r="AU99" s="15"/>
      <c r="AV99" s="9">
        <v>1970</v>
      </c>
      <c r="AW99" s="15" t="s">
        <v>3515</v>
      </c>
      <c r="AX99" s="9">
        <v>2710</v>
      </c>
      <c r="AY99" s="15" t="s">
        <v>3558</v>
      </c>
      <c r="AZ99" s="95">
        <f>+AZ97+AZ98+AZ96</f>
        <v>5523</v>
      </c>
      <c r="BA99" s="15"/>
      <c r="BB99" s="127"/>
      <c r="BC99" s="24"/>
      <c r="BD99" s="9"/>
      <c r="BE99" s="15"/>
      <c r="BF99" s="9"/>
      <c r="BG99" s="15"/>
      <c r="BH99" s="9">
        <v>1099.01</v>
      </c>
      <c r="BI99" s="15" t="s">
        <v>3790</v>
      </c>
      <c r="BJ99" s="9"/>
      <c r="BK99" s="15"/>
      <c r="BL99" s="9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</row>
    <row r="100" spans="1:92" x14ac:dyDescent="0.25">
      <c r="A100" s="41"/>
      <c r="B100" s="15"/>
      <c r="C100" s="15"/>
      <c r="D100" s="9"/>
      <c r="E100" s="15"/>
      <c r="F100" s="15"/>
      <c r="G100" s="15"/>
      <c r="H100" s="9"/>
      <c r="I100" s="15"/>
      <c r="J100" s="9"/>
      <c r="K100" s="15"/>
      <c r="L100" s="9"/>
      <c r="M100" s="15"/>
      <c r="N100" s="9"/>
      <c r="O100" s="15"/>
      <c r="P100" s="9">
        <f>1628.51-741.16</f>
        <v>887.35</v>
      </c>
      <c r="Q100" s="15" t="s">
        <v>2816</v>
      </c>
      <c r="R100" s="9"/>
      <c r="S100" s="15"/>
      <c r="T100" s="15"/>
      <c r="U100" s="15"/>
      <c r="V100" s="9"/>
      <c r="W100" s="15"/>
      <c r="X100" s="95">
        <f>+SUM(X92:X99)</f>
        <v>9448.0300000000007</v>
      </c>
      <c r="Y100" s="15"/>
      <c r="Z100" s="9"/>
      <c r="AA100" s="15"/>
      <c r="AB100" s="9"/>
      <c r="AC100" s="15"/>
      <c r="AD100" s="9"/>
      <c r="AE100" s="15"/>
      <c r="AF100" s="9"/>
      <c r="AG100" s="15"/>
      <c r="AH100" s="51">
        <f>SUM(AH92:AH99)</f>
        <v>29266.28</v>
      </c>
      <c r="AI100" s="15"/>
      <c r="AJ100" s="9">
        <v>1970</v>
      </c>
      <c r="AK100" s="15" t="s">
        <v>3290</v>
      </c>
      <c r="AL100" s="15"/>
      <c r="AM100" s="15"/>
      <c r="AN100" s="9"/>
      <c r="AO100" s="15"/>
      <c r="AP100" s="9"/>
      <c r="AQ100" s="15"/>
      <c r="AR100" s="9"/>
      <c r="AS100" s="15"/>
      <c r="AT100" s="9"/>
      <c r="AU100" s="15"/>
      <c r="AV100" s="95">
        <f>+AV99+AV98</f>
        <v>3332.48</v>
      </c>
      <c r="AW100" s="15"/>
      <c r="AX100" s="51">
        <f>SUM(AX92:AX99)</f>
        <v>22472.109999999997</v>
      </c>
      <c r="AY100" s="15"/>
      <c r="AZ100" s="9"/>
      <c r="BA100" s="15"/>
      <c r="BB100" s="15"/>
      <c r="BC100" s="15"/>
      <c r="BD100" s="9"/>
      <c r="BE100" s="15"/>
      <c r="BF100" s="15"/>
      <c r="BG100" s="15"/>
      <c r="BH100" s="95">
        <f>+SUM(BH96:BH99)</f>
        <v>10038.99</v>
      </c>
      <c r="BI100" s="15"/>
      <c r="BJ100" s="9"/>
      <c r="BK100" s="15"/>
      <c r="BL100" s="95">
        <f>+SUM(BL92:BL99)</f>
        <v>21266.32</v>
      </c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</row>
    <row r="101" spans="1:92" x14ac:dyDescent="0.25">
      <c r="A101" s="41"/>
      <c r="B101" s="9"/>
      <c r="C101" s="15"/>
      <c r="D101" s="9"/>
      <c r="E101" s="15"/>
      <c r="F101" s="9"/>
      <c r="G101" s="15"/>
      <c r="H101" s="15"/>
      <c r="I101" s="15"/>
      <c r="J101" s="9"/>
      <c r="K101" s="15"/>
      <c r="L101" s="9"/>
      <c r="M101" s="15"/>
      <c r="N101" s="9"/>
      <c r="O101" s="15"/>
      <c r="P101" s="9">
        <v>158.87</v>
      </c>
      <c r="Q101" s="15" t="s">
        <v>2819</v>
      </c>
      <c r="R101" s="9"/>
      <c r="S101" s="15"/>
      <c r="T101" s="9"/>
      <c r="U101" s="15"/>
      <c r="V101" s="9"/>
      <c r="W101" s="15"/>
      <c r="X101" s="9"/>
      <c r="Y101" s="15"/>
      <c r="Z101" s="9"/>
      <c r="AA101" s="15"/>
      <c r="AB101" s="9"/>
      <c r="AC101" s="15"/>
      <c r="AD101" s="9"/>
      <c r="AE101" s="15"/>
      <c r="AF101" s="9"/>
      <c r="AG101" s="15"/>
      <c r="AH101" s="9"/>
      <c r="AI101" s="15"/>
      <c r="AJ101" s="9">
        <v>254</v>
      </c>
      <c r="AK101" s="15" t="s">
        <v>3301</v>
      </c>
      <c r="AL101" s="9"/>
      <c r="AM101" s="15"/>
      <c r="AN101" s="9"/>
      <c r="AO101" s="15"/>
      <c r="AP101" s="9"/>
      <c r="AQ101" s="15"/>
      <c r="AR101" s="9"/>
      <c r="AS101" s="15"/>
      <c r="AT101" s="9"/>
      <c r="AU101" s="15"/>
      <c r="AV101" s="9"/>
      <c r="AW101" s="15"/>
      <c r="AX101" s="9"/>
      <c r="AY101" s="15"/>
      <c r="AZ101" s="15"/>
      <c r="BA101" s="15"/>
      <c r="BB101" s="9"/>
      <c r="BC101" s="15"/>
      <c r="BD101" s="9"/>
      <c r="BE101" s="15"/>
      <c r="BF101" s="9"/>
      <c r="BG101" s="15"/>
      <c r="BH101" s="9"/>
      <c r="BI101" s="15"/>
      <c r="BJ101" s="9"/>
      <c r="BK101" s="1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</row>
    <row r="102" spans="1:92" x14ac:dyDescent="0.25">
      <c r="A102" s="41"/>
      <c r="B102" s="9"/>
      <c r="C102" s="15"/>
      <c r="D102" s="9"/>
      <c r="E102" s="15"/>
      <c r="F102" s="9"/>
      <c r="G102" s="15"/>
      <c r="H102" s="9"/>
      <c r="I102" s="15"/>
      <c r="J102" s="9"/>
      <c r="K102" s="15"/>
      <c r="L102" s="9"/>
      <c r="M102" s="15"/>
      <c r="N102" s="9"/>
      <c r="O102" s="15"/>
      <c r="P102" s="9">
        <v>1299.42</v>
      </c>
      <c r="Q102" s="15" t="s">
        <v>2820</v>
      </c>
      <c r="R102" s="9"/>
      <c r="S102" s="15"/>
      <c r="T102" s="9"/>
      <c r="U102" s="15"/>
      <c r="V102" s="9"/>
      <c r="W102" s="15"/>
      <c r="X102" s="9"/>
      <c r="Y102" s="15"/>
      <c r="Z102" s="9"/>
      <c r="AA102" s="15"/>
      <c r="AB102" s="9"/>
      <c r="AC102" s="15"/>
      <c r="AD102" s="9"/>
      <c r="AE102" s="15"/>
      <c r="AF102" s="9"/>
      <c r="AG102" s="15"/>
      <c r="AH102" s="9"/>
      <c r="AI102" s="15"/>
      <c r="AJ102" s="9">
        <v>674</v>
      </c>
      <c r="AK102" s="15" t="s">
        <v>3304</v>
      </c>
      <c r="AL102" s="9"/>
      <c r="AM102" s="15"/>
      <c r="AN102" s="9"/>
      <c r="AO102" s="15"/>
      <c r="AP102" s="9"/>
      <c r="AQ102" s="15"/>
      <c r="AR102" s="9"/>
      <c r="AS102" s="15"/>
      <c r="AT102" s="9"/>
      <c r="AU102" s="15"/>
      <c r="AV102" s="9"/>
      <c r="AW102" s="15"/>
      <c r="AX102" s="9"/>
      <c r="AY102" s="15"/>
      <c r="AZ102" s="9"/>
      <c r="BA102" s="15"/>
      <c r="BB102" s="9"/>
      <c r="BC102" s="15"/>
      <c r="BD102" s="9"/>
      <c r="BE102" s="15"/>
      <c r="BF102" s="9"/>
      <c r="BG102" s="15"/>
      <c r="BH102" s="9"/>
      <c r="BI102" s="15"/>
      <c r="BJ102" s="9"/>
      <c r="BK102" s="1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</row>
    <row r="103" spans="1:92" x14ac:dyDescent="0.25">
      <c r="A103" s="41"/>
      <c r="B103" s="9"/>
      <c r="C103" s="15"/>
      <c r="D103" s="9"/>
      <c r="E103" s="15"/>
      <c r="F103" s="9"/>
      <c r="G103" s="15"/>
      <c r="H103" s="9"/>
      <c r="I103" s="15"/>
      <c r="J103" s="9"/>
      <c r="K103" s="15"/>
      <c r="L103" s="9"/>
      <c r="M103" s="15"/>
      <c r="N103" s="9"/>
      <c r="O103" s="15"/>
      <c r="P103" s="95">
        <f>+SUM(P92:P102)</f>
        <v>30545.209999999992</v>
      </c>
      <c r="Q103" s="15"/>
      <c r="R103" s="9"/>
      <c r="S103" s="15"/>
      <c r="T103" s="9"/>
      <c r="U103" s="15"/>
      <c r="V103" s="9"/>
      <c r="W103" s="15"/>
      <c r="X103" s="9"/>
      <c r="Y103" s="15"/>
      <c r="Z103" s="9"/>
      <c r="AA103" s="15"/>
      <c r="AB103" s="9"/>
      <c r="AC103" s="15"/>
      <c r="AD103" s="15"/>
      <c r="AE103" s="15"/>
      <c r="AF103" s="9"/>
      <c r="AG103" s="15"/>
      <c r="AH103" s="9"/>
      <c r="AI103" s="15"/>
      <c r="AJ103" s="51">
        <f>SUM(AJ92:AJ102)</f>
        <v>45111.7</v>
      </c>
      <c r="AK103" s="15"/>
      <c r="AL103" s="9"/>
      <c r="AM103" s="15"/>
      <c r="AN103" s="9"/>
      <c r="AO103" s="15"/>
      <c r="AP103" s="9"/>
      <c r="AQ103" s="15"/>
      <c r="AR103" s="9"/>
      <c r="AS103" s="15"/>
      <c r="AT103" s="9"/>
      <c r="AU103" s="15"/>
      <c r="AV103" s="9"/>
      <c r="AW103" s="15"/>
      <c r="AX103" s="9"/>
      <c r="AY103" s="15"/>
      <c r="AZ103" s="9"/>
      <c r="BA103" s="15"/>
      <c r="BB103" s="9"/>
      <c r="BC103" s="15"/>
      <c r="BD103" s="9"/>
      <c r="BE103" s="15"/>
      <c r="BF103" s="9"/>
      <c r="BG103" s="15"/>
      <c r="BH103" s="9"/>
      <c r="BI103" s="15"/>
      <c r="BJ103" s="9"/>
      <c r="BK103" s="1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</row>
    <row r="104" spans="1:92" x14ac:dyDescent="0.25">
      <c r="A104" s="41"/>
      <c r="B104" s="9"/>
      <c r="C104" s="15"/>
      <c r="D104" s="9"/>
      <c r="E104" s="15"/>
      <c r="F104" s="9"/>
      <c r="G104" s="15"/>
      <c r="H104" s="9"/>
      <c r="I104" s="15"/>
      <c r="J104" s="9"/>
      <c r="K104" s="15"/>
      <c r="L104" s="9"/>
      <c r="M104" s="15"/>
      <c r="N104" s="9"/>
      <c r="O104" s="15"/>
      <c r="P104" s="9"/>
      <c r="Q104" s="15"/>
      <c r="R104" s="9"/>
      <c r="S104" s="15"/>
      <c r="T104" s="9"/>
      <c r="U104" s="15"/>
      <c r="V104" s="9"/>
      <c r="W104" s="15"/>
      <c r="X104" s="9"/>
      <c r="Y104" s="15"/>
      <c r="Z104" s="9"/>
      <c r="AA104" s="15"/>
      <c r="AB104" s="9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"/>
      <c r="AQ104" s="15"/>
      <c r="AR104" s="9"/>
      <c r="AS104" s="15"/>
      <c r="AT104" s="9"/>
      <c r="AU104" s="15"/>
      <c r="AV104" s="9"/>
      <c r="AW104" s="15"/>
      <c r="AX104" s="9"/>
      <c r="AY104" s="15"/>
      <c r="AZ104" s="9"/>
      <c r="BA104" s="15"/>
      <c r="BB104" s="9"/>
      <c r="BC104" s="15"/>
      <c r="BD104" s="9"/>
      <c r="BE104" s="15"/>
      <c r="BF104" s="9"/>
      <c r="BG104" s="15"/>
      <c r="BH104" s="9"/>
      <c r="BI104" s="15"/>
      <c r="BJ104" s="9"/>
      <c r="BK104" s="1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</row>
    <row r="105" spans="1:92" x14ac:dyDescent="0.25">
      <c r="A105" s="41"/>
      <c r="B105" s="9"/>
      <c r="C105" s="15"/>
      <c r="D105" s="9"/>
      <c r="E105" s="15"/>
      <c r="F105" s="9"/>
      <c r="G105" s="15"/>
      <c r="H105" s="9"/>
      <c r="I105" s="15"/>
      <c r="J105" s="9"/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9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9"/>
      <c r="AM105" s="15"/>
      <c r="AN105" s="9"/>
      <c r="AO105" s="15"/>
      <c r="AP105" s="15"/>
      <c r="AQ105" s="15"/>
      <c r="AR105" s="15"/>
      <c r="AS105" s="15"/>
      <c r="AT105" s="9"/>
      <c r="AU105" s="15"/>
      <c r="AV105" s="9"/>
      <c r="AW105" s="15"/>
      <c r="AX105" s="9"/>
      <c r="AY105" s="15"/>
      <c r="AZ105" s="9"/>
      <c r="BA105" s="15"/>
      <c r="BB105" s="9"/>
      <c r="BC105" s="15"/>
      <c r="BD105" s="9"/>
      <c r="BE105" s="15"/>
      <c r="BF105" s="9"/>
      <c r="BG105" s="15"/>
      <c r="BH105" s="9"/>
      <c r="BI105" s="15"/>
      <c r="BJ105" s="9"/>
      <c r="BK105" s="1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</row>
    <row r="106" spans="1:92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9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9"/>
      <c r="AA106" s="15"/>
      <c r="AB106" s="9"/>
      <c r="AC106" s="15"/>
      <c r="AD106" s="9"/>
      <c r="AE106" s="15"/>
      <c r="AF106" s="9"/>
      <c r="AG106" s="15"/>
      <c r="AH106" s="9"/>
      <c r="AI106" s="15"/>
      <c r="AJ106" s="9"/>
      <c r="AK106" s="15"/>
      <c r="AL106" s="9"/>
      <c r="AM106" s="15"/>
      <c r="AN106" s="9"/>
      <c r="AO106" s="15"/>
      <c r="AP106" s="9"/>
      <c r="AQ106" s="15"/>
      <c r="AR106" s="9"/>
      <c r="AS106" s="15"/>
      <c r="AT106" s="9"/>
      <c r="AU106" s="15"/>
      <c r="AV106" s="9"/>
      <c r="AW106" s="15"/>
      <c r="AX106" s="9"/>
      <c r="AY106" s="15"/>
      <c r="AZ106" s="9"/>
      <c r="BA106" s="15"/>
      <c r="BB106" s="9"/>
      <c r="BC106" s="15"/>
      <c r="BD106" s="9"/>
      <c r="BE106" s="15"/>
      <c r="BF106" s="9"/>
      <c r="BG106" s="15"/>
      <c r="BH106" s="9"/>
      <c r="BI106" s="15"/>
      <c r="BJ106" s="9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</row>
    <row r="107" spans="1:92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9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9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9"/>
      <c r="AU107" s="15"/>
      <c r="AV107" s="9"/>
      <c r="AW107" s="15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9"/>
      <c r="BI107" s="15"/>
      <c r="BJ107" s="9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</row>
    <row r="108" spans="1:92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9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</row>
    <row r="109" spans="1:92" x14ac:dyDescent="0.25">
      <c r="A109" s="41"/>
      <c r="B109" s="9"/>
      <c r="C109" s="15"/>
      <c r="D109" s="9"/>
      <c r="E109" s="15"/>
      <c r="F109" s="9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9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</row>
    <row r="110" spans="1:92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1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</row>
    <row r="111" spans="1:92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1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11"/>
      <c r="AS111" s="13"/>
      <c r="AT111" s="11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</row>
    <row r="112" spans="1:92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1"/>
      <c r="AA112" s="13"/>
      <c r="AB112" s="11"/>
      <c r="AC112" s="13"/>
      <c r="AD112" s="11"/>
      <c r="AE112" s="1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1"/>
      <c r="AS112" s="13"/>
      <c r="AT112" s="11"/>
      <c r="AU112" s="13"/>
      <c r="AV112" s="11"/>
      <c r="AW112" s="13"/>
      <c r="AX112" s="11"/>
      <c r="AY112" s="13"/>
      <c r="AZ112" s="11"/>
      <c r="BA112" s="13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</row>
    <row r="113" spans="1:92" x14ac:dyDescent="0.25">
      <c r="A113" s="42" t="s">
        <v>7</v>
      </c>
      <c r="B113" s="14"/>
      <c r="C113" s="23"/>
      <c r="D113" s="14"/>
      <c r="E113" s="23"/>
      <c r="F113" s="23">
        <f>4778.67-1823.66</f>
        <v>2955.01</v>
      </c>
      <c r="G113" s="23"/>
      <c r="H113" s="14"/>
      <c r="I113" s="23"/>
      <c r="J113" s="14"/>
      <c r="K113" s="23"/>
      <c r="L113" s="23">
        <v>1954.59</v>
      </c>
      <c r="M113" s="23" t="s">
        <v>2760</v>
      </c>
      <c r="N113" s="14"/>
      <c r="O113" s="23"/>
      <c r="P113" s="14">
        <v>944.47</v>
      </c>
      <c r="Q113" s="23" t="s">
        <v>2773</v>
      </c>
      <c r="R113" s="14"/>
      <c r="S113" s="23"/>
      <c r="T113" s="14">
        <v>20000</v>
      </c>
      <c r="U113" s="23" t="s">
        <v>2883</v>
      </c>
      <c r="V113" s="14">
        <v>2319.9899999999998</v>
      </c>
      <c r="W113" s="23" t="s">
        <v>2960</v>
      </c>
      <c r="X113" s="14"/>
      <c r="Y113" s="23"/>
      <c r="Z113" s="14"/>
      <c r="AA113" s="23"/>
      <c r="AB113" s="14"/>
      <c r="AC113" s="23"/>
      <c r="AD113" s="14">
        <v>7545.78</v>
      </c>
      <c r="AE113" s="23" t="s">
        <v>3141</v>
      </c>
      <c r="AF113" s="14"/>
      <c r="AG113" s="23"/>
      <c r="AH113" s="14"/>
      <c r="AI113" s="23"/>
      <c r="AJ113" s="14">
        <v>1099.01</v>
      </c>
      <c r="AK113" s="23" t="s">
        <v>3281</v>
      </c>
      <c r="AL113" s="14">
        <v>3169</v>
      </c>
      <c r="AM113" s="23" t="s">
        <v>3338</v>
      </c>
      <c r="AN113" s="14"/>
      <c r="AO113" s="23"/>
      <c r="AP113" s="14"/>
      <c r="AQ113" s="23"/>
      <c r="AR113" s="14"/>
      <c r="AS113" s="23"/>
      <c r="AT113" s="14"/>
      <c r="AU113" s="23"/>
      <c r="AV113" s="14"/>
      <c r="AW113" s="23"/>
      <c r="AX113" s="14"/>
      <c r="AY113" s="23"/>
      <c r="AZ113" s="14"/>
      <c r="BA113" s="23"/>
      <c r="BB113" s="14"/>
      <c r="BC113" s="23"/>
      <c r="BD113" s="14"/>
      <c r="BE113" s="23"/>
      <c r="BF113" s="14"/>
      <c r="BG113" s="23"/>
      <c r="BH113" s="14"/>
      <c r="BI113" s="23"/>
      <c r="BJ113" s="14"/>
      <c r="BK113" s="23"/>
      <c r="BL113" s="14"/>
      <c r="BM113" s="23"/>
      <c r="BN113" s="14"/>
      <c r="BO113" s="23"/>
      <c r="BP113" s="14"/>
      <c r="BQ113" s="23"/>
      <c r="BR113" s="14"/>
      <c r="BS113" s="23"/>
      <c r="BT113" s="14"/>
      <c r="BU113" s="23"/>
      <c r="BV113" s="14"/>
      <c r="BW113" s="23"/>
      <c r="BX113" s="14"/>
      <c r="BY113" s="23"/>
      <c r="BZ113" s="14"/>
      <c r="CA113" s="23"/>
      <c r="CB113" s="14"/>
      <c r="CC113" s="23"/>
      <c r="CD113" s="14"/>
      <c r="CE113" s="23"/>
      <c r="CF113" s="14"/>
      <c r="CG113" s="23"/>
      <c r="CH113" s="14"/>
      <c r="CI113" s="23"/>
      <c r="CJ113" s="14"/>
      <c r="CK113" s="23"/>
      <c r="CL113" s="14"/>
      <c r="CM113" s="23"/>
      <c r="CN113" s="14"/>
    </row>
    <row r="114" spans="1:92" x14ac:dyDescent="0.25">
      <c r="A114" s="42"/>
      <c r="B114" s="14"/>
      <c r="C114" s="23"/>
      <c r="D114" s="14"/>
      <c r="E114" s="23"/>
      <c r="F114" s="14"/>
      <c r="G114" s="23"/>
      <c r="H114" s="14"/>
      <c r="I114" s="23"/>
      <c r="J114" s="14"/>
      <c r="K114" s="23"/>
      <c r="L114" s="14"/>
      <c r="M114" s="23"/>
      <c r="N114" s="14"/>
      <c r="O114" s="23"/>
      <c r="P114" s="14"/>
      <c r="Q114" s="23"/>
      <c r="R114" s="14"/>
      <c r="S114" s="23"/>
      <c r="T114" s="14"/>
      <c r="U114" s="23"/>
      <c r="V114" s="14"/>
      <c r="W114" s="23"/>
      <c r="X114" s="14"/>
      <c r="Y114" s="23"/>
      <c r="Z114" s="14"/>
      <c r="AA114" s="23"/>
      <c r="AB114" s="14"/>
      <c r="AC114" s="23"/>
      <c r="AD114" s="14">
        <v>9376.15</v>
      </c>
      <c r="AE114" s="23" t="s">
        <v>3152</v>
      </c>
      <c r="AF114" s="23"/>
      <c r="AG114" s="23"/>
      <c r="AH114" s="14"/>
      <c r="AI114" s="23"/>
      <c r="AJ114" s="14"/>
      <c r="AK114" s="23"/>
      <c r="AL114" s="14">
        <v>5739.01</v>
      </c>
      <c r="AM114" s="23" t="s">
        <v>3352</v>
      </c>
      <c r="AN114" s="14"/>
      <c r="AO114" s="23"/>
      <c r="AP114" s="14"/>
      <c r="AQ114" s="23"/>
      <c r="AR114" s="14"/>
      <c r="AS114" s="23"/>
      <c r="AT114" s="14"/>
      <c r="AU114" s="23"/>
      <c r="AV114" s="14"/>
      <c r="AW114" s="23"/>
      <c r="AX114" s="14"/>
      <c r="AY114" s="23"/>
      <c r="AZ114" s="14">
        <v>1970</v>
      </c>
      <c r="BA114" s="23" t="s">
        <v>3581</v>
      </c>
      <c r="BB114" s="14">
        <v>1995</v>
      </c>
      <c r="BC114" s="23" t="s">
        <v>3623</v>
      </c>
      <c r="BD114" s="14"/>
      <c r="BE114" s="23"/>
      <c r="BF114" s="14"/>
      <c r="BG114" s="23"/>
      <c r="BH114" s="14"/>
      <c r="BI114" s="23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</row>
    <row r="115" spans="1:92" x14ac:dyDescent="0.25">
      <c r="A115" s="42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14">
        <v>866.66</v>
      </c>
      <c r="AE115" s="23" t="s">
        <v>3179</v>
      </c>
      <c r="AF115" s="23"/>
      <c r="AG115" s="23"/>
      <c r="AH115" s="23"/>
      <c r="AI115" s="23"/>
      <c r="AJ115" s="23"/>
      <c r="AK115" s="23"/>
      <c r="AL115" s="111">
        <f>+AL113+AL114</f>
        <v>8908.01</v>
      </c>
      <c r="AM115" s="23"/>
      <c r="AN115" s="23"/>
      <c r="AO115" s="23"/>
      <c r="AP115" s="23"/>
      <c r="AQ115" s="23"/>
      <c r="AR115" s="23"/>
      <c r="AS115" s="23"/>
      <c r="AT115" s="23"/>
      <c r="AU115" s="23"/>
      <c r="AV115" s="14"/>
      <c r="AW115" s="23"/>
      <c r="AX115" s="23"/>
      <c r="AY115" s="23"/>
      <c r="AZ115" s="23"/>
      <c r="BA115" s="23"/>
      <c r="BB115" s="14">
        <v>3723.01</v>
      </c>
      <c r="BC115" s="23" t="s">
        <v>3626</v>
      </c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</row>
    <row r="116" spans="1:92" x14ac:dyDescent="0.25">
      <c r="A116" s="43"/>
      <c r="B116" s="11"/>
      <c r="C116" s="13"/>
      <c r="D116" s="11"/>
      <c r="E116" s="13"/>
      <c r="F116" s="11"/>
      <c r="G116" s="13"/>
      <c r="H116" s="11"/>
      <c r="I116" s="13"/>
      <c r="J116" s="11"/>
      <c r="K116" s="13"/>
      <c r="L116" s="11"/>
      <c r="M116" s="13"/>
      <c r="N116" s="11"/>
      <c r="O116" s="13"/>
      <c r="P116" s="23"/>
      <c r="Q116" s="13"/>
      <c r="R116" s="23"/>
      <c r="S116" s="13"/>
      <c r="T116" s="11"/>
      <c r="U116" s="13"/>
      <c r="V116" s="11"/>
      <c r="W116" s="13"/>
      <c r="X116" s="11"/>
      <c r="Y116" s="13"/>
      <c r="Z116" s="11"/>
      <c r="AA116" s="13"/>
      <c r="AB116" s="11"/>
      <c r="AC116" s="13"/>
      <c r="AD116" s="95">
        <f>+SUM(AD113:AD115)</f>
        <v>17788.59</v>
      </c>
      <c r="AE116" s="13"/>
      <c r="AF116" s="11"/>
      <c r="AG116" s="13"/>
      <c r="AH116" s="11"/>
      <c r="AI116" s="13"/>
      <c r="AJ116" s="11"/>
      <c r="AK116" s="13"/>
      <c r="AL116" s="11"/>
      <c r="AM116" s="13"/>
      <c r="AN116" s="11"/>
      <c r="AO116" s="13"/>
      <c r="AP116" s="11"/>
      <c r="AQ116" s="13"/>
      <c r="AR116" s="11"/>
      <c r="AS116" s="13"/>
      <c r="AT116" s="11"/>
      <c r="AU116" s="13"/>
      <c r="AV116" s="23"/>
      <c r="AW116" s="13"/>
      <c r="AX116" s="11"/>
      <c r="AY116" s="13"/>
      <c r="AZ116" s="11"/>
      <c r="BA116" s="13"/>
      <c r="BB116" s="95">
        <f>+BB115+BB114</f>
        <v>5718.01</v>
      </c>
      <c r="BC116" s="13"/>
      <c r="BD116" s="11"/>
      <c r="BE116" s="13"/>
      <c r="BF116" s="11"/>
      <c r="BG116" s="13"/>
      <c r="BH116" s="11"/>
      <c r="BI116" s="13"/>
      <c r="BJ116" s="11"/>
      <c r="BK116" s="13"/>
      <c r="BL116" s="11"/>
      <c r="BM116" s="13"/>
      <c r="BN116" s="11"/>
      <c r="BO116" s="13"/>
      <c r="BP116" s="11"/>
      <c r="BQ116" s="13"/>
      <c r="BR116" s="11"/>
      <c r="BS116" s="13"/>
      <c r="BT116" s="11"/>
      <c r="BU116" s="13"/>
      <c r="BV116" s="11"/>
      <c r="BW116" s="13"/>
      <c r="BX116" s="11"/>
      <c r="BY116" s="13"/>
      <c r="BZ116" s="11"/>
      <c r="CA116" s="13"/>
      <c r="CB116" s="11"/>
      <c r="CC116" s="13"/>
      <c r="CD116" s="11"/>
      <c r="CE116" s="13"/>
      <c r="CF116" s="11"/>
      <c r="CG116" s="13"/>
      <c r="CH116" s="11"/>
      <c r="CI116" s="13"/>
      <c r="CJ116" s="11"/>
      <c r="CK116" s="13"/>
      <c r="CL116" s="11"/>
      <c r="CM116" s="13"/>
      <c r="CN116" s="11"/>
    </row>
    <row r="117" spans="1:92" x14ac:dyDescent="0.25">
      <c r="A117" s="43"/>
      <c r="B117" s="11"/>
      <c r="C117" s="13"/>
      <c r="D117" s="11"/>
      <c r="E117" s="13"/>
      <c r="F117" s="11"/>
      <c r="G117" s="13"/>
      <c r="H117" s="11"/>
      <c r="I117" s="13"/>
      <c r="J117" s="11"/>
      <c r="K117" s="13"/>
      <c r="L117" s="11"/>
      <c r="M117" s="13"/>
      <c r="N117" s="11"/>
      <c r="O117" s="13"/>
      <c r="P117" s="11"/>
      <c r="Q117" s="13"/>
      <c r="R117" s="11"/>
      <c r="S117" s="13"/>
      <c r="T117" s="11"/>
      <c r="U117" s="13"/>
      <c r="V117" s="11"/>
      <c r="W117" s="13"/>
      <c r="X117" s="11"/>
      <c r="Y117" s="13"/>
      <c r="Z117" s="11"/>
      <c r="AA117" s="13"/>
      <c r="AB117" s="11"/>
      <c r="AC117" s="13"/>
      <c r="AD117" s="11"/>
      <c r="AE117" s="13"/>
      <c r="AF117" s="11"/>
      <c r="AG117" s="13"/>
      <c r="AH117" s="11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"/>
      <c r="AS117" s="13"/>
      <c r="AT117" s="11"/>
      <c r="AU117" s="13"/>
      <c r="AV117" s="11"/>
      <c r="AW117" s="13"/>
      <c r="AX117" s="11"/>
      <c r="AY117" s="13"/>
      <c r="AZ117" s="11"/>
      <c r="BA117" s="13"/>
      <c r="BB117" s="11"/>
      <c r="BC117" s="13"/>
      <c r="BD117" s="11"/>
      <c r="BE117" s="13"/>
      <c r="BF117" s="11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</row>
    <row r="118" spans="1:92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11"/>
      <c r="S118" s="13"/>
      <c r="T118" s="11"/>
      <c r="U118" s="13"/>
      <c r="V118" s="11"/>
      <c r="W118" s="13"/>
      <c r="X118" s="11"/>
      <c r="Y118" s="13"/>
      <c r="Z118" s="11"/>
      <c r="AA118" s="13"/>
      <c r="AB118" s="11"/>
      <c r="AC118" s="13"/>
      <c r="AD118" s="11"/>
      <c r="AE118" s="13"/>
      <c r="AF118" s="11"/>
      <c r="AG118" s="13"/>
      <c r="AH118" s="11"/>
      <c r="AI118" s="13"/>
      <c r="AJ118" s="11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11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</row>
    <row r="119" spans="1:92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1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</row>
    <row r="120" spans="1:92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1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</row>
    <row r="121" spans="1:92" x14ac:dyDescent="0.25">
      <c r="A121" s="42" t="s">
        <v>5</v>
      </c>
      <c r="B121" s="14"/>
      <c r="C121" s="23"/>
      <c r="D121" s="14"/>
      <c r="E121" s="23"/>
      <c r="F121" s="14">
        <f>+F68</f>
        <v>94440.15</v>
      </c>
      <c r="G121" s="23"/>
      <c r="H121" s="14">
        <f>+H73</f>
        <v>48257.48</v>
      </c>
      <c r="I121" s="23"/>
      <c r="J121" s="14">
        <f>+J67</f>
        <v>9581.0300000000007</v>
      </c>
      <c r="K121" s="23"/>
      <c r="L121" s="14">
        <f>+L74</f>
        <v>36216.839999999997</v>
      </c>
      <c r="M121" s="23"/>
      <c r="N121" s="14"/>
      <c r="O121" s="23"/>
      <c r="P121" s="14">
        <f>+P75</f>
        <v>62785.520000000019</v>
      </c>
      <c r="Q121" s="23"/>
      <c r="R121" s="14">
        <f>+R71</f>
        <v>51261.940000000017</v>
      </c>
      <c r="S121" s="23"/>
      <c r="T121" s="14">
        <f>+T69</f>
        <v>60649.51</v>
      </c>
      <c r="U121" s="23"/>
      <c r="V121" s="14">
        <f>+V71</f>
        <v>34532.28</v>
      </c>
      <c r="W121" s="23"/>
      <c r="X121" s="14">
        <f>+X74</f>
        <v>29527.020000000004</v>
      </c>
      <c r="Y121" s="23"/>
      <c r="Z121" s="14">
        <f>+Z66</f>
        <v>10276.1</v>
      </c>
      <c r="AA121" s="23"/>
      <c r="AB121" s="14">
        <f>+AB72</f>
        <v>31421.659999999993</v>
      </c>
      <c r="AC121" s="23"/>
      <c r="AD121" s="14">
        <f>+AD71</f>
        <v>22593.600000000002</v>
      </c>
      <c r="AE121" s="23"/>
      <c r="AF121" s="14"/>
      <c r="AG121" s="23"/>
      <c r="AH121" s="14">
        <f>+AH72</f>
        <v>103995.06</v>
      </c>
      <c r="AI121" s="23"/>
      <c r="AJ121" s="14">
        <f>+AJ79</f>
        <v>94112.859999999971</v>
      </c>
      <c r="AK121" s="23"/>
      <c r="AL121" s="14">
        <f>+AL75</f>
        <v>97903.559999999969</v>
      </c>
      <c r="AM121" s="23"/>
      <c r="AN121" s="14">
        <f>+AN76</f>
        <v>68058.06</v>
      </c>
      <c r="AO121" s="23"/>
      <c r="AP121" s="14">
        <f>+AP59</f>
        <v>20000</v>
      </c>
      <c r="AQ121" s="23"/>
      <c r="AR121" s="14"/>
      <c r="AS121" s="23"/>
      <c r="AT121" s="14">
        <f>+AT65+AT69</f>
        <v>32589.67</v>
      </c>
      <c r="AU121" s="23"/>
      <c r="AV121" s="14">
        <f>+AV68+AV70</f>
        <v>38183.590000000004</v>
      </c>
      <c r="AW121" s="23"/>
      <c r="AX121" s="14">
        <f>+AX68+AX70</f>
        <v>43452.280000000013</v>
      </c>
      <c r="AY121" s="23"/>
      <c r="AZ121" s="14">
        <f>+AZ68+AZ77</f>
        <v>58311.81</v>
      </c>
      <c r="BA121" s="23"/>
      <c r="BB121" s="14">
        <f>+BB76</f>
        <v>99190.549999999959</v>
      </c>
      <c r="BC121" s="23"/>
      <c r="BD121" s="14">
        <f>+BD59</f>
        <v>20000</v>
      </c>
      <c r="BE121" s="23"/>
      <c r="BF121" s="14">
        <f>+BF66+BF79</f>
        <v>108647.56999999998</v>
      </c>
      <c r="BG121" s="23"/>
      <c r="BH121" s="14">
        <f>+BH62+BH72</f>
        <v>52342.58</v>
      </c>
      <c r="BI121" s="23"/>
      <c r="BJ121" s="14">
        <f>+BJ61+BJ76</f>
        <v>26049.600000000002</v>
      </c>
      <c r="BK121" s="23"/>
      <c r="BL121" s="14">
        <f>+BL64</f>
        <v>8613.5300000000007</v>
      </c>
      <c r="BM121" s="23"/>
      <c r="BN121" s="14">
        <f>+BN74</f>
        <v>32522.769999999997</v>
      </c>
      <c r="BO121" s="23"/>
      <c r="BP121" s="14"/>
      <c r="BQ121" s="23"/>
      <c r="BR121" s="14"/>
      <c r="BS121" s="23"/>
      <c r="BT121" s="14"/>
      <c r="BU121" s="23"/>
      <c r="BV121" s="14"/>
      <c r="BW121" s="23"/>
      <c r="BX121" s="14"/>
      <c r="BY121" s="23"/>
      <c r="BZ121" s="14"/>
      <c r="CA121" s="23"/>
      <c r="CB121" s="14"/>
      <c r="CC121" s="23"/>
      <c r="CD121" s="14"/>
      <c r="CE121" s="23"/>
      <c r="CF121" s="14"/>
      <c r="CG121" s="23"/>
      <c r="CH121" s="14"/>
      <c r="CI121" s="23"/>
      <c r="CJ121" s="14"/>
      <c r="CK121" s="23"/>
      <c r="CL121" s="14"/>
      <c r="CM121" s="23"/>
      <c r="CN121" s="14"/>
    </row>
    <row r="122" spans="1:92" x14ac:dyDescent="0.25">
      <c r="A122" s="42" t="s">
        <v>8</v>
      </c>
      <c r="B122" s="14"/>
      <c r="C122" s="23"/>
      <c r="D122" s="14"/>
      <c r="E122" s="23"/>
      <c r="F122" s="14">
        <f>+F94</f>
        <v>4349.01</v>
      </c>
      <c r="G122" s="23"/>
      <c r="H122" s="14">
        <f>+H95</f>
        <v>5039.01</v>
      </c>
      <c r="I122" s="23"/>
      <c r="J122" s="14">
        <f>+J97</f>
        <v>11794.07</v>
      </c>
      <c r="K122" s="23"/>
      <c r="L122" s="14">
        <f>+L99</f>
        <v>19682.07</v>
      </c>
      <c r="M122" s="23"/>
      <c r="N122" s="14"/>
      <c r="O122" s="23"/>
      <c r="P122" s="14">
        <f>+P103</f>
        <v>30545.209999999992</v>
      </c>
      <c r="Q122" s="23"/>
      <c r="R122" s="14">
        <f>+R94</f>
        <v>5999.01</v>
      </c>
      <c r="S122" s="23"/>
      <c r="T122" s="14">
        <f>+T99</f>
        <v>9066.23</v>
      </c>
      <c r="U122" s="23"/>
      <c r="V122" s="14">
        <f>+V94</f>
        <v>20604.939999999999</v>
      </c>
      <c r="W122" s="23"/>
      <c r="X122" s="14">
        <f>+X100</f>
        <v>9448.0300000000007</v>
      </c>
      <c r="Y122" s="23"/>
      <c r="Z122" s="14">
        <f>+Z98</f>
        <v>28108.019999999997</v>
      </c>
      <c r="AA122" s="23"/>
      <c r="AB122" s="14">
        <f>+AB96</f>
        <v>9389.52</v>
      </c>
      <c r="AC122" s="23"/>
      <c r="AD122" s="14">
        <f>+AD94</f>
        <v>79754.92</v>
      </c>
      <c r="AE122" s="23"/>
      <c r="AF122" s="14"/>
      <c r="AG122" s="23"/>
      <c r="AH122" s="14">
        <f>+AH100</f>
        <v>29266.28</v>
      </c>
      <c r="AI122" s="23"/>
      <c r="AJ122" s="14">
        <f>+AJ103</f>
        <v>45111.7</v>
      </c>
      <c r="AK122" s="23"/>
      <c r="AL122" s="14">
        <f>+AL97</f>
        <v>6320.6500000000005</v>
      </c>
      <c r="AM122" s="23"/>
      <c r="AN122" s="14">
        <f>+AN98</f>
        <v>8720.9500000000007</v>
      </c>
      <c r="AO122" s="23"/>
      <c r="AP122" s="14"/>
      <c r="AQ122" s="23"/>
      <c r="AR122" s="14">
        <f>+AR92</f>
        <v>1000</v>
      </c>
      <c r="AS122" s="23"/>
      <c r="AT122" s="14">
        <f>+AT94+AT99</f>
        <v>36383.54</v>
      </c>
      <c r="AU122" s="23"/>
      <c r="AV122" s="14">
        <f>+AV96+AV100</f>
        <v>12727.49</v>
      </c>
      <c r="AW122" s="23"/>
      <c r="AX122" s="14">
        <f>+AX100</f>
        <v>22472.109999999997</v>
      </c>
      <c r="AY122" s="23"/>
      <c r="AZ122" s="14">
        <f>+AZ94+AZ99</f>
        <v>26578.41</v>
      </c>
      <c r="BA122" s="23"/>
      <c r="BB122" s="14">
        <f>+BB94</f>
        <v>6419</v>
      </c>
      <c r="BC122" s="23"/>
      <c r="BD122" s="14"/>
      <c r="BE122" s="23"/>
      <c r="BF122" s="14">
        <f>+BF92+BF96</f>
        <v>4197</v>
      </c>
      <c r="BG122" s="23"/>
      <c r="BH122" s="14">
        <f>+BH94+BH100</f>
        <v>11512.42</v>
      </c>
      <c r="BI122" s="23"/>
      <c r="BJ122" s="14">
        <f>+BJ92+BJ97</f>
        <v>12343.17</v>
      </c>
      <c r="BK122" s="23"/>
      <c r="BL122" s="14"/>
      <c r="BM122" s="23"/>
      <c r="BN122" s="14">
        <f>+BN97</f>
        <v>10839.02</v>
      </c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</row>
    <row r="123" spans="1:92" x14ac:dyDescent="0.25">
      <c r="A123" s="42" t="s">
        <v>7</v>
      </c>
      <c r="B123" s="14"/>
      <c r="C123" s="23"/>
      <c r="D123" s="14"/>
      <c r="E123" s="23"/>
      <c r="F123" s="14">
        <f>+F113</f>
        <v>2955.01</v>
      </c>
      <c r="G123" s="23"/>
      <c r="H123" s="14"/>
      <c r="I123" s="23"/>
      <c r="J123" s="14"/>
      <c r="K123" s="23"/>
      <c r="L123" s="14">
        <f>+L113</f>
        <v>1954.59</v>
      </c>
      <c r="M123" s="23"/>
      <c r="N123" s="14"/>
      <c r="O123" s="23"/>
      <c r="P123" s="14">
        <f>+P113</f>
        <v>944.47</v>
      </c>
      <c r="Q123" s="23"/>
      <c r="R123" s="14"/>
      <c r="S123" s="23"/>
      <c r="T123" s="14">
        <f>+T113</f>
        <v>20000</v>
      </c>
      <c r="U123" s="23"/>
      <c r="V123" s="14">
        <f>+V113</f>
        <v>2319.9899999999998</v>
      </c>
      <c r="W123" s="23"/>
      <c r="X123" s="14"/>
      <c r="Y123" s="23"/>
      <c r="Z123" s="14"/>
      <c r="AA123" s="23"/>
      <c r="AB123" s="14"/>
      <c r="AC123" s="23"/>
      <c r="AD123" s="14">
        <f>+AD116</f>
        <v>17788.59</v>
      </c>
      <c r="AE123" s="23"/>
      <c r="AF123" s="14"/>
      <c r="AG123" s="23"/>
      <c r="AH123" s="14">
        <f>+AH116</f>
        <v>0</v>
      </c>
      <c r="AI123" s="23"/>
      <c r="AJ123" s="14">
        <f>+AJ113</f>
        <v>1099.01</v>
      </c>
      <c r="AK123" s="23"/>
      <c r="AL123" s="14">
        <f>+AL115</f>
        <v>8908.01</v>
      </c>
      <c r="AM123" s="23"/>
      <c r="AN123" s="14"/>
      <c r="AO123" s="23"/>
      <c r="AP123" s="14"/>
      <c r="AQ123" s="23"/>
      <c r="AR123" s="14"/>
      <c r="AS123" s="23"/>
      <c r="AT123" s="14"/>
      <c r="AU123" s="23"/>
      <c r="AV123" s="14"/>
      <c r="AW123" s="23"/>
      <c r="AX123" s="14"/>
      <c r="AY123" s="23"/>
      <c r="AZ123" s="14">
        <f>+AZ114</f>
        <v>1970</v>
      </c>
      <c r="BA123" s="23"/>
      <c r="BB123" s="14">
        <f>+BB116</f>
        <v>5718.01</v>
      </c>
      <c r="BC123" s="23"/>
      <c r="BD123" s="14"/>
      <c r="BE123" s="23"/>
      <c r="BF123" s="14"/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</row>
    <row r="124" spans="1:92" x14ac:dyDescent="0.25">
      <c r="A124" s="44" t="s">
        <v>9</v>
      </c>
      <c r="B124" s="144"/>
      <c r="C124" s="144"/>
      <c r="D124" s="144"/>
      <c r="E124" s="144"/>
      <c r="F124" s="144">
        <f>+F123+F122+F121</f>
        <v>101744.17</v>
      </c>
      <c r="G124" s="144"/>
      <c r="H124" s="144">
        <f>+H123+H122+H121</f>
        <v>53296.490000000005</v>
      </c>
      <c r="I124" s="144"/>
      <c r="J124" s="144">
        <f>+J123+J122+J121</f>
        <v>21375.1</v>
      </c>
      <c r="K124" s="144"/>
      <c r="L124" s="144">
        <f>+L121+L122+L123</f>
        <v>57853.499999999993</v>
      </c>
      <c r="M124" s="144"/>
      <c r="N124" s="144"/>
      <c r="O124" s="144"/>
      <c r="P124" s="144">
        <f>+P121+P122+P123</f>
        <v>94275.200000000012</v>
      </c>
      <c r="Q124" s="144"/>
      <c r="R124" s="144">
        <f>+R121+R122+R123</f>
        <v>57260.950000000019</v>
      </c>
      <c r="S124" s="144"/>
      <c r="T124" s="144">
        <f>+T121+T122+T123</f>
        <v>89715.74</v>
      </c>
      <c r="U124" s="144"/>
      <c r="V124" s="144">
        <f>+V121+V122+V123</f>
        <v>57457.21</v>
      </c>
      <c r="W124" s="144"/>
      <c r="X124" s="144">
        <f>+X121+X122+X123</f>
        <v>38975.050000000003</v>
      </c>
      <c r="Y124" s="144"/>
      <c r="Z124" s="144">
        <f>+Z121+Z122+Z123</f>
        <v>38384.119999999995</v>
      </c>
      <c r="AA124" s="144"/>
      <c r="AB124" s="144">
        <f>+AB121+AB122+AB123</f>
        <v>40811.179999999993</v>
      </c>
      <c r="AC124" s="144"/>
      <c r="AD124" s="144">
        <f>+AD121+AD122+AD123</f>
        <v>120137.11</v>
      </c>
      <c r="AE124" s="144"/>
      <c r="AF124" s="144"/>
      <c r="AG124" s="144"/>
      <c r="AH124" s="144">
        <f>+AH121+AH122+AH123</f>
        <v>133261.34</v>
      </c>
      <c r="AI124" s="144"/>
      <c r="AJ124" s="144">
        <f>+AJ121+AJ122+AJ123</f>
        <v>140323.56999999998</v>
      </c>
      <c r="AK124" s="144"/>
      <c r="AL124" s="144">
        <f>+AL121+AL122+AL123</f>
        <v>113132.21999999996</v>
      </c>
      <c r="AM124" s="144"/>
      <c r="AN124" s="144">
        <f>+AN121+AN122+AN123</f>
        <v>76779.009999999995</v>
      </c>
      <c r="AO124" s="144"/>
      <c r="AP124" s="144">
        <f>+AP121+AP122+AP123</f>
        <v>20000</v>
      </c>
      <c r="AQ124" s="27"/>
      <c r="AR124" s="144">
        <f>+AR121+AR122+AR123</f>
        <v>1000</v>
      </c>
      <c r="AS124" s="144"/>
      <c r="AT124" s="144">
        <f>+AT121+AT122+AT123</f>
        <v>68973.209999999992</v>
      </c>
      <c r="AU124" s="144"/>
      <c r="AV124" s="144">
        <f>+AV121+AV122+AV123</f>
        <v>50911.08</v>
      </c>
      <c r="AW124" s="144"/>
      <c r="AX124" s="144">
        <f>+AX121+AX122+AX123</f>
        <v>65924.390000000014</v>
      </c>
      <c r="AY124" s="144"/>
      <c r="AZ124" s="144">
        <f>+AZ121+AZ122+AZ123</f>
        <v>86860.22</v>
      </c>
      <c r="BA124" s="144"/>
      <c r="BB124" s="144">
        <f>+BB121+BB122+BB123</f>
        <v>111327.55999999995</v>
      </c>
      <c r="BC124" s="144"/>
      <c r="BD124" s="144">
        <f>+BD121+BD122+BD123</f>
        <v>20000</v>
      </c>
      <c r="BE124" s="144"/>
      <c r="BF124" s="144">
        <f>+BF121+BF122+BF123</f>
        <v>112844.56999999998</v>
      </c>
      <c r="BG124" s="144"/>
      <c r="BH124" s="144">
        <f>+BH121+BH122+BH123</f>
        <v>63855</v>
      </c>
      <c r="BI124" s="144"/>
      <c r="BJ124" s="144">
        <f>+BJ121+BJ122+BJ123</f>
        <v>38392.770000000004</v>
      </c>
      <c r="BK124" s="144"/>
      <c r="BL124" s="144">
        <f>+BL121+BL122+BL123</f>
        <v>8613.5300000000007</v>
      </c>
      <c r="BM124" s="144"/>
      <c r="BN124" s="144">
        <f>+BN121+BN122+BN123</f>
        <v>43361.789999999994</v>
      </c>
      <c r="BO124" s="144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</row>
    <row r="125" spans="1:92" x14ac:dyDescent="0.25">
      <c r="A125" s="44"/>
      <c r="B125" s="144"/>
      <c r="C125" s="144"/>
      <c r="D125" s="144"/>
      <c r="E125" s="144"/>
      <c r="F125" s="144">
        <f>94440.15+4349.01+2955.01</f>
        <v>101744.16999999998</v>
      </c>
      <c r="G125" s="144"/>
      <c r="H125" s="144">
        <f>48257.49+5039.02</f>
        <v>53296.509999999995</v>
      </c>
      <c r="I125" s="144"/>
      <c r="J125" s="144">
        <f>9581.03+11794.07</f>
        <v>21375.1</v>
      </c>
      <c r="K125" s="144"/>
      <c r="L125" s="144">
        <f>36216.84+19682.07+1954.59</f>
        <v>57853.499999999993</v>
      </c>
      <c r="M125" s="144"/>
      <c r="N125" s="144"/>
      <c r="O125" s="144"/>
      <c r="P125" s="144">
        <f>62785.54+30545.28+944.47</f>
        <v>94275.290000000008</v>
      </c>
      <c r="Q125" s="144"/>
      <c r="R125" s="144">
        <f>51261.94+5999.01</f>
        <v>57260.950000000004</v>
      </c>
      <c r="S125" s="144"/>
      <c r="T125" s="144">
        <f>60649.51+9066.23+20000</f>
        <v>89715.74</v>
      </c>
      <c r="U125" s="144"/>
      <c r="V125" s="144">
        <f>34532.27+20604.95+2320</f>
        <v>57457.22</v>
      </c>
      <c r="W125" s="144"/>
      <c r="X125" s="144">
        <f>29527.02+9448.05</f>
        <v>38975.07</v>
      </c>
      <c r="Y125" s="144"/>
      <c r="Z125" s="144">
        <f>10276.12+28108.06</f>
        <v>38384.18</v>
      </c>
      <c r="AA125" s="144"/>
      <c r="AB125" s="144">
        <f>31421.66+9389.52</f>
        <v>40811.18</v>
      </c>
      <c r="AC125" s="144"/>
      <c r="AD125" s="144">
        <f>22593.6+79754.92+17788.59</f>
        <v>120137.10999999999</v>
      </c>
      <c r="AE125" s="144"/>
      <c r="AF125" s="144"/>
      <c r="AG125" s="144"/>
      <c r="AH125" s="144">
        <f>103995.06+29266.28</f>
        <v>133261.34</v>
      </c>
      <c r="AI125" s="144"/>
      <c r="AJ125" s="144">
        <f>94112.84+45111.7+1099.01</f>
        <v>140323.54999999999</v>
      </c>
      <c r="AK125" s="144"/>
      <c r="AL125" s="144">
        <f>97903.54+8908.01+6320.65</f>
        <v>113132.19999999998</v>
      </c>
      <c r="AM125" s="144"/>
      <c r="AN125" s="144">
        <f>68058.07+8720.95</f>
        <v>76779.02</v>
      </c>
      <c r="AO125" s="144"/>
      <c r="AP125" s="144">
        <v>20000</v>
      </c>
      <c r="AQ125" s="27"/>
      <c r="AR125" s="144">
        <v>1000</v>
      </c>
      <c r="AS125" s="144"/>
      <c r="AT125" s="144">
        <f>28983.59+13233.53+3606.08+23150.04</f>
        <v>68973.240000000005</v>
      </c>
      <c r="AU125" s="144"/>
      <c r="AV125" s="144">
        <f>36007.71+9395.01+2175.88+3332.48</f>
        <v>50911.08</v>
      </c>
      <c r="AW125" s="144"/>
      <c r="AX125" s="144">
        <f>43372.84+22472.12+79.44</f>
        <v>65924.399999999994</v>
      </c>
      <c r="AY125" s="144"/>
      <c r="AZ125" s="144">
        <f>43259.06+21055.41+1970+15052.75+5523</f>
        <v>86860.22</v>
      </c>
      <c r="BA125" s="144"/>
      <c r="BB125" s="144">
        <f>99190.55+6419+5718.01</f>
        <v>111327.56</v>
      </c>
      <c r="BC125" s="144"/>
      <c r="BD125" s="144">
        <v>20000</v>
      </c>
      <c r="BE125" s="144"/>
      <c r="BF125" s="144">
        <f>29448.39+232+79199.2+3965</f>
        <v>112844.59</v>
      </c>
      <c r="BG125" s="144"/>
      <c r="BH125" s="144">
        <f>20484.65+1473.42+31857.91+10038.98</f>
        <v>63854.959999999992</v>
      </c>
      <c r="BI125" s="144"/>
      <c r="BJ125" s="144">
        <f>2699.96+3880.15+23349.59+8463.02</f>
        <v>38392.720000000001</v>
      </c>
      <c r="BK125" s="144"/>
      <c r="BL125" s="144">
        <v>8613.5300000000007</v>
      </c>
      <c r="BM125" s="144"/>
      <c r="BN125" s="144">
        <f>32522.77+10839.02</f>
        <v>43361.79</v>
      </c>
      <c r="BO125" s="144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</row>
    <row r="126" spans="1:92" x14ac:dyDescent="0.25">
      <c r="A126" s="44" t="s">
        <v>3</v>
      </c>
      <c r="B126" s="145"/>
      <c r="C126" s="145"/>
      <c r="D126" s="145"/>
      <c r="E126" s="145"/>
      <c r="F126" s="145">
        <f>+F124-F125</f>
        <v>0</v>
      </c>
      <c r="G126" s="145"/>
      <c r="H126" s="145">
        <f>+H124-H125</f>
        <v>-1.9999999989522621E-2</v>
      </c>
      <c r="I126" s="145"/>
      <c r="J126" s="145">
        <f>+J124-J125</f>
        <v>0</v>
      </c>
      <c r="K126" s="145"/>
      <c r="L126" s="145">
        <f>+L124-L125</f>
        <v>0</v>
      </c>
      <c r="M126" s="145"/>
      <c r="N126" s="145"/>
      <c r="O126" s="145"/>
      <c r="P126" s="145">
        <f>+P124-P125</f>
        <v>-8.999999999650754E-2</v>
      </c>
      <c r="Q126" s="145"/>
      <c r="R126" s="145">
        <f>+R124-R125</f>
        <v>0</v>
      </c>
      <c r="S126" s="145"/>
      <c r="T126" s="145">
        <f>+T124-T125</f>
        <v>0</v>
      </c>
      <c r="U126" s="145"/>
      <c r="V126" s="145">
        <f>+V124-V125</f>
        <v>-1.0000000002037268E-2</v>
      </c>
      <c r="W126" s="145"/>
      <c r="X126" s="145">
        <f>+X124-X125</f>
        <v>-1.9999999996798579E-2</v>
      </c>
      <c r="Y126" s="145"/>
      <c r="Z126" s="145">
        <f>+Z124-Z125</f>
        <v>-6.0000000004947651E-2</v>
      </c>
      <c r="AA126" s="145"/>
      <c r="AB126" s="145">
        <f>+AB124-AB125</f>
        <v>0</v>
      </c>
      <c r="AC126" s="145"/>
      <c r="AD126" s="145">
        <f>+AD124-AD125</f>
        <v>0</v>
      </c>
      <c r="AE126" s="145"/>
      <c r="AF126" s="145"/>
      <c r="AG126" s="145"/>
      <c r="AH126" s="145">
        <f>+AH124-AH125</f>
        <v>0</v>
      </c>
      <c r="AI126" s="145"/>
      <c r="AJ126" s="145">
        <f>+AJ124-AJ125</f>
        <v>1.9999999989522621E-2</v>
      </c>
      <c r="AK126" s="145"/>
      <c r="AL126" s="145">
        <f>+AL124-AL125</f>
        <v>1.9999999974970706E-2</v>
      </c>
      <c r="AM126" s="145"/>
      <c r="AN126" s="145">
        <f>+AN124-AN125</f>
        <v>-1.0000000009313226E-2</v>
      </c>
      <c r="AO126" s="145"/>
      <c r="AP126" s="145">
        <f>+AP124-AP125</f>
        <v>0</v>
      </c>
      <c r="AQ126" s="28"/>
      <c r="AR126" s="145">
        <f>+AR124-AR125</f>
        <v>0</v>
      </c>
      <c r="AS126" s="145"/>
      <c r="AT126" s="145">
        <f>+AT124-AT125</f>
        <v>-3.0000000013387762E-2</v>
      </c>
      <c r="AU126" s="145"/>
      <c r="AV126" s="145">
        <f>+AV124-AV125</f>
        <v>0</v>
      </c>
      <c r="AW126" s="145"/>
      <c r="AX126" s="145">
        <f>+AX124-AX125</f>
        <v>-9.9999999802093953E-3</v>
      </c>
      <c r="AY126" s="145"/>
      <c r="AZ126" s="145">
        <f>+AZ124-AZ125</f>
        <v>0</v>
      </c>
      <c r="BA126" s="145"/>
      <c r="BB126" s="145">
        <f>+BB124-BB125</f>
        <v>0</v>
      </c>
      <c r="BC126" s="145"/>
      <c r="BD126" s="145">
        <f>+BD124-BD125</f>
        <v>0</v>
      </c>
      <c r="BE126" s="145"/>
      <c r="BF126" s="145">
        <f>+BF124-BF125</f>
        <v>-2.0000000018626451E-2</v>
      </c>
      <c r="BG126" s="145"/>
      <c r="BH126" s="145">
        <f>+BH124-BH125</f>
        <v>4.0000000008149073E-2</v>
      </c>
      <c r="BI126" s="145"/>
      <c r="BJ126" s="145">
        <f>+BJ124-BJ125</f>
        <v>5.0000000002910383E-2</v>
      </c>
      <c r="BK126" s="145"/>
      <c r="BL126" s="145">
        <f>+BL124-BL125</f>
        <v>0</v>
      </c>
      <c r="BM126" s="145"/>
      <c r="BN126" s="145">
        <f>+BN124-BN125</f>
        <v>0</v>
      </c>
      <c r="BO126" s="145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</row>
    <row r="127" spans="1:92" x14ac:dyDescent="0.25">
      <c r="A127" s="48"/>
      <c r="B127" s="18"/>
      <c r="C127" s="59"/>
      <c r="D127" s="18"/>
      <c r="E127" s="59"/>
      <c r="F127" s="18"/>
      <c r="G127" s="59"/>
      <c r="H127" s="18"/>
      <c r="I127" s="59"/>
      <c r="J127" s="18"/>
      <c r="K127" s="59"/>
      <c r="L127" s="18"/>
      <c r="M127" s="59"/>
      <c r="N127" s="18"/>
      <c r="O127" s="59"/>
      <c r="P127" s="18"/>
      <c r="Q127" s="59"/>
      <c r="R127" s="18"/>
      <c r="S127" s="59"/>
      <c r="T127" s="18"/>
      <c r="U127" s="59"/>
      <c r="V127" s="18"/>
      <c r="W127" s="59"/>
      <c r="X127" s="18"/>
      <c r="Y127" s="59"/>
      <c r="Z127" s="18"/>
      <c r="AA127" s="59"/>
      <c r="AB127" s="18"/>
      <c r="AC127" s="59"/>
      <c r="AD127" s="18"/>
      <c r="AE127" s="59"/>
      <c r="AF127" s="18"/>
      <c r="AG127" s="59"/>
      <c r="AH127" s="18"/>
      <c r="AI127" s="59"/>
      <c r="AJ127" s="18"/>
      <c r="AK127" s="59"/>
      <c r="AL127" s="18"/>
      <c r="AM127" s="59"/>
      <c r="AN127" s="18"/>
      <c r="AO127" s="59"/>
      <c r="AP127" s="18"/>
      <c r="AQ127" s="56"/>
      <c r="AR127" s="18"/>
      <c r="AS127" s="59"/>
      <c r="AT127" s="18"/>
      <c r="AU127" s="59"/>
      <c r="AV127" s="18"/>
      <c r="AW127" s="59"/>
      <c r="AX127" s="18"/>
      <c r="AY127" s="59"/>
      <c r="AZ127" s="18"/>
      <c r="BA127" s="59"/>
      <c r="BB127" s="18"/>
      <c r="BC127" s="59"/>
      <c r="BD127" s="18"/>
      <c r="BE127" s="59"/>
      <c r="BF127" s="18"/>
      <c r="BG127" s="59"/>
      <c r="BH127" s="18"/>
      <c r="BI127" s="59"/>
      <c r="BJ127" s="18"/>
      <c r="BK127" s="59"/>
      <c r="BL127" s="18"/>
      <c r="BM127" s="59"/>
      <c r="BN127" s="18"/>
      <c r="BO127" s="59"/>
      <c r="BP127" s="6"/>
      <c r="BQ127" s="56"/>
      <c r="BR127" s="6"/>
      <c r="BS127" s="56"/>
      <c r="BT127" s="6"/>
      <c r="BU127" s="56"/>
      <c r="BV127" s="6"/>
      <c r="BW127" s="56"/>
      <c r="BX127" s="6"/>
      <c r="BY127" s="56"/>
      <c r="BZ127" s="6"/>
      <c r="CA127" s="56"/>
      <c r="CB127" s="6"/>
      <c r="CC127" s="56"/>
      <c r="CD127" s="6"/>
      <c r="CE127" s="56"/>
      <c r="CF127" s="6"/>
      <c r="CG127" s="56"/>
      <c r="CH127" s="6"/>
      <c r="CI127" s="56"/>
      <c r="CJ127" s="6"/>
      <c r="CK127" s="56"/>
      <c r="CL127" s="6"/>
      <c r="CM127" s="56"/>
      <c r="CN127" s="6"/>
    </row>
    <row r="128" spans="1:92" x14ac:dyDescent="0.25">
      <c r="A128" s="48"/>
      <c r="B128" s="18"/>
      <c r="C128" s="59"/>
      <c r="D128" s="18"/>
      <c r="E128" s="59"/>
      <c r="F128" s="18"/>
      <c r="G128" s="59"/>
      <c r="H128" s="18"/>
      <c r="I128" s="59"/>
      <c r="J128" s="18"/>
      <c r="K128" s="59"/>
      <c r="L128" s="18"/>
      <c r="M128" s="59"/>
      <c r="N128" s="18"/>
      <c r="O128" s="59"/>
      <c r="P128" s="18"/>
      <c r="Q128" s="59"/>
      <c r="R128" s="18"/>
      <c r="S128" s="59"/>
      <c r="T128" s="18"/>
      <c r="U128" s="59"/>
      <c r="V128" s="18"/>
      <c r="W128" s="59"/>
      <c r="X128" s="18"/>
      <c r="Y128" s="59"/>
      <c r="Z128" s="18"/>
      <c r="AA128" s="59"/>
      <c r="AB128" s="18"/>
      <c r="AC128" s="59"/>
      <c r="AD128" s="18"/>
      <c r="AE128" s="59"/>
      <c r="AF128" s="18"/>
      <c r="AG128" s="59"/>
      <c r="AH128" s="18"/>
      <c r="AI128" s="59"/>
      <c r="AJ128" s="18"/>
      <c r="AK128" s="59"/>
      <c r="AL128" s="18"/>
      <c r="AM128" s="59"/>
      <c r="AN128" s="18"/>
      <c r="AO128" s="59"/>
      <c r="AP128" s="18"/>
      <c r="AQ128" s="56"/>
      <c r="AR128" s="18"/>
      <c r="AS128" s="59"/>
      <c r="AT128" s="18"/>
      <c r="AU128" s="59"/>
      <c r="AV128" s="18"/>
      <c r="AW128" s="59"/>
      <c r="AX128" s="18"/>
      <c r="AY128" s="59"/>
      <c r="AZ128" s="18"/>
      <c r="BA128" s="59"/>
      <c r="BB128" s="18"/>
      <c r="BC128" s="59"/>
      <c r="BD128" s="18"/>
      <c r="BE128" s="59"/>
      <c r="BF128" s="18"/>
      <c r="BG128" s="59"/>
      <c r="BH128" s="18"/>
      <c r="BI128" s="59"/>
      <c r="BJ128" s="18"/>
      <c r="BK128" s="59"/>
      <c r="BL128" s="18"/>
      <c r="BM128" s="59"/>
      <c r="BN128" s="18"/>
      <c r="BO128" s="59"/>
      <c r="BP128" s="6"/>
      <c r="BQ128" s="56"/>
      <c r="BR128" s="6"/>
      <c r="BS128" s="56"/>
      <c r="BT128" s="6"/>
      <c r="BU128" s="56"/>
      <c r="BV128" s="6"/>
      <c r="BW128" s="56"/>
      <c r="BX128" s="6"/>
      <c r="BY128" s="56"/>
      <c r="BZ128" s="6"/>
      <c r="CA128" s="56"/>
      <c r="CB128" s="6"/>
      <c r="CC128" s="56"/>
      <c r="CD128" s="6"/>
      <c r="CE128" s="56"/>
      <c r="CF128" s="6"/>
      <c r="CG128" s="56"/>
      <c r="CH128" s="6"/>
      <c r="CI128" s="56"/>
      <c r="CJ128" s="6"/>
      <c r="CK128" s="56"/>
      <c r="CL128" s="6"/>
      <c r="CM128" s="56"/>
      <c r="CN128" s="6"/>
    </row>
    <row r="129" spans="1:92" x14ac:dyDescent="0.25">
      <c r="A129" s="37" t="s">
        <v>10</v>
      </c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20"/>
      <c r="AA129" s="118"/>
      <c r="AB129" s="118"/>
      <c r="AC129" s="118"/>
      <c r="AD129" s="118"/>
      <c r="AE129" s="118"/>
      <c r="AF129" s="118"/>
      <c r="AG129" s="119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</row>
    <row r="130" spans="1:92" x14ac:dyDescent="0.25">
      <c r="A130" s="40"/>
      <c r="B130" s="22"/>
      <c r="C130" s="22"/>
      <c r="D130" s="22"/>
      <c r="E130" s="22"/>
      <c r="F130" s="22">
        <v>42795</v>
      </c>
      <c r="G130" s="22"/>
      <c r="H130" s="22">
        <v>42796</v>
      </c>
      <c r="I130" s="22"/>
      <c r="J130" s="22">
        <v>42797</v>
      </c>
      <c r="K130" s="22"/>
      <c r="L130" s="22">
        <v>42798</v>
      </c>
      <c r="M130" s="22"/>
      <c r="N130" s="22">
        <v>42771</v>
      </c>
      <c r="O130" s="22"/>
      <c r="P130" s="22">
        <v>42772</v>
      </c>
      <c r="Q130" s="22"/>
      <c r="R130" s="22">
        <v>42773</v>
      </c>
      <c r="S130" s="22"/>
      <c r="T130" s="22">
        <v>42774</v>
      </c>
      <c r="U130" s="22"/>
      <c r="V130" s="22">
        <v>42775</v>
      </c>
      <c r="W130" s="22"/>
      <c r="X130" s="22">
        <v>42776</v>
      </c>
      <c r="Y130" s="22"/>
      <c r="Z130" s="22">
        <v>42805</v>
      </c>
      <c r="AA130" s="22"/>
      <c r="AB130" s="22">
        <v>42806</v>
      </c>
      <c r="AC130" s="22"/>
      <c r="AD130" s="22">
        <v>42807</v>
      </c>
      <c r="AE130" s="22"/>
      <c r="AF130" s="22"/>
      <c r="AG130" s="20"/>
      <c r="AH130" s="22">
        <v>42809</v>
      </c>
      <c r="AI130" s="22"/>
      <c r="AJ130" s="22">
        <v>42810</v>
      </c>
      <c r="AK130" s="22"/>
      <c r="AL130" s="22">
        <v>42811</v>
      </c>
      <c r="AM130" s="22"/>
      <c r="AN130" s="22">
        <v>42812</v>
      </c>
      <c r="AO130" s="22"/>
      <c r="AP130" s="22">
        <v>42813</v>
      </c>
      <c r="AQ130" s="22"/>
      <c r="AR130" s="22">
        <v>42814</v>
      </c>
      <c r="AS130" s="22"/>
      <c r="AT130" s="22">
        <v>42815</v>
      </c>
      <c r="AU130" s="22"/>
      <c r="AV130" s="22">
        <v>42816</v>
      </c>
      <c r="AW130" s="22"/>
      <c r="AX130" s="22">
        <v>42817</v>
      </c>
      <c r="AY130" s="22"/>
      <c r="AZ130" s="22">
        <v>42818</v>
      </c>
      <c r="BA130" s="22"/>
      <c r="BB130" s="22">
        <v>42819</v>
      </c>
      <c r="BC130" s="22"/>
      <c r="BD130" s="22">
        <v>42820</v>
      </c>
      <c r="BE130" s="22"/>
      <c r="BF130" s="22">
        <v>42821</v>
      </c>
      <c r="BG130" s="22"/>
      <c r="BH130" s="22">
        <v>42822</v>
      </c>
      <c r="BI130" s="22"/>
      <c r="BJ130" s="22">
        <v>42823</v>
      </c>
      <c r="BK130" s="22"/>
      <c r="BL130" s="22">
        <v>42824</v>
      </c>
      <c r="BM130" s="22"/>
      <c r="BN130" s="22">
        <v>42825</v>
      </c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</row>
    <row r="131" spans="1:92" x14ac:dyDescent="0.25">
      <c r="A131" s="45"/>
      <c r="B131" s="29"/>
      <c r="C131" s="24"/>
      <c r="D131" s="29"/>
      <c r="E131" s="24"/>
      <c r="F131" s="29">
        <v>15000</v>
      </c>
      <c r="G131" s="24" t="s">
        <v>2566</v>
      </c>
      <c r="H131" s="29">
        <v>100000</v>
      </c>
      <c r="I131" s="24" t="s">
        <v>2615</v>
      </c>
      <c r="J131" s="29">
        <v>209500</v>
      </c>
      <c r="K131" s="24" t="s">
        <v>2670</v>
      </c>
      <c r="L131" s="29"/>
      <c r="M131" s="24"/>
      <c r="N131" s="29"/>
      <c r="O131" s="24"/>
      <c r="P131" s="29">
        <v>97521.600000000006</v>
      </c>
      <c r="Q131" s="24" t="s">
        <v>2765</v>
      </c>
      <c r="R131" s="29">
        <v>100000</v>
      </c>
      <c r="S131" s="24" t="s">
        <v>2828</v>
      </c>
      <c r="T131" s="29">
        <v>51493.760000000002</v>
      </c>
      <c r="U131" s="24" t="s">
        <v>2879</v>
      </c>
      <c r="V131" s="29">
        <v>234300</v>
      </c>
      <c r="W131" s="24" t="s">
        <v>2932</v>
      </c>
      <c r="X131" s="29">
        <v>30000</v>
      </c>
      <c r="Y131" s="24" t="s">
        <v>2981</v>
      </c>
      <c r="Z131" s="29">
        <v>20000</v>
      </c>
      <c r="AA131" s="24" t="s">
        <v>3049</v>
      </c>
      <c r="AB131" s="29">
        <v>60000</v>
      </c>
      <c r="AC131" s="85" t="s">
        <v>3091</v>
      </c>
      <c r="AD131" s="29">
        <v>160000</v>
      </c>
      <c r="AE131" s="85" t="s">
        <v>3138</v>
      </c>
      <c r="AF131" s="29"/>
      <c r="AG131" s="24"/>
      <c r="AH131" s="29">
        <v>203071.6</v>
      </c>
      <c r="AI131" s="85" t="s">
        <v>3195</v>
      </c>
      <c r="AJ131" s="29">
        <v>443</v>
      </c>
      <c r="AK131" s="24" t="s">
        <v>3306</v>
      </c>
      <c r="AL131" s="29">
        <v>38000</v>
      </c>
      <c r="AM131" s="24" t="s">
        <v>3315</v>
      </c>
      <c r="AN131" s="29">
        <v>3250</v>
      </c>
      <c r="AO131" s="24" t="s">
        <v>3389</v>
      </c>
      <c r="AP131" s="29"/>
      <c r="AQ131" s="24"/>
      <c r="AR131" s="104"/>
      <c r="AS131" s="72"/>
      <c r="AT131" s="29">
        <v>380000</v>
      </c>
      <c r="AU131" s="24" t="s">
        <v>3412</v>
      </c>
      <c r="AV131" s="29">
        <v>200000</v>
      </c>
      <c r="AW131" s="24" t="s">
        <v>3452</v>
      </c>
      <c r="AX131" s="29">
        <v>20000</v>
      </c>
      <c r="AY131" s="24" t="s">
        <v>3518</v>
      </c>
      <c r="AZ131" s="29">
        <v>128035.31</v>
      </c>
      <c r="BA131" s="24" t="s">
        <v>3565</v>
      </c>
      <c r="BB131" s="29">
        <v>250000</v>
      </c>
      <c r="BC131" s="24" t="s">
        <v>3604</v>
      </c>
      <c r="BD131" s="29"/>
      <c r="BE131" s="24"/>
      <c r="BF131" s="29">
        <v>43500</v>
      </c>
      <c r="BG131" s="24" t="s">
        <v>3719</v>
      </c>
      <c r="BH131" s="29">
        <v>10000</v>
      </c>
      <c r="BI131" s="24" t="s">
        <v>3670</v>
      </c>
      <c r="BJ131" s="29">
        <v>15789.75</v>
      </c>
      <c r="BK131" s="24" t="s">
        <v>3681</v>
      </c>
      <c r="BL131" s="29">
        <v>216394.55</v>
      </c>
      <c r="BM131" s="24" t="s">
        <v>3695</v>
      </c>
      <c r="BN131" s="29">
        <v>343500</v>
      </c>
      <c r="BO131" s="158" t="s">
        <v>3848</v>
      </c>
      <c r="BP131" s="29"/>
      <c r="BQ131" s="24"/>
      <c r="BR131" s="29"/>
      <c r="BS131" s="24"/>
      <c r="BT131" s="29"/>
      <c r="BU131" s="24"/>
      <c r="BV131" s="29"/>
      <c r="BW131" s="24"/>
      <c r="BX131" s="29"/>
      <c r="BY131" s="24"/>
      <c r="BZ131" s="29"/>
      <c r="CA131" s="24"/>
      <c r="CB131" s="29"/>
      <c r="CC131" s="24"/>
      <c r="CD131" s="29"/>
      <c r="CE131" s="24"/>
      <c r="CF131" s="29"/>
      <c r="CG131" s="24"/>
      <c r="CH131" s="29"/>
      <c r="CI131" s="24"/>
      <c r="CJ131" s="29"/>
      <c r="CK131" s="24"/>
      <c r="CL131" s="29"/>
      <c r="CM131" s="24"/>
      <c r="CN131" s="29"/>
    </row>
    <row r="132" spans="1:92" x14ac:dyDescent="0.25">
      <c r="A132" s="45"/>
      <c r="B132" s="29"/>
      <c r="C132" s="24"/>
      <c r="D132" s="29"/>
      <c r="E132" s="24"/>
      <c r="F132" s="29">
        <v>4640</v>
      </c>
      <c r="G132" s="24" t="s">
        <v>2569</v>
      </c>
      <c r="H132" s="29">
        <v>95500</v>
      </c>
      <c r="I132" s="24" t="s">
        <v>2619</v>
      </c>
      <c r="J132" s="29">
        <v>20000</v>
      </c>
      <c r="K132" s="24" t="s">
        <v>2671</v>
      </c>
      <c r="L132" s="29"/>
      <c r="M132" s="24"/>
      <c r="N132" s="29"/>
      <c r="O132" s="24"/>
      <c r="P132" s="29">
        <v>57265</v>
      </c>
      <c r="Q132" s="24" t="s">
        <v>2766</v>
      </c>
      <c r="R132" s="29">
        <v>81033</v>
      </c>
      <c r="S132" s="24" t="s">
        <v>2829</v>
      </c>
      <c r="T132" s="29">
        <v>252468.58</v>
      </c>
      <c r="U132" s="24" t="s">
        <v>2880</v>
      </c>
      <c r="V132" s="29">
        <v>65000</v>
      </c>
      <c r="W132" s="24" t="s">
        <v>2934</v>
      </c>
      <c r="X132" s="29">
        <v>92594.15</v>
      </c>
      <c r="Y132" s="24" t="s">
        <v>2989</v>
      </c>
      <c r="Z132" s="29">
        <v>100000</v>
      </c>
      <c r="AA132" s="24" t="s">
        <v>3051</v>
      </c>
      <c r="AB132" s="29">
        <v>47920</v>
      </c>
      <c r="AC132" s="85" t="s">
        <v>3092</v>
      </c>
      <c r="AD132" s="29">
        <v>275000</v>
      </c>
      <c r="AE132" s="85" t="s">
        <v>3139</v>
      </c>
      <c r="AF132" s="29"/>
      <c r="AG132" s="24"/>
      <c r="AH132" s="29">
        <v>290000</v>
      </c>
      <c r="AI132" s="85" t="s">
        <v>3198</v>
      </c>
      <c r="AJ132" s="29">
        <v>85000</v>
      </c>
      <c r="AK132" s="24" t="s">
        <v>3249</v>
      </c>
      <c r="AL132" s="29">
        <v>21457.37</v>
      </c>
      <c r="AM132" s="24" t="s">
        <v>3316</v>
      </c>
      <c r="AN132" s="94"/>
      <c r="AO132" s="24"/>
      <c r="AP132" s="29"/>
      <c r="AQ132" s="24"/>
      <c r="AR132" s="104"/>
      <c r="AS132" s="72"/>
      <c r="AT132" s="29">
        <v>205800</v>
      </c>
      <c r="AU132" s="24" t="s">
        <v>3413</v>
      </c>
      <c r="AV132" s="29">
        <v>20000</v>
      </c>
      <c r="AW132" s="24" t="s">
        <v>3453</v>
      </c>
      <c r="AX132" s="29">
        <v>87000</v>
      </c>
      <c r="AY132" s="24" t="s">
        <v>3520</v>
      </c>
      <c r="AZ132" s="96">
        <v>58841.97</v>
      </c>
      <c r="BA132" s="15" t="s">
        <v>3567</v>
      </c>
      <c r="BB132" s="29">
        <v>290000</v>
      </c>
      <c r="BC132" s="24" t="s">
        <v>3605</v>
      </c>
      <c r="BD132" s="29"/>
      <c r="BE132" s="24"/>
      <c r="BF132" s="29">
        <v>5000</v>
      </c>
      <c r="BG132" s="24" t="s">
        <v>3720</v>
      </c>
      <c r="BH132" s="29">
        <v>9774.25</v>
      </c>
      <c r="BI132" s="24" t="s">
        <v>3674</v>
      </c>
      <c r="BJ132" s="29">
        <v>343500</v>
      </c>
      <c r="BK132" s="24" t="s">
        <v>3682</v>
      </c>
      <c r="BL132" s="29">
        <v>1099</v>
      </c>
      <c r="BM132" s="24" t="s">
        <v>3699</v>
      </c>
      <c r="BN132" s="29">
        <v>55000</v>
      </c>
      <c r="BO132" s="158" t="s">
        <v>3849</v>
      </c>
      <c r="BP132" s="29"/>
      <c r="BQ132" s="24"/>
      <c r="BR132" s="29"/>
      <c r="BS132" s="24"/>
      <c r="BT132" s="29"/>
      <c r="BU132" s="24"/>
      <c r="BV132" s="29"/>
      <c r="BW132" s="24"/>
      <c r="BX132" s="29"/>
      <c r="BY132" s="24"/>
      <c r="BZ132" s="29"/>
      <c r="CA132" s="24"/>
      <c r="CB132" s="29"/>
      <c r="CC132" s="24"/>
      <c r="CD132" s="29"/>
      <c r="CE132" s="24"/>
      <c r="CF132" s="29"/>
      <c r="CG132" s="24"/>
      <c r="CH132" s="29"/>
      <c r="CI132" s="24"/>
      <c r="CJ132" s="29"/>
      <c r="CK132" s="24"/>
      <c r="CL132" s="29"/>
      <c r="CM132" s="24"/>
      <c r="CN132" s="29"/>
    </row>
    <row r="133" spans="1:92" x14ac:dyDescent="0.25">
      <c r="A133" s="45"/>
      <c r="B133" s="29"/>
      <c r="C133" s="24"/>
      <c r="D133" s="96"/>
      <c r="E133" s="15"/>
      <c r="F133" s="29">
        <v>150</v>
      </c>
      <c r="G133" s="24" t="s">
        <v>2570</v>
      </c>
      <c r="H133" s="29">
        <v>100000</v>
      </c>
      <c r="I133" s="24" t="s">
        <v>2620</v>
      </c>
      <c r="J133" s="29">
        <v>14698.78</v>
      </c>
      <c r="K133" s="24" t="s">
        <v>2675</v>
      </c>
      <c r="L133" s="29"/>
      <c r="M133" s="24"/>
      <c r="N133" s="29"/>
      <c r="O133" s="24"/>
      <c r="P133" s="29">
        <v>643400</v>
      </c>
      <c r="Q133" s="24" t="s">
        <v>2774</v>
      </c>
      <c r="R133" s="29">
        <v>210000</v>
      </c>
      <c r="S133" s="24" t="s">
        <v>2830</v>
      </c>
      <c r="T133" s="29">
        <v>5000</v>
      </c>
      <c r="U133" s="24" t="s">
        <v>2881</v>
      </c>
      <c r="V133" s="29">
        <v>2914.84</v>
      </c>
      <c r="W133" s="24" t="s">
        <v>2937</v>
      </c>
      <c r="X133" s="29">
        <v>200000</v>
      </c>
      <c r="Y133" s="24" t="s">
        <v>2990</v>
      </c>
      <c r="Z133" s="29">
        <v>20000</v>
      </c>
      <c r="AA133" s="24" t="s">
        <v>3052</v>
      </c>
      <c r="AB133" s="29">
        <v>10932.88</v>
      </c>
      <c r="AC133" s="85" t="s">
        <v>3097</v>
      </c>
      <c r="AD133" s="29">
        <v>4200</v>
      </c>
      <c r="AE133" s="85" t="s">
        <v>3144</v>
      </c>
      <c r="AF133" s="29"/>
      <c r="AG133" s="24"/>
      <c r="AH133" s="29">
        <v>130000</v>
      </c>
      <c r="AI133" s="85" t="s">
        <v>3201</v>
      </c>
      <c r="AJ133" s="29">
        <v>260000</v>
      </c>
      <c r="AK133" s="24" t="s">
        <v>3250</v>
      </c>
      <c r="AL133" s="29">
        <v>343500</v>
      </c>
      <c r="AM133" s="24" t="s">
        <v>3317</v>
      </c>
      <c r="AN133" s="29"/>
      <c r="AO133" s="24"/>
      <c r="AP133" s="29"/>
      <c r="AQ133" s="24"/>
      <c r="AR133" s="29"/>
      <c r="AS133" s="24"/>
      <c r="AT133" s="29">
        <v>248200</v>
      </c>
      <c r="AU133" s="24" t="s">
        <v>3416</v>
      </c>
      <c r="AV133" s="29">
        <v>150000</v>
      </c>
      <c r="AW133" s="24" t="s">
        <v>3461</v>
      </c>
      <c r="AX133" s="29">
        <v>49806.44</v>
      </c>
      <c r="AY133" s="24" t="s">
        <v>3522</v>
      </c>
      <c r="AZ133" s="29">
        <v>70000</v>
      </c>
      <c r="BA133" s="24" t="s">
        <v>3568</v>
      </c>
      <c r="BB133" s="97">
        <f>+BB132+BB131</f>
        <v>540000</v>
      </c>
      <c r="BC133" s="24"/>
      <c r="BD133" s="29"/>
      <c r="BE133" s="24"/>
      <c r="BF133" s="29">
        <v>35000</v>
      </c>
      <c r="BG133" s="24" t="s">
        <v>3721</v>
      </c>
      <c r="BH133" s="29">
        <v>1099.01</v>
      </c>
      <c r="BI133" s="24" t="s">
        <v>3676</v>
      </c>
      <c r="BJ133" s="29">
        <v>15819.63</v>
      </c>
      <c r="BK133" s="24" t="s">
        <v>3683</v>
      </c>
      <c r="BL133" s="29">
        <v>5806</v>
      </c>
      <c r="BM133" s="24" t="s">
        <v>3700</v>
      </c>
      <c r="BN133" s="29">
        <v>643400</v>
      </c>
      <c r="BO133" s="158" t="s">
        <v>3853</v>
      </c>
      <c r="BP133" s="29"/>
      <c r="BQ133" s="24"/>
      <c r="BR133" s="29"/>
      <c r="BS133" s="24"/>
      <c r="BT133" s="29"/>
      <c r="BU133" s="24"/>
      <c r="BV133" s="29"/>
      <c r="BW133" s="24"/>
      <c r="BX133" s="29"/>
      <c r="BY133" s="24"/>
      <c r="BZ133" s="29"/>
      <c r="CA133" s="24"/>
      <c r="CB133" s="29"/>
      <c r="CC133" s="24"/>
      <c r="CD133" s="29"/>
      <c r="CE133" s="24"/>
      <c r="CF133" s="29"/>
      <c r="CG133" s="24"/>
      <c r="CH133" s="29"/>
      <c r="CI133" s="24"/>
      <c r="CJ133" s="29"/>
      <c r="CK133" s="24"/>
      <c r="CL133" s="29"/>
      <c r="CM133" s="24"/>
      <c r="CN133" s="29"/>
    </row>
    <row r="134" spans="1:92" x14ac:dyDescent="0.25">
      <c r="A134" s="45"/>
      <c r="B134" s="29"/>
      <c r="C134" s="24"/>
      <c r="D134" s="29"/>
      <c r="E134" s="24"/>
      <c r="F134" s="29">
        <v>209200</v>
      </c>
      <c r="G134" s="24" t="s">
        <v>2572</v>
      </c>
      <c r="H134" s="29">
        <v>352316.99</v>
      </c>
      <c r="I134" s="24" t="s">
        <v>2622</v>
      </c>
      <c r="J134" s="29">
        <v>193500.22</v>
      </c>
      <c r="K134" s="24" t="s">
        <v>2676</v>
      </c>
      <c r="L134" s="29"/>
      <c r="M134" s="24"/>
      <c r="N134" s="29"/>
      <c r="O134" s="24"/>
      <c r="P134" s="29">
        <v>47613.31</v>
      </c>
      <c r="Q134" s="24" t="s">
        <v>2775</v>
      </c>
      <c r="R134" s="29">
        <v>93500</v>
      </c>
      <c r="S134" s="24" t="s">
        <v>2831</v>
      </c>
      <c r="T134" s="29">
        <v>40000</v>
      </c>
      <c r="U134" s="24" t="s">
        <v>2885</v>
      </c>
      <c r="V134" s="29">
        <v>31080</v>
      </c>
      <c r="W134" s="24" t="s">
        <v>2939</v>
      </c>
      <c r="X134" s="29">
        <v>20000</v>
      </c>
      <c r="Y134" s="24" t="s">
        <v>2992</v>
      </c>
      <c r="Z134" s="29">
        <v>5000</v>
      </c>
      <c r="AA134" s="24" t="s">
        <v>3053</v>
      </c>
      <c r="AB134" s="29">
        <v>184000</v>
      </c>
      <c r="AC134" s="85" t="s">
        <v>3098</v>
      </c>
      <c r="AD134" s="29">
        <v>5300</v>
      </c>
      <c r="AE134" s="85" t="s">
        <v>3145</v>
      </c>
      <c r="AF134" s="29"/>
      <c r="AG134" s="24"/>
      <c r="AH134" s="29">
        <v>460000</v>
      </c>
      <c r="AI134" s="85" t="s">
        <v>3203</v>
      </c>
      <c r="AJ134" s="29">
        <v>200000</v>
      </c>
      <c r="AK134" s="24" t="s">
        <v>3251</v>
      </c>
      <c r="AL134" s="29">
        <v>40693</v>
      </c>
      <c r="AM134" s="24" t="s">
        <v>3318</v>
      </c>
      <c r="AN134" s="29"/>
      <c r="AO134" s="24"/>
      <c r="AP134" s="30"/>
      <c r="AQ134" s="26"/>
      <c r="AR134" s="29"/>
      <c r="AS134" s="24"/>
      <c r="AT134" s="29">
        <v>160000</v>
      </c>
      <c r="AU134" s="24" t="s">
        <v>3418</v>
      </c>
      <c r="AV134" s="29">
        <v>49806.44</v>
      </c>
      <c r="AW134" s="24" t="s">
        <v>3463</v>
      </c>
      <c r="AX134" s="29">
        <v>3288</v>
      </c>
      <c r="AY134" s="24" t="s">
        <v>3523</v>
      </c>
      <c r="AZ134" s="30">
        <v>7900.01</v>
      </c>
      <c r="BA134" s="24" t="s">
        <v>3570</v>
      </c>
      <c r="BB134" s="29"/>
      <c r="BC134" s="24"/>
      <c r="BD134" s="29"/>
      <c r="BE134" s="24"/>
      <c r="BF134" s="29">
        <v>8415.4500000000007</v>
      </c>
      <c r="BG134" s="24" t="s">
        <v>3722</v>
      </c>
      <c r="BH134" s="29">
        <v>1970</v>
      </c>
      <c r="BI134" s="24" t="s">
        <v>3677</v>
      </c>
      <c r="BJ134" s="29">
        <v>1099</v>
      </c>
      <c r="BK134" s="24" t="s">
        <v>3685</v>
      </c>
      <c r="BL134" s="29">
        <v>1099</v>
      </c>
      <c r="BM134" s="24" t="s">
        <v>3701</v>
      </c>
      <c r="BN134" s="29">
        <v>643400</v>
      </c>
      <c r="BO134" s="158" t="s">
        <v>3854</v>
      </c>
      <c r="BP134" s="29"/>
      <c r="BQ134" s="24"/>
      <c r="BR134" s="29"/>
      <c r="BS134" s="24"/>
      <c r="BT134" s="29"/>
      <c r="BU134" s="24"/>
      <c r="BV134" s="29"/>
      <c r="BW134" s="24"/>
      <c r="BX134" s="29"/>
      <c r="BY134" s="24"/>
      <c r="BZ134" s="29"/>
      <c r="CA134" s="24"/>
      <c r="CB134" s="29"/>
      <c r="CC134" s="24"/>
      <c r="CD134" s="29"/>
      <c r="CE134" s="24"/>
      <c r="CF134" s="29"/>
      <c r="CG134" s="24"/>
      <c r="CH134" s="29"/>
      <c r="CI134" s="24"/>
      <c r="CJ134" s="29"/>
      <c r="CK134" s="24"/>
      <c r="CL134" s="29"/>
      <c r="CM134" s="24"/>
      <c r="CN134" s="29"/>
    </row>
    <row r="135" spans="1:92" x14ac:dyDescent="0.25">
      <c r="A135" s="45"/>
      <c r="B135" s="29"/>
      <c r="C135" s="24"/>
      <c r="D135" s="29"/>
      <c r="E135" s="24"/>
      <c r="F135" s="29">
        <v>343500</v>
      </c>
      <c r="G135" s="24" t="s">
        <v>2573</v>
      </c>
      <c r="H135" s="29">
        <v>5000</v>
      </c>
      <c r="I135" s="24" t="s">
        <v>2625</v>
      </c>
      <c r="J135" s="29">
        <v>4373.9399999999996</v>
      </c>
      <c r="K135" s="24" t="s">
        <v>2684</v>
      </c>
      <c r="L135" s="29"/>
      <c r="M135" s="24"/>
      <c r="N135" s="29"/>
      <c r="O135" s="24"/>
      <c r="P135" s="29">
        <f>4600+8000+8000</f>
        <v>20600</v>
      </c>
      <c r="Q135" s="24" t="s">
        <v>2776</v>
      </c>
      <c r="R135" s="29">
        <v>8000</v>
      </c>
      <c r="S135" s="24" t="s">
        <v>2833</v>
      </c>
      <c r="T135" s="29">
        <v>82000</v>
      </c>
      <c r="U135" s="24" t="s">
        <v>2886</v>
      </c>
      <c r="V135" s="29">
        <v>170000</v>
      </c>
      <c r="W135" s="24" t="s">
        <v>2942</v>
      </c>
      <c r="X135" s="29">
        <v>280000</v>
      </c>
      <c r="Y135" s="24" t="s">
        <v>2993</v>
      </c>
      <c r="Z135" s="29">
        <v>80000</v>
      </c>
      <c r="AA135" s="24" t="s">
        <v>3054</v>
      </c>
      <c r="AB135" s="29">
        <v>260000</v>
      </c>
      <c r="AC135" s="85" t="s">
        <v>3099</v>
      </c>
      <c r="AD135" s="29">
        <v>11436.61</v>
      </c>
      <c r="AE135" s="85" t="s">
        <v>3146</v>
      </c>
      <c r="AF135" s="29"/>
      <c r="AG135" s="24"/>
      <c r="AH135" s="29">
        <v>55000</v>
      </c>
      <c r="AI135" s="85" t="s">
        <v>3207</v>
      </c>
      <c r="AJ135" s="29">
        <v>86749.77</v>
      </c>
      <c r="AK135" s="24" t="s">
        <v>3252</v>
      </c>
      <c r="AL135" s="29">
        <v>14300</v>
      </c>
      <c r="AM135" s="24" t="s">
        <v>3319</v>
      </c>
      <c r="AN135" s="29"/>
      <c r="AO135" s="24"/>
      <c r="AP135" s="29"/>
      <c r="AQ135" s="24"/>
      <c r="AR135" s="94"/>
      <c r="AS135" s="24"/>
      <c r="AT135" s="29">
        <v>21346.18</v>
      </c>
      <c r="AU135" s="24" t="s">
        <v>3419</v>
      </c>
      <c r="AV135" s="29">
        <v>240693.56</v>
      </c>
      <c r="AW135" s="24" t="s">
        <v>3050</v>
      </c>
      <c r="AX135" s="29">
        <v>460000</v>
      </c>
      <c r="AY135" s="24" t="s">
        <v>3524</v>
      </c>
      <c r="AZ135" s="29">
        <v>1099</v>
      </c>
      <c r="BA135" s="24" t="s">
        <v>3577</v>
      </c>
      <c r="BB135" s="29"/>
      <c r="BC135" s="24"/>
      <c r="BD135" s="29"/>
      <c r="BE135" s="24"/>
      <c r="BF135" s="29">
        <v>260000</v>
      </c>
      <c r="BG135" s="24" t="s">
        <v>3723</v>
      </c>
      <c r="BH135" s="97">
        <f>+SUM(BH131:BH134)</f>
        <v>22843.26</v>
      </c>
      <c r="BI135" s="24"/>
      <c r="BJ135" s="29">
        <v>4146</v>
      </c>
      <c r="BK135" s="24" t="s">
        <v>3686</v>
      </c>
      <c r="BL135" s="97">
        <f>+SUM(BL131:BL134)</f>
        <v>224398.55</v>
      </c>
      <c r="BM135" s="24"/>
      <c r="BN135" s="29">
        <v>130000</v>
      </c>
      <c r="BO135" s="158" t="s">
        <v>3855</v>
      </c>
      <c r="BP135" s="29"/>
      <c r="BQ135" s="24"/>
      <c r="BR135" s="29"/>
      <c r="BS135" s="24"/>
      <c r="BT135" s="29"/>
      <c r="BU135" s="24"/>
      <c r="BV135" s="29"/>
      <c r="BW135" s="24"/>
      <c r="BX135" s="29"/>
      <c r="BY135" s="24"/>
      <c r="BZ135" s="29"/>
      <c r="CA135" s="24"/>
      <c r="CB135" s="29"/>
      <c r="CC135" s="24"/>
      <c r="CD135" s="29"/>
      <c r="CE135" s="24"/>
      <c r="CF135" s="29"/>
      <c r="CG135" s="24"/>
      <c r="CH135" s="29"/>
      <c r="CI135" s="24"/>
      <c r="CJ135" s="29"/>
      <c r="CK135" s="24"/>
      <c r="CL135" s="29"/>
      <c r="CM135" s="24"/>
      <c r="CN135" s="29"/>
    </row>
    <row r="136" spans="1:92" x14ac:dyDescent="0.25">
      <c r="A136" s="45"/>
      <c r="B136" s="29"/>
      <c r="C136" s="24"/>
      <c r="D136" s="29"/>
      <c r="E136" s="24"/>
      <c r="F136" s="29">
        <v>255</v>
      </c>
      <c r="G136" s="24" t="s">
        <v>2578</v>
      </c>
      <c r="H136" s="29">
        <v>100000</v>
      </c>
      <c r="I136" s="24" t="s">
        <v>2626</v>
      </c>
      <c r="J136" s="29">
        <v>3200</v>
      </c>
      <c r="K136" s="24" t="s">
        <v>2686</v>
      </c>
      <c r="L136" s="29"/>
      <c r="M136" s="24"/>
      <c r="N136" s="96"/>
      <c r="O136" s="26"/>
      <c r="P136" s="29">
        <v>51663.41</v>
      </c>
      <c r="Q136" s="24" t="s">
        <v>2785</v>
      </c>
      <c r="R136" s="29">
        <v>110194.49</v>
      </c>
      <c r="S136" s="24" t="s">
        <v>2836</v>
      </c>
      <c r="T136" s="30">
        <v>38500</v>
      </c>
      <c r="U136" s="15" t="s">
        <v>2887</v>
      </c>
      <c r="V136" s="29">
        <v>4716.6499999999996</v>
      </c>
      <c r="W136" s="24" t="s">
        <v>2947</v>
      </c>
      <c r="X136" s="29">
        <v>226400</v>
      </c>
      <c r="Y136" s="24" t="s">
        <v>2994</v>
      </c>
      <c r="Z136" s="29">
        <v>3276.86</v>
      </c>
      <c r="AA136" s="24" t="s">
        <v>3056</v>
      </c>
      <c r="AB136" s="29">
        <v>140000</v>
      </c>
      <c r="AC136" s="85" t="s">
        <v>3104</v>
      </c>
      <c r="AD136" s="29">
        <v>11593.43</v>
      </c>
      <c r="AE136" s="85" t="s">
        <v>3147</v>
      </c>
      <c r="AF136" s="29"/>
      <c r="AG136" s="24"/>
      <c r="AH136" s="29">
        <v>1099.01</v>
      </c>
      <c r="AI136" s="85" t="s">
        <v>3213</v>
      </c>
      <c r="AJ136" s="98">
        <v>20000</v>
      </c>
      <c r="AK136" s="24" t="s">
        <v>3255</v>
      </c>
      <c r="AL136" s="29">
        <v>150000</v>
      </c>
      <c r="AM136" s="24" t="s">
        <v>3320</v>
      </c>
      <c r="AN136" s="29"/>
      <c r="AO136" s="24"/>
      <c r="AP136" s="29"/>
      <c r="AQ136" s="24"/>
      <c r="AR136" s="29"/>
      <c r="AS136" s="24"/>
      <c r="AT136" s="29">
        <v>12330.76</v>
      </c>
      <c r="AU136" s="24" t="s">
        <v>3420</v>
      </c>
      <c r="AV136" s="29">
        <v>11234.84</v>
      </c>
      <c r="AW136" s="24" t="s">
        <v>3464</v>
      </c>
      <c r="AX136" s="29">
        <v>8069.02</v>
      </c>
      <c r="AY136" s="24" t="s">
        <v>3525</v>
      </c>
      <c r="AZ136" s="29">
        <v>1995</v>
      </c>
      <c r="BA136" s="24" t="s">
        <v>3584</v>
      </c>
      <c r="BB136" s="29"/>
      <c r="BC136" s="24"/>
      <c r="BD136" s="29"/>
      <c r="BE136" s="24"/>
      <c r="BF136" s="29">
        <v>120000</v>
      </c>
      <c r="BG136" s="24" t="s">
        <v>3724</v>
      </c>
      <c r="BH136" s="29"/>
      <c r="BI136" s="24"/>
      <c r="BJ136" s="29">
        <v>2934.88</v>
      </c>
      <c r="BK136" s="24" t="s">
        <v>3690</v>
      </c>
      <c r="BL136" s="29"/>
      <c r="BM136" s="24"/>
      <c r="BN136" s="29">
        <v>200000</v>
      </c>
      <c r="BO136" s="158" t="s">
        <v>3856</v>
      </c>
      <c r="BP136" s="29"/>
      <c r="BQ136" s="24"/>
      <c r="BR136" s="29"/>
      <c r="BS136" s="24"/>
      <c r="BT136" s="29"/>
      <c r="BU136" s="24"/>
      <c r="BV136" s="29"/>
      <c r="BW136" s="24"/>
      <c r="BX136" s="29"/>
      <c r="BY136" s="24"/>
      <c r="BZ136" s="29"/>
      <c r="CA136" s="24"/>
      <c r="CB136" s="29"/>
      <c r="CC136" s="24"/>
      <c r="CD136" s="29"/>
      <c r="CE136" s="24"/>
      <c r="CF136" s="29"/>
      <c r="CG136" s="24"/>
      <c r="CH136" s="29"/>
      <c r="CI136" s="24"/>
      <c r="CJ136" s="29"/>
      <c r="CK136" s="24"/>
      <c r="CL136" s="29"/>
      <c r="CM136" s="24"/>
      <c r="CN136" s="29"/>
    </row>
    <row r="137" spans="1:92" x14ac:dyDescent="0.25">
      <c r="A137" s="45"/>
      <c r="B137" s="29"/>
      <c r="C137" s="24"/>
      <c r="D137" s="29"/>
      <c r="E137" s="24"/>
      <c r="F137" s="29">
        <v>162000</v>
      </c>
      <c r="G137" s="24" t="s">
        <v>2580</v>
      </c>
      <c r="H137" s="29">
        <v>1099</v>
      </c>
      <c r="I137" s="24" t="s">
        <v>2627</v>
      </c>
      <c r="J137" s="29">
        <v>1099</v>
      </c>
      <c r="K137" s="24" t="s">
        <v>2695</v>
      </c>
      <c r="L137" s="29"/>
      <c r="M137" s="24"/>
      <c r="N137" s="122"/>
      <c r="O137" s="24"/>
      <c r="P137" s="29">
        <v>1970</v>
      </c>
      <c r="Q137" s="24" t="s">
        <v>2786</v>
      </c>
      <c r="R137" s="29">
        <v>110000</v>
      </c>
      <c r="S137" s="24" t="s">
        <v>2837</v>
      </c>
      <c r="T137" s="29">
        <v>110000</v>
      </c>
      <c r="U137" s="24" t="s">
        <v>2889</v>
      </c>
      <c r="V137" s="122">
        <v>635</v>
      </c>
      <c r="W137" s="24" t="s">
        <v>2951</v>
      </c>
      <c r="X137" s="29">
        <v>223452.54</v>
      </c>
      <c r="Y137" s="24" t="s">
        <v>2995</v>
      </c>
      <c r="Z137" s="29">
        <v>2581.15</v>
      </c>
      <c r="AA137" s="24" t="s">
        <v>3057</v>
      </c>
      <c r="AB137" s="29">
        <v>492</v>
      </c>
      <c r="AC137" s="85" t="s">
        <v>3105</v>
      </c>
      <c r="AD137" s="29">
        <v>148898.01</v>
      </c>
      <c r="AE137" s="85" t="s">
        <v>3148</v>
      </c>
      <c r="AF137" s="29"/>
      <c r="AG137" s="24"/>
      <c r="AH137" s="29">
        <v>4395</v>
      </c>
      <c r="AI137" s="85" t="s">
        <v>3223</v>
      </c>
      <c r="AJ137" s="29">
        <v>12237.88</v>
      </c>
      <c r="AK137" s="24" t="s">
        <v>3259</v>
      </c>
      <c r="AL137" s="29">
        <v>206700</v>
      </c>
      <c r="AM137" s="24" t="s">
        <v>3321</v>
      </c>
      <c r="AN137" s="29"/>
      <c r="AO137" s="24"/>
      <c r="AP137" s="29"/>
      <c r="AQ137" s="24"/>
      <c r="AR137" s="29"/>
      <c r="AS137" s="24"/>
      <c r="AT137" s="96">
        <v>250000</v>
      </c>
      <c r="AU137" s="15" t="s">
        <v>3424</v>
      </c>
      <c r="AV137" s="29">
        <v>1500</v>
      </c>
      <c r="AW137" s="24" t="s">
        <v>3484</v>
      </c>
      <c r="AX137" s="29">
        <v>13350.25</v>
      </c>
      <c r="AY137" s="24" t="s">
        <v>3526</v>
      </c>
      <c r="AZ137" s="29">
        <v>946</v>
      </c>
      <c r="BA137" s="24" t="s">
        <v>3586</v>
      </c>
      <c r="BB137" s="29"/>
      <c r="BC137" s="24"/>
      <c r="BD137" s="98"/>
      <c r="BE137" s="24"/>
      <c r="BF137" s="29">
        <v>45500</v>
      </c>
      <c r="BG137" s="24" t="s">
        <v>3725</v>
      </c>
      <c r="BH137" s="29">
        <v>84219.03</v>
      </c>
      <c r="BI137" s="24" t="s">
        <v>3765</v>
      </c>
      <c r="BJ137" s="97">
        <f>+SUM(BJ131:BJ136)</f>
        <v>383289.26</v>
      </c>
      <c r="BK137" s="24"/>
      <c r="BL137" s="122">
        <v>343500</v>
      </c>
      <c r="BM137" s="24" t="s">
        <v>3941</v>
      </c>
      <c r="BN137" s="29">
        <v>52000</v>
      </c>
      <c r="BO137" s="158" t="s">
        <v>3858</v>
      </c>
      <c r="BP137" s="29"/>
      <c r="BQ137" s="24"/>
      <c r="BR137" s="29"/>
      <c r="BS137" s="24"/>
      <c r="BT137" s="29"/>
      <c r="BU137" s="24"/>
      <c r="BV137" s="29"/>
      <c r="BW137" s="24"/>
      <c r="BX137" s="29"/>
      <c r="BY137" s="24"/>
      <c r="BZ137" s="29"/>
      <c r="CA137" s="24"/>
      <c r="CB137" s="29"/>
      <c r="CC137" s="24"/>
      <c r="CD137" s="29"/>
      <c r="CE137" s="24"/>
      <c r="CF137" s="29"/>
      <c r="CG137" s="24"/>
      <c r="CH137" s="29"/>
      <c r="CI137" s="24"/>
      <c r="CJ137" s="29"/>
      <c r="CK137" s="24"/>
      <c r="CL137" s="29"/>
      <c r="CM137" s="24"/>
      <c r="CN137" s="29"/>
    </row>
    <row r="138" spans="1:92" x14ac:dyDescent="0.25">
      <c r="A138" s="45"/>
      <c r="B138" s="29"/>
      <c r="C138" s="24"/>
      <c r="D138" s="116"/>
      <c r="E138" s="24"/>
      <c r="F138" s="29">
        <v>20000</v>
      </c>
      <c r="G138" s="24" t="s">
        <v>2581</v>
      </c>
      <c r="H138" s="29">
        <v>86600</v>
      </c>
      <c r="I138" s="24" t="s">
        <v>2629</v>
      </c>
      <c r="J138" s="29">
        <v>3030</v>
      </c>
      <c r="K138" s="24" t="s">
        <v>2696</v>
      </c>
      <c r="L138" s="29"/>
      <c r="M138" s="24"/>
      <c r="N138" s="122"/>
      <c r="O138" s="24"/>
      <c r="P138" s="29">
        <v>1970</v>
      </c>
      <c r="Q138" s="24" t="s">
        <v>2787</v>
      </c>
      <c r="R138" s="29">
        <v>1970</v>
      </c>
      <c r="S138" s="24" t="s">
        <v>2857</v>
      </c>
      <c r="T138" s="29">
        <v>6400</v>
      </c>
      <c r="U138" s="24" t="s">
        <v>2891</v>
      </c>
      <c r="V138" s="122">
        <v>1099</v>
      </c>
      <c r="W138" s="24" t="s">
        <v>2954</v>
      </c>
      <c r="X138" s="29">
        <v>70000</v>
      </c>
      <c r="Y138" s="24" t="s">
        <v>2997</v>
      </c>
      <c r="Z138" s="29">
        <v>50000</v>
      </c>
      <c r="AA138" s="24" t="s">
        <v>3058</v>
      </c>
      <c r="AB138" s="29">
        <v>323500</v>
      </c>
      <c r="AC138" s="85" t="s">
        <v>3106</v>
      </c>
      <c r="AD138" s="29">
        <v>100000</v>
      </c>
      <c r="AE138" s="85" t="s">
        <v>3149</v>
      </c>
      <c r="AF138" s="29"/>
      <c r="AG138" s="24"/>
      <c r="AH138" s="29">
        <v>1099.01</v>
      </c>
      <c r="AI138" s="85" t="s">
        <v>3234</v>
      </c>
      <c r="AJ138" s="29">
        <v>74830.8</v>
      </c>
      <c r="AK138" s="24" t="s">
        <v>3260</v>
      </c>
      <c r="AL138" s="29">
        <v>60137.25</v>
      </c>
      <c r="AM138" s="24" t="s">
        <v>3322</v>
      </c>
      <c r="AN138" s="29"/>
      <c r="AO138" s="24"/>
      <c r="AP138" s="30"/>
      <c r="AQ138" s="26"/>
      <c r="AR138" s="29"/>
      <c r="AS138" s="24"/>
      <c r="AT138" s="105">
        <v>2866</v>
      </c>
      <c r="AU138" s="106" t="s">
        <v>3429</v>
      </c>
      <c r="AV138" s="62">
        <f>SUM(AV131:AV137)</f>
        <v>673234.84</v>
      </c>
      <c r="AW138" s="24"/>
      <c r="AX138" s="29">
        <v>12127.61</v>
      </c>
      <c r="AY138" s="24" t="s">
        <v>3527</v>
      </c>
      <c r="AZ138" s="29">
        <v>1299</v>
      </c>
      <c r="BA138" s="24" t="s">
        <v>3589</v>
      </c>
      <c r="BB138" s="29"/>
      <c r="BC138" s="24"/>
      <c r="BD138" s="98"/>
      <c r="BE138" s="24"/>
      <c r="BF138" s="29">
        <v>40000</v>
      </c>
      <c r="BG138" s="24" t="s">
        <v>3728</v>
      </c>
      <c r="BH138" s="29">
        <v>279800</v>
      </c>
      <c r="BI138" s="24" t="s">
        <v>3767</v>
      </c>
      <c r="BJ138" s="29"/>
      <c r="BK138" s="24"/>
      <c r="BL138" s="96">
        <v>20000</v>
      </c>
      <c r="BM138" s="26" t="s">
        <v>3944</v>
      </c>
      <c r="BN138" s="29">
        <v>80000</v>
      </c>
      <c r="BO138" s="158" t="s">
        <v>3862</v>
      </c>
      <c r="BP138" s="29"/>
      <c r="BQ138" s="24"/>
      <c r="BR138" s="29"/>
      <c r="BS138" s="24"/>
      <c r="BT138" s="29"/>
      <c r="BU138" s="24"/>
      <c r="BV138" s="29"/>
      <c r="BW138" s="24"/>
      <c r="BX138" s="29"/>
      <c r="BY138" s="24"/>
      <c r="BZ138" s="29"/>
      <c r="CA138" s="24"/>
      <c r="CB138" s="29"/>
      <c r="CC138" s="24"/>
      <c r="CD138" s="29"/>
      <c r="CE138" s="24"/>
      <c r="CF138" s="29"/>
      <c r="CG138" s="24"/>
      <c r="CH138" s="29"/>
      <c r="CI138" s="24"/>
      <c r="CJ138" s="29"/>
      <c r="CK138" s="24"/>
      <c r="CL138" s="29"/>
      <c r="CM138" s="24"/>
      <c r="CN138" s="29"/>
    </row>
    <row r="139" spans="1:92" x14ac:dyDescent="0.25">
      <c r="A139" s="41"/>
      <c r="B139" s="29"/>
      <c r="C139" s="24"/>
      <c r="D139" s="30"/>
      <c r="E139" s="15"/>
      <c r="F139" s="30">
        <v>5345.27</v>
      </c>
      <c r="G139" s="15" t="s">
        <v>2587</v>
      </c>
      <c r="H139" s="30">
        <v>1970</v>
      </c>
      <c r="I139" s="15" t="s">
        <v>2634</v>
      </c>
      <c r="J139" s="29">
        <v>1099</v>
      </c>
      <c r="K139" s="24" t="s">
        <v>2701</v>
      </c>
      <c r="L139" s="30"/>
      <c r="M139" s="15"/>
      <c r="N139" s="122"/>
      <c r="O139" s="24"/>
      <c r="P139" s="30">
        <v>3030</v>
      </c>
      <c r="Q139" s="15" t="s">
        <v>2800</v>
      </c>
      <c r="R139" s="30">
        <v>1967</v>
      </c>
      <c r="S139" s="15" t="s">
        <v>2859</v>
      </c>
      <c r="T139" s="30">
        <v>2458</v>
      </c>
      <c r="U139" s="15" t="s">
        <v>2895</v>
      </c>
      <c r="V139" s="29">
        <v>4395</v>
      </c>
      <c r="W139" s="24" t="s">
        <v>2959</v>
      </c>
      <c r="X139" s="30">
        <v>6052.44</v>
      </c>
      <c r="Y139" s="15" t="s">
        <v>3001</v>
      </c>
      <c r="Z139" s="30">
        <v>5050</v>
      </c>
      <c r="AA139" s="15" t="s">
        <v>3074</v>
      </c>
      <c r="AB139" s="29">
        <v>86572</v>
      </c>
      <c r="AC139" s="85" t="s">
        <v>3107</v>
      </c>
      <c r="AD139" s="29">
        <v>115000</v>
      </c>
      <c r="AE139" s="85" t="s">
        <v>3150</v>
      </c>
      <c r="AF139" s="30"/>
      <c r="AG139" s="15"/>
      <c r="AH139" s="30">
        <v>2483</v>
      </c>
      <c r="AI139" s="86" t="s">
        <v>3237</v>
      </c>
      <c r="AJ139" s="30">
        <v>2839.01</v>
      </c>
      <c r="AK139" s="15" t="s">
        <v>3270</v>
      </c>
      <c r="AL139" s="30">
        <v>440000</v>
      </c>
      <c r="AM139" s="15" t="s">
        <v>3325</v>
      </c>
      <c r="AN139" s="30"/>
      <c r="AO139" s="15"/>
      <c r="AP139" s="98"/>
      <c r="AQ139" s="24"/>
      <c r="AR139" s="30"/>
      <c r="AS139" s="15"/>
      <c r="AT139" s="96">
        <v>1099</v>
      </c>
      <c r="AU139" s="15" t="s">
        <v>3431</v>
      </c>
      <c r="AV139" s="30"/>
      <c r="AW139" s="15"/>
      <c r="AX139" s="30">
        <v>45261.66</v>
      </c>
      <c r="AY139" s="15" t="s">
        <v>3528</v>
      </c>
      <c r="AZ139" s="30">
        <v>529.47</v>
      </c>
      <c r="BA139" s="15" t="s">
        <v>3593</v>
      </c>
      <c r="BB139" s="30"/>
      <c r="BC139" s="15"/>
      <c r="BD139" s="30"/>
      <c r="BE139" s="15"/>
      <c r="BF139" s="29">
        <v>110000</v>
      </c>
      <c r="BG139" s="24" t="s">
        <v>3729</v>
      </c>
      <c r="BH139" s="30">
        <v>150137.25</v>
      </c>
      <c r="BI139" s="15" t="s">
        <v>3768</v>
      </c>
      <c r="BJ139" s="30">
        <v>65000</v>
      </c>
      <c r="BK139" s="15" t="s">
        <v>3802</v>
      </c>
      <c r="BL139" s="96">
        <v>202500</v>
      </c>
      <c r="BM139" s="15" t="s">
        <v>3947</v>
      </c>
      <c r="BN139" s="30">
        <v>1099</v>
      </c>
      <c r="BO139" s="159" t="s">
        <v>3876</v>
      </c>
      <c r="BP139" s="30"/>
      <c r="BQ139" s="15"/>
      <c r="BR139" s="30"/>
      <c r="BS139" s="15"/>
      <c r="BT139" s="30"/>
      <c r="BU139" s="15"/>
      <c r="BV139" s="30"/>
      <c r="BW139" s="15"/>
      <c r="BX139" s="30"/>
      <c r="BY139" s="15"/>
      <c r="BZ139" s="30"/>
      <c r="CA139" s="15"/>
      <c r="CB139" s="30"/>
      <c r="CC139" s="15"/>
      <c r="CD139" s="30"/>
      <c r="CE139" s="15"/>
      <c r="CF139" s="30"/>
      <c r="CG139" s="15"/>
      <c r="CH139" s="30"/>
      <c r="CI139" s="15"/>
      <c r="CJ139" s="30"/>
      <c r="CK139" s="15"/>
      <c r="CL139" s="30"/>
      <c r="CM139" s="15"/>
      <c r="CN139" s="30"/>
    </row>
    <row r="140" spans="1:92" x14ac:dyDescent="0.25">
      <c r="A140" s="45"/>
      <c r="B140" s="29"/>
      <c r="C140" s="24"/>
      <c r="D140" s="29"/>
      <c r="E140" s="24"/>
      <c r="F140" s="29">
        <v>4395</v>
      </c>
      <c r="G140" s="24" t="s">
        <v>2592</v>
      </c>
      <c r="H140" s="29">
        <v>3169</v>
      </c>
      <c r="I140" s="24" t="s">
        <v>2640</v>
      </c>
      <c r="J140" s="29">
        <v>2350</v>
      </c>
      <c r="K140" s="24" t="s">
        <v>2707</v>
      </c>
      <c r="L140" s="29"/>
      <c r="M140" s="24"/>
      <c r="N140" s="96"/>
      <c r="O140" s="15"/>
      <c r="P140" s="96">
        <v>1099.01</v>
      </c>
      <c r="Q140" s="15" t="s">
        <v>2804</v>
      </c>
      <c r="R140" s="29">
        <v>3250</v>
      </c>
      <c r="S140" s="24" t="s">
        <v>2862</v>
      </c>
      <c r="T140" s="29">
        <v>5860</v>
      </c>
      <c r="U140" s="24" t="s">
        <v>2896</v>
      </c>
      <c r="V140" s="29">
        <v>3627.62</v>
      </c>
      <c r="W140" s="24" t="s">
        <v>2974</v>
      </c>
      <c r="X140" s="29">
        <v>25476.65</v>
      </c>
      <c r="Y140" s="24" t="s">
        <v>3003</v>
      </c>
      <c r="Z140" s="29">
        <v>1099</v>
      </c>
      <c r="AA140" s="24" t="s">
        <v>3085</v>
      </c>
      <c r="AB140" s="29">
        <v>13008.87</v>
      </c>
      <c r="AC140" s="85" t="s">
        <v>3108</v>
      </c>
      <c r="AD140" s="29">
        <v>236928.4</v>
      </c>
      <c r="AE140" s="85" t="s">
        <v>3153</v>
      </c>
      <c r="AF140" s="29"/>
      <c r="AG140" s="24"/>
      <c r="AH140" s="29">
        <v>1675.84</v>
      </c>
      <c r="AI140" s="85" t="s">
        <v>3238</v>
      </c>
      <c r="AJ140" s="29">
        <v>4395.01</v>
      </c>
      <c r="AK140" s="24" t="s">
        <v>3289</v>
      </c>
      <c r="AL140" s="29">
        <v>40000</v>
      </c>
      <c r="AM140" s="24" t="s">
        <v>3326</v>
      </c>
      <c r="AN140" s="29"/>
      <c r="AO140" s="24"/>
      <c r="AP140" s="98"/>
      <c r="AQ140" s="24"/>
      <c r="AR140" s="29"/>
      <c r="AS140" s="24"/>
      <c r="AT140" s="96">
        <v>3250</v>
      </c>
      <c r="AU140" s="15" t="s">
        <v>3433</v>
      </c>
      <c r="AV140" s="29">
        <v>112400</v>
      </c>
      <c r="AW140" s="24" t="s">
        <v>3508</v>
      </c>
      <c r="AX140" s="29">
        <v>215000</v>
      </c>
      <c r="AY140" s="24" t="s">
        <v>3530</v>
      </c>
      <c r="AZ140" s="97">
        <f>+SUM(AZ131:AZ139)</f>
        <v>270645.75999999995</v>
      </c>
      <c r="BA140" s="24" t="s">
        <v>3594</v>
      </c>
      <c r="BB140" s="29"/>
      <c r="BC140" s="24"/>
      <c r="BD140" s="29"/>
      <c r="BE140" s="24"/>
      <c r="BF140" s="29">
        <v>5700</v>
      </c>
      <c r="BG140" s="24" t="s">
        <v>3731</v>
      </c>
      <c r="BH140" s="29">
        <v>81000</v>
      </c>
      <c r="BI140" s="24" t="s">
        <v>3769</v>
      </c>
      <c r="BJ140" s="29">
        <v>343400</v>
      </c>
      <c r="BK140" s="24" t="s">
        <v>3804</v>
      </c>
      <c r="BL140" s="122">
        <v>13066.53</v>
      </c>
      <c r="BM140" s="24" t="s">
        <v>3948</v>
      </c>
      <c r="BN140" s="29">
        <v>1970</v>
      </c>
      <c r="BO140" s="158" t="s">
        <v>3885</v>
      </c>
      <c r="BP140" s="29"/>
      <c r="BQ140" s="24"/>
      <c r="BR140" s="29"/>
      <c r="BS140" s="24"/>
      <c r="BT140" s="29"/>
      <c r="BU140" s="24"/>
      <c r="BV140" s="29"/>
      <c r="BW140" s="24"/>
      <c r="BX140" s="29"/>
      <c r="BY140" s="24"/>
      <c r="BZ140" s="29"/>
      <c r="CA140" s="24"/>
      <c r="CB140" s="29"/>
      <c r="CC140" s="24"/>
      <c r="CD140" s="29"/>
      <c r="CE140" s="24"/>
      <c r="CF140" s="29"/>
      <c r="CG140" s="24"/>
      <c r="CH140" s="29"/>
      <c r="CI140" s="24"/>
      <c r="CJ140" s="29"/>
      <c r="CK140" s="24"/>
      <c r="CL140" s="29"/>
      <c r="CM140" s="24"/>
      <c r="CN140" s="29"/>
    </row>
    <row r="141" spans="1:92" x14ac:dyDescent="0.25">
      <c r="A141" s="45"/>
      <c r="B141" s="29"/>
      <c r="C141" s="24"/>
      <c r="D141" s="29"/>
      <c r="E141" s="24"/>
      <c r="F141" s="29">
        <v>1416</v>
      </c>
      <c r="G141" s="24" t="s">
        <v>2593</v>
      </c>
      <c r="H141" s="29">
        <v>1099</v>
      </c>
      <c r="I141" s="24" t="s">
        <v>2642</v>
      </c>
      <c r="J141" s="29">
        <v>3250</v>
      </c>
      <c r="K141" s="24" t="s">
        <v>2708</v>
      </c>
      <c r="L141" s="29"/>
      <c r="M141" s="24"/>
      <c r="N141" s="94"/>
      <c r="O141" s="24"/>
      <c r="P141" s="29">
        <v>1970</v>
      </c>
      <c r="Q141" s="24" t="s">
        <v>2805</v>
      </c>
      <c r="R141" s="29">
        <v>1099.01</v>
      </c>
      <c r="S141" s="24" t="s">
        <v>2865</v>
      </c>
      <c r="T141" s="29">
        <v>3250</v>
      </c>
      <c r="U141" s="24" t="s">
        <v>2913</v>
      </c>
      <c r="V141" s="29">
        <v>8062.63</v>
      </c>
      <c r="W141" s="24" t="s">
        <v>2975</v>
      </c>
      <c r="X141" s="29">
        <v>3250</v>
      </c>
      <c r="Y141" s="24" t="s">
        <v>3005</v>
      </c>
      <c r="Z141" s="29">
        <v>19624.25</v>
      </c>
      <c r="AA141" s="24" t="s">
        <v>3087</v>
      </c>
      <c r="AB141" s="29">
        <v>526000</v>
      </c>
      <c r="AC141" s="85" t="s">
        <v>3109</v>
      </c>
      <c r="AD141" s="29">
        <v>213071.6</v>
      </c>
      <c r="AE141" s="85" t="s">
        <v>3154</v>
      </c>
      <c r="AF141" s="29"/>
      <c r="AG141" s="24"/>
      <c r="AH141" s="29">
        <v>1707.4</v>
      </c>
      <c r="AI141" s="85" t="s">
        <v>3240</v>
      </c>
      <c r="AJ141" s="29">
        <v>2868.38</v>
      </c>
      <c r="AK141" s="24" t="s">
        <v>3298</v>
      </c>
      <c r="AL141" s="29">
        <v>131998.89000000001</v>
      </c>
      <c r="AM141" s="24" t="s">
        <v>3329</v>
      </c>
      <c r="AN141" s="29"/>
      <c r="AO141" s="24"/>
      <c r="AP141" s="29"/>
      <c r="AQ141" s="24"/>
      <c r="AR141" s="29"/>
      <c r="AS141" s="24"/>
      <c r="AT141" s="105">
        <v>3250</v>
      </c>
      <c r="AU141" s="106" t="s">
        <v>3449</v>
      </c>
      <c r="AV141" s="96">
        <v>3164.13</v>
      </c>
      <c r="AW141" s="15" t="s">
        <v>3514</v>
      </c>
      <c r="AX141" s="29">
        <v>212</v>
      </c>
      <c r="AY141" s="24" t="s">
        <v>3533</v>
      </c>
      <c r="AZ141" s="29"/>
      <c r="BA141" s="24"/>
      <c r="BB141" s="29"/>
      <c r="BC141" s="24"/>
      <c r="BD141" s="29"/>
      <c r="BE141" s="24"/>
      <c r="BF141" s="29">
        <v>22411.7</v>
      </c>
      <c r="BG141" s="24" t="s">
        <v>3732</v>
      </c>
      <c r="BH141" s="29">
        <v>100000</v>
      </c>
      <c r="BI141" s="24" t="s">
        <v>3770</v>
      </c>
      <c r="BJ141" s="29">
        <v>72715.78</v>
      </c>
      <c r="BK141" s="24" t="s">
        <v>3805</v>
      </c>
      <c r="BL141" s="122">
        <v>5000</v>
      </c>
      <c r="BM141" s="24" t="s">
        <v>3951</v>
      </c>
      <c r="BN141" s="29">
        <v>1099</v>
      </c>
      <c r="BO141" s="158" t="s">
        <v>3888</v>
      </c>
      <c r="BP141" s="29"/>
      <c r="BQ141" s="24"/>
      <c r="BR141" s="29"/>
      <c r="BS141" s="24"/>
      <c r="BT141" s="29"/>
      <c r="BU141" s="24"/>
      <c r="BV141" s="29"/>
      <c r="BW141" s="24"/>
      <c r="BX141" s="29"/>
      <c r="BY141" s="24"/>
      <c r="BZ141" s="29"/>
      <c r="CA141" s="24"/>
      <c r="CB141" s="29"/>
      <c r="CC141" s="24"/>
      <c r="CD141" s="29"/>
      <c r="CE141" s="24"/>
      <c r="CF141" s="29"/>
      <c r="CG141" s="24"/>
      <c r="CH141" s="29"/>
      <c r="CI141" s="24"/>
      <c r="CJ141" s="29"/>
      <c r="CK141" s="24"/>
      <c r="CL141" s="29"/>
      <c r="CM141" s="24"/>
      <c r="CN141" s="29"/>
    </row>
    <row r="142" spans="1:92" x14ac:dyDescent="0.25">
      <c r="A142" s="45"/>
      <c r="B142" s="29"/>
      <c r="C142" s="24"/>
      <c r="D142" s="29"/>
      <c r="E142" s="24"/>
      <c r="F142" s="29">
        <v>1099</v>
      </c>
      <c r="G142" s="24" t="s">
        <v>2595</v>
      </c>
      <c r="H142" s="29">
        <v>1869</v>
      </c>
      <c r="I142" s="24" t="s">
        <v>2647</v>
      </c>
      <c r="J142" s="29">
        <v>6710.01</v>
      </c>
      <c r="K142" s="24" t="s">
        <v>2710</v>
      </c>
      <c r="L142" s="29"/>
      <c r="M142" s="24"/>
      <c r="N142" s="94"/>
      <c r="O142" s="24"/>
      <c r="P142" s="29">
        <v>6290</v>
      </c>
      <c r="Q142" s="24" t="s">
        <v>2810</v>
      </c>
      <c r="R142" s="96">
        <v>461</v>
      </c>
      <c r="S142" s="26" t="s">
        <v>2868</v>
      </c>
      <c r="T142" s="30">
        <v>1099</v>
      </c>
      <c r="U142" s="24" t="s">
        <v>2914</v>
      </c>
      <c r="V142" s="148">
        <f>+SUM(V131:V141)</f>
        <v>525830.74</v>
      </c>
      <c r="W142" s="24"/>
      <c r="X142" s="29">
        <v>1996.93</v>
      </c>
      <c r="Y142" s="24" t="s">
        <v>3010</v>
      </c>
      <c r="Z142" s="148">
        <f>+SUM(Z131:Z141)</f>
        <v>306631.26</v>
      </c>
      <c r="AA142" s="24"/>
      <c r="AB142" s="29">
        <v>204.03</v>
      </c>
      <c r="AC142" s="85" t="s">
        <v>3114</v>
      </c>
      <c r="AD142" s="29">
        <v>134300</v>
      </c>
      <c r="AE142" s="24" t="s">
        <v>3155</v>
      </c>
      <c r="AF142" s="96"/>
      <c r="AG142" s="15"/>
      <c r="AH142" s="29">
        <v>400</v>
      </c>
      <c r="AI142" s="85" t="s">
        <v>3241</v>
      </c>
      <c r="AJ142" s="62">
        <f>SUM(AJ131:AJ141)</f>
        <v>749363.85000000009</v>
      </c>
      <c r="AK142" s="24"/>
      <c r="AL142" s="29">
        <v>5291</v>
      </c>
      <c r="AM142" s="24" t="s">
        <v>3339</v>
      </c>
      <c r="AN142" s="29"/>
      <c r="AO142" s="24"/>
      <c r="AP142" s="29"/>
      <c r="AQ142" s="24"/>
      <c r="AR142" s="29"/>
      <c r="AS142" s="24"/>
      <c r="AT142" s="105">
        <v>1563</v>
      </c>
      <c r="AU142" s="106" t="s">
        <v>3435</v>
      </c>
      <c r="AV142" s="97">
        <f>+AV141+AV140</f>
        <v>115564.13</v>
      </c>
      <c r="AW142" s="24"/>
      <c r="AX142" s="29">
        <v>200000</v>
      </c>
      <c r="AY142" s="24" t="s">
        <v>3534</v>
      </c>
      <c r="AZ142" s="29">
        <v>272800</v>
      </c>
      <c r="BA142" s="24" t="s">
        <v>3642</v>
      </c>
      <c r="BB142" s="29"/>
      <c r="BC142" s="24"/>
      <c r="BD142" s="29"/>
      <c r="BE142" s="24"/>
      <c r="BF142" s="29">
        <v>97000</v>
      </c>
      <c r="BG142" s="24" t="s">
        <v>3736</v>
      </c>
      <c r="BH142" s="29">
        <v>50000</v>
      </c>
      <c r="BI142" s="24" t="s">
        <v>3774</v>
      </c>
      <c r="BJ142" s="29">
        <v>15468.89</v>
      </c>
      <c r="BK142" s="24" t="s">
        <v>3806</v>
      </c>
      <c r="BL142" s="122">
        <v>5000</v>
      </c>
      <c r="BM142" s="24" t="s">
        <v>3952</v>
      </c>
      <c r="BN142" s="29">
        <v>1099</v>
      </c>
      <c r="BO142" s="158" t="s">
        <v>3900</v>
      </c>
      <c r="BP142" s="29"/>
      <c r="BQ142" s="24"/>
      <c r="BR142" s="29"/>
      <c r="BS142" s="24"/>
      <c r="BT142" s="29"/>
      <c r="BU142" s="24"/>
      <c r="BV142" s="29"/>
      <c r="BW142" s="24"/>
      <c r="BX142" s="29"/>
      <c r="BY142" s="24"/>
      <c r="BZ142" s="29"/>
      <c r="CA142" s="24"/>
      <c r="CB142" s="29"/>
      <c r="CC142" s="24"/>
      <c r="CD142" s="29"/>
      <c r="CE142" s="24"/>
      <c r="CF142" s="29"/>
      <c r="CG142" s="24"/>
      <c r="CH142" s="29"/>
      <c r="CI142" s="24"/>
      <c r="CJ142" s="29"/>
      <c r="CK142" s="24"/>
      <c r="CL142" s="29"/>
      <c r="CM142" s="24"/>
      <c r="CN142" s="29"/>
    </row>
    <row r="143" spans="1:92" x14ac:dyDescent="0.25">
      <c r="A143" s="45"/>
      <c r="B143" s="30"/>
      <c r="C143" s="15"/>
      <c r="D143" s="29"/>
      <c r="E143" s="24"/>
      <c r="F143" s="29">
        <v>4395</v>
      </c>
      <c r="G143" s="24" t="s">
        <v>2600</v>
      </c>
      <c r="H143" s="29">
        <v>1099</v>
      </c>
      <c r="I143" s="24" t="s">
        <v>2649</v>
      </c>
      <c r="J143" s="29">
        <v>2135.66</v>
      </c>
      <c r="K143" s="24" t="s">
        <v>2716</v>
      </c>
      <c r="L143" s="29"/>
      <c r="M143" s="24"/>
      <c r="N143" s="29"/>
      <c r="O143" s="24"/>
      <c r="P143" s="29">
        <v>5500</v>
      </c>
      <c r="Q143" s="24" t="s">
        <v>2815</v>
      </c>
      <c r="R143" s="29">
        <v>2712.56</v>
      </c>
      <c r="S143" s="24" t="s">
        <v>2869</v>
      </c>
      <c r="T143" s="29">
        <v>4666.53</v>
      </c>
      <c r="U143" s="24" t="s">
        <v>2924</v>
      </c>
      <c r="V143" s="148"/>
      <c r="W143" s="24"/>
      <c r="X143" s="29">
        <v>4258</v>
      </c>
      <c r="Y143" s="24" t="s">
        <v>3016</v>
      </c>
      <c r="Z143" s="29"/>
      <c r="AA143" s="24"/>
      <c r="AB143" s="31">
        <v>98000</v>
      </c>
      <c r="AC143" s="85"/>
      <c r="AD143" s="29">
        <v>70511.199999999997</v>
      </c>
      <c r="AE143" s="24" t="s">
        <v>3157</v>
      </c>
      <c r="AF143" s="96"/>
      <c r="AG143" s="15"/>
      <c r="AH143" s="62">
        <f>SUM(AH131:AH142)</f>
        <v>1150930.8600000001</v>
      </c>
      <c r="AI143" s="85"/>
      <c r="AJ143" s="29"/>
      <c r="AK143" s="24"/>
      <c r="AL143" s="29">
        <v>1099</v>
      </c>
      <c r="AM143" s="24" t="s">
        <v>3340</v>
      </c>
      <c r="AN143" s="29"/>
      <c r="AO143" s="24"/>
      <c r="AP143" s="29"/>
      <c r="AQ143" s="24"/>
      <c r="AR143" s="29"/>
      <c r="AS143" s="24"/>
      <c r="AT143" s="105">
        <v>535.54</v>
      </c>
      <c r="AU143" s="106" t="s">
        <v>3446</v>
      </c>
      <c r="AV143" s="29"/>
      <c r="AW143" s="24"/>
      <c r="AX143" s="29">
        <v>1970</v>
      </c>
      <c r="AY143" s="24" t="s">
        <v>3537</v>
      </c>
      <c r="AZ143" s="29">
        <v>5000</v>
      </c>
      <c r="BA143" s="24" t="s">
        <v>3643</v>
      </c>
      <c r="BB143" s="29"/>
      <c r="BC143" s="24"/>
      <c r="BD143" s="29"/>
      <c r="BE143" s="24"/>
      <c r="BF143" s="30">
        <v>100000</v>
      </c>
      <c r="BG143" s="15" t="s">
        <v>3737</v>
      </c>
      <c r="BH143" s="29">
        <v>4395</v>
      </c>
      <c r="BI143" s="24" t="s">
        <v>3798</v>
      </c>
      <c r="BJ143" s="29">
        <v>110530</v>
      </c>
      <c r="BK143" s="24" t="s">
        <v>3807</v>
      </c>
      <c r="BL143" s="122">
        <v>1099</v>
      </c>
      <c r="BM143" s="24" t="s">
        <v>3957</v>
      </c>
      <c r="BN143" s="29">
        <v>207000</v>
      </c>
      <c r="BO143" s="158" t="s">
        <v>3904</v>
      </c>
      <c r="BP143" s="29"/>
      <c r="BQ143" s="24"/>
      <c r="BR143" s="29"/>
      <c r="BS143" s="24"/>
      <c r="BT143" s="29"/>
      <c r="BU143" s="24"/>
      <c r="BV143" s="29"/>
      <c r="BW143" s="24"/>
      <c r="BX143" s="29"/>
      <c r="BY143" s="24"/>
      <c r="BZ143" s="29"/>
      <c r="CA143" s="24"/>
      <c r="CB143" s="29"/>
      <c r="CC143" s="24"/>
      <c r="CD143" s="29"/>
      <c r="CE143" s="24"/>
      <c r="CF143" s="29"/>
      <c r="CG143" s="24"/>
      <c r="CH143" s="29"/>
      <c r="CI143" s="24"/>
      <c r="CJ143" s="29"/>
      <c r="CK143" s="24"/>
      <c r="CL143" s="29"/>
      <c r="CM143" s="24"/>
      <c r="CN143" s="29"/>
    </row>
    <row r="144" spans="1:92" x14ac:dyDescent="0.25">
      <c r="A144" s="45"/>
      <c r="B144" s="101"/>
      <c r="C144" s="57"/>
      <c r="D144" s="29"/>
      <c r="E144" s="24"/>
      <c r="F144" s="29">
        <v>3250</v>
      </c>
      <c r="G144" s="24" t="s">
        <v>2604</v>
      </c>
      <c r="H144" s="31">
        <v>23140.38</v>
      </c>
      <c r="I144" s="15" t="s">
        <v>2668</v>
      </c>
      <c r="J144" s="148">
        <f>+SUM(J131:J143)</f>
        <v>464946.61</v>
      </c>
      <c r="K144" s="15"/>
      <c r="L144" s="29"/>
      <c r="M144" s="24"/>
      <c r="N144" s="29"/>
      <c r="O144" s="24"/>
      <c r="P144" s="148">
        <v>936538.23</v>
      </c>
      <c r="Q144" s="24" t="s">
        <v>2822</v>
      </c>
      <c r="R144" s="148">
        <f>+SUM(R131:R143)</f>
        <v>724187.06</v>
      </c>
      <c r="S144" s="24"/>
      <c r="T144" s="148">
        <f>+SUM(T131:T143)</f>
        <v>603195.87</v>
      </c>
      <c r="U144" s="24"/>
      <c r="V144" s="29"/>
      <c r="W144" s="24"/>
      <c r="X144" s="29">
        <v>3192.77</v>
      </c>
      <c r="Y144" s="24" t="s">
        <v>3029</v>
      </c>
      <c r="Z144" s="29"/>
      <c r="AA144" s="24"/>
      <c r="AB144" s="148">
        <f>+SUM(AB131:AB143)</f>
        <v>1750629.78</v>
      </c>
      <c r="AC144" s="85"/>
      <c r="AD144" s="29">
        <v>5000</v>
      </c>
      <c r="AE144" s="24" t="s">
        <v>3158</v>
      </c>
      <c r="AF144" s="94"/>
      <c r="AG144" s="24"/>
      <c r="AH144" s="29"/>
      <c r="AI144" s="85"/>
      <c r="AJ144" s="29"/>
      <c r="AK144" s="24"/>
      <c r="AL144" s="29">
        <v>366</v>
      </c>
      <c r="AM144" s="24" t="s">
        <v>3360</v>
      </c>
      <c r="AN144" s="29"/>
      <c r="AO144" s="24"/>
      <c r="AP144" s="29"/>
      <c r="AQ144" s="24"/>
      <c r="AR144" s="29"/>
      <c r="AS144" s="24"/>
      <c r="AT144" s="62">
        <f>SUM(AT131:AT143)</f>
        <v>1290240.48</v>
      </c>
      <c r="AU144" s="108"/>
      <c r="AV144" s="29"/>
      <c r="AW144" s="24"/>
      <c r="AX144" s="30">
        <v>1970</v>
      </c>
      <c r="AY144" s="24" t="s">
        <v>3540</v>
      </c>
      <c r="AZ144" s="29">
        <v>240000</v>
      </c>
      <c r="BA144" s="24" t="s">
        <v>3644</v>
      </c>
      <c r="BB144" s="29"/>
      <c r="BC144" s="24"/>
      <c r="BD144" s="29"/>
      <c r="BE144" s="24"/>
      <c r="BF144" s="101">
        <v>342870</v>
      </c>
      <c r="BG144" s="57" t="s">
        <v>3738</v>
      </c>
      <c r="BH144" s="29">
        <v>1000</v>
      </c>
      <c r="BI144" s="24" t="s">
        <v>3801</v>
      </c>
      <c r="BJ144" s="29">
        <v>6000</v>
      </c>
      <c r="BK144" s="24" t="s">
        <v>3808</v>
      </c>
      <c r="BL144" s="122">
        <v>1587</v>
      </c>
      <c r="BM144" s="24" t="s">
        <v>3964</v>
      </c>
      <c r="BN144" s="97">
        <f>+SUM(BN131:BN143)</f>
        <v>2359567</v>
      </c>
      <c r="BO144" s="24"/>
      <c r="BP144" s="29"/>
      <c r="BQ144" s="24"/>
      <c r="BR144" s="29"/>
      <c r="BS144" s="24"/>
      <c r="BT144" s="29"/>
      <c r="BU144" s="24"/>
      <c r="BV144" s="29"/>
      <c r="BW144" s="24"/>
      <c r="BX144" s="29"/>
      <c r="BY144" s="24"/>
      <c r="BZ144" s="29"/>
      <c r="CA144" s="24"/>
      <c r="CB144" s="29"/>
      <c r="CC144" s="24"/>
      <c r="CD144" s="29"/>
      <c r="CE144" s="24"/>
      <c r="CF144" s="29"/>
      <c r="CG144" s="24"/>
      <c r="CH144" s="29"/>
      <c r="CI144" s="24"/>
      <c r="CJ144" s="29"/>
      <c r="CK144" s="24"/>
      <c r="CL144" s="29"/>
      <c r="CM144" s="24"/>
      <c r="CN144" s="29"/>
    </row>
    <row r="145" spans="1:92" x14ac:dyDescent="0.25">
      <c r="A145" s="41"/>
      <c r="B145" s="31"/>
      <c r="C145" s="24"/>
      <c r="D145" s="30"/>
      <c r="E145" s="15"/>
      <c r="F145" s="104">
        <v>1099</v>
      </c>
      <c r="G145" s="15" t="s">
        <v>2607</v>
      </c>
      <c r="H145" s="101">
        <v>47601.41</v>
      </c>
      <c r="I145" s="57" t="s">
        <v>2669</v>
      </c>
      <c r="J145" s="63"/>
      <c r="K145" s="57"/>
      <c r="L145" s="30"/>
      <c r="M145" s="15"/>
      <c r="N145" s="30"/>
      <c r="O145" s="15"/>
      <c r="P145" s="30"/>
      <c r="Q145" s="15"/>
      <c r="R145" s="30"/>
      <c r="S145" s="15"/>
      <c r="T145" s="30"/>
      <c r="U145" s="15"/>
      <c r="V145" s="30"/>
      <c r="W145" s="15"/>
      <c r="X145" s="30">
        <v>1970</v>
      </c>
      <c r="Y145" s="15" t="s">
        <v>3035</v>
      </c>
      <c r="Z145" s="30"/>
      <c r="AA145" s="15"/>
      <c r="AB145" s="148"/>
      <c r="AC145" s="86"/>
      <c r="AD145" s="30">
        <v>394545.7</v>
      </c>
      <c r="AE145" s="15" t="s">
        <v>3159</v>
      </c>
      <c r="AF145" s="30"/>
      <c r="AG145" s="15"/>
      <c r="AH145" s="98"/>
      <c r="AI145" s="15"/>
      <c r="AJ145" s="30">
        <f>+AJ142</f>
        <v>749363.85000000009</v>
      </c>
      <c r="AK145" s="15"/>
      <c r="AL145" s="30">
        <v>899</v>
      </c>
      <c r="AM145" s="15" t="s">
        <v>3361</v>
      </c>
      <c r="AN145" s="30"/>
      <c r="AO145" s="15"/>
      <c r="AP145" s="30"/>
      <c r="AQ145" s="15"/>
      <c r="AR145" s="30"/>
      <c r="AS145" s="15"/>
      <c r="AT145" s="105"/>
      <c r="AU145" s="106"/>
      <c r="AV145" s="30"/>
      <c r="AW145" s="15"/>
      <c r="AX145" s="30">
        <v>3250</v>
      </c>
      <c r="AY145" s="15" t="s">
        <v>3544</v>
      </c>
      <c r="AZ145" s="30">
        <v>460000</v>
      </c>
      <c r="BA145" s="15" t="s">
        <v>3645</v>
      </c>
      <c r="BB145" s="30"/>
      <c r="BC145" s="15"/>
      <c r="BD145" s="30"/>
      <c r="BE145" s="15"/>
      <c r="BF145" s="31">
        <v>150000</v>
      </c>
      <c r="BG145" s="24" t="s">
        <v>3740</v>
      </c>
      <c r="BH145" s="97">
        <f>+SUM(BH137:BH144)</f>
        <v>750551.28</v>
      </c>
      <c r="BI145" s="15"/>
      <c r="BJ145" s="30">
        <v>35480.239999999998</v>
      </c>
      <c r="BK145" s="15" t="s">
        <v>3809</v>
      </c>
      <c r="BL145" s="96">
        <v>420</v>
      </c>
      <c r="BM145" s="15" t="s">
        <v>3971</v>
      </c>
      <c r="BN145" s="30"/>
      <c r="BO145" s="15"/>
      <c r="BP145" s="30"/>
      <c r="BQ145" s="15"/>
      <c r="BR145" s="30"/>
      <c r="BS145" s="15"/>
      <c r="BT145" s="30"/>
      <c r="BU145" s="15"/>
      <c r="BV145" s="30"/>
      <c r="BW145" s="15"/>
      <c r="BX145" s="30"/>
      <c r="BY145" s="15"/>
      <c r="BZ145" s="30"/>
      <c r="CA145" s="15"/>
      <c r="CB145" s="30"/>
      <c r="CC145" s="15"/>
      <c r="CD145" s="30"/>
      <c r="CE145" s="15"/>
      <c r="CF145" s="30"/>
      <c r="CG145" s="15"/>
      <c r="CH145" s="30"/>
      <c r="CI145" s="15"/>
      <c r="CJ145" s="30"/>
      <c r="CK145" s="15"/>
      <c r="CL145" s="30"/>
      <c r="CM145" s="15"/>
      <c r="CN145" s="30"/>
    </row>
    <row r="146" spans="1:92" x14ac:dyDescent="0.25">
      <c r="A146" s="50"/>
      <c r="B146" s="31"/>
      <c r="C146" s="24"/>
      <c r="D146" s="31"/>
      <c r="E146" s="57"/>
      <c r="F146" s="101">
        <v>1995</v>
      </c>
      <c r="G146" s="57" t="s">
        <v>2609</v>
      </c>
      <c r="H146" s="148">
        <f>+SUM(H131:H145)</f>
        <v>920463.78</v>
      </c>
      <c r="I146" s="24"/>
      <c r="J146" s="31"/>
      <c r="K146" s="24"/>
      <c r="L146" s="116"/>
      <c r="M146" s="57"/>
      <c r="N146" s="94"/>
      <c r="O146" s="57"/>
      <c r="P146" s="63"/>
      <c r="Q146" s="57"/>
      <c r="R146" s="63"/>
      <c r="S146" s="57"/>
      <c r="T146" s="63"/>
      <c r="U146" s="57"/>
      <c r="V146" s="63"/>
      <c r="W146" s="57"/>
      <c r="X146" s="101">
        <v>1090</v>
      </c>
      <c r="Y146" s="57" t="s">
        <v>3037</v>
      </c>
      <c r="Z146" s="63"/>
      <c r="AA146" s="57"/>
      <c r="AB146" s="31"/>
      <c r="AC146" s="86"/>
      <c r="AD146" s="101">
        <v>1099.01</v>
      </c>
      <c r="AE146" s="57" t="s">
        <v>3178</v>
      </c>
      <c r="AF146" s="63"/>
      <c r="AG146" s="57"/>
      <c r="AH146" s="63">
        <f>+AH143</f>
        <v>1150930.8600000001</v>
      </c>
      <c r="AI146" s="57"/>
      <c r="AJ146" s="63">
        <v>749359.63</v>
      </c>
      <c r="AK146" s="57"/>
      <c r="AL146" s="62">
        <f>SUM(AL131:AL145)</f>
        <v>1494441.5100000002</v>
      </c>
      <c r="AM146" s="57"/>
      <c r="AN146" s="63"/>
      <c r="AO146" s="57"/>
      <c r="AP146" s="63"/>
      <c r="AQ146" s="57"/>
      <c r="AR146" s="30"/>
      <c r="AS146" s="57"/>
      <c r="AT146" s="94">
        <v>4392</v>
      </c>
      <c r="AU146" s="108" t="s">
        <v>3497</v>
      </c>
      <c r="AV146" s="101"/>
      <c r="AW146" s="57"/>
      <c r="AX146" s="96">
        <v>1970</v>
      </c>
      <c r="AY146" s="26" t="s">
        <v>3552</v>
      </c>
      <c r="AZ146" s="101">
        <v>3250</v>
      </c>
      <c r="BA146" s="57" t="s">
        <v>3650</v>
      </c>
      <c r="BB146" s="101"/>
      <c r="BC146" s="57"/>
      <c r="BD146" s="63"/>
      <c r="BE146" s="57"/>
      <c r="BF146" s="31">
        <v>1099</v>
      </c>
      <c r="BG146" s="24" t="s">
        <v>3744</v>
      </c>
      <c r="BH146" s="63"/>
      <c r="BI146" s="57"/>
      <c r="BJ146" s="101">
        <v>224400</v>
      </c>
      <c r="BK146" s="57" t="s">
        <v>3810</v>
      </c>
      <c r="BL146" s="165">
        <v>1970</v>
      </c>
      <c r="BM146" s="57" t="s">
        <v>3971</v>
      </c>
      <c r="BN146" s="101">
        <v>20000</v>
      </c>
      <c r="BO146" s="57" t="s">
        <v>3905</v>
      </c>
      <c r="BP146" s="63"/>
      <c r="BQ146" s="57"/>
      <c r="BR146" s="63"/>
      <c r="BS146" s="57"/>
      <c r="BT146" s="63"/>
      <c r="BU146" s="57"/>
      <c r="BV146" s="63"/>
      <c r="BW146" s="57"/>
      <c r="BX146" s="63"/>
      <c r="BY146" s="57"/>
      <c r="BZ146" s="63"/>
      <c r="CA146" s="57"/>
      <c r="CB146" s="63"/>
      <c r="CC146" s="57"/>
      <c r="CD146" s="63"/>
      <c r="CE146" s="57"/>
      <c r="CF146" s="63"/>
      <c r="CG146" s="57"/>
      <c r="CH146" s="63"/>
      <c r="CI146" s="57"/>
      <c r="CJ146" s="63"/>
      <c r="CK146" s="57"/>
      <c r="CL146" s="63"/>
      <c r="CM146" s="57"/>
      <c r="CN146" s="63"/>
    </row>
    <row r="147" spans="1:92" x14ac:dyDescent="0.25">
      <c r="A147" s="46"/>
      <c r="B147" s="114"/>
      <c r="C147" s="13"/>
      <c r="D147" s="31"/>
      <c r="E147" s="24"/>
      <c r="F147" s="31">
        <v>133</v>
      </c>
      <c r="G147" s="24" t="s">
        <v>2614</v>
      </c>
      <c r="H147" s="148"/>
      <c r="I147" s="24"/>
      <c r="J147" s="31"/>
      <c r="K147" s="24"/>
      <c r="L147" s="31"/>
      <c r="M147" s="24"/>
      <c r="N147" s="31"/>
      <c r="O147" s="24"/>
      <c r="P147" s="31"/>
      <c r="Q147" s="24"/>
      <c r="R147" s="31"/>
      <c r="S147" s="24"/>
      <c r="T147" s="32"/>
      <c r="U147" s="24"/>
      <c r="V147" s="31"/>
      <c r="W147" s="24"/>
      <c r="X147" s="31">
        <v>442</v>
      </c>
      <c r="Y147" s="24" t="s">
        <v>3041</v>
      </c>
      <c r="Z147" s="31"/>
      <c r="AA147" s="24"/>
      <c r="AB147" s="31"/>
      <c r="AC147" s="85"/>
      <c r="AD147" s="148">
        <f>+SUM(AD131:AD146)</f>
        <v>1886883.96</v>
      </c>
      <c r="AE147" s="24"/>
      <c r="AF147" s="31"/>
      <c r="AG147" s="24"/>
      <c r="AH147" s="31">
        <v>1170930.8400000001</v>
      </c>
      <c r="AI147" s="24"/>
      <c r="AJ147" s="31">
        <f>+AJ145-AJ146</f>
        <v>4.2200000000884756</v>
      </c>
      <c r="AK147" s="24"/>
      <c r="AL147" s="31"/>
      <c r="AM147" s="24"/>
      <c r="AN147" s="31"/>
      <c r="AO147" s="24"/>
      <c r="AP147" s="31"/>
      <c r="AQ147" s="24"/>
      <c r="AR147" s="98"/>
      <c r="AS147" s="24"/>
      <c r="AT147" s="78"/>
      <c r="AU147" s="106"/>
      <c r="AV147" s="31"/>
      <c r="AW147" s="24"/>
      <c r="AX147" s="31">
        <v>2360.0100000000002</v>
      </c>
      <c r="AY147" s="24" t="s">
        <v>3560</v>
      </c>
      <c r="AZ147" s="97">
        <f>+SUM(AZ142:AZ146)</f>
        <v>981050</v>
      </c>
      <c r="BA147" s="24"/>
      <c r="BB147" s="104"/>
      <c r="BC147" s="24"/>
      <c r="BD147" s="31"/>
      <c r="BE147" s="24"/>
      <c r="BF147" s="114">
        <v>2723.84</v>
      </c>
      <c r="BG147" s="13" t="s">
        <v>3746</v>
      </c>
      <c r="BH147" s="31"/>
      <c r="BI147" s="24"/>
      <c r="BJ147" s="31">
        <v>343500</v>
      </c>
      <c r="BK147" s="24" t="s">
        <v>3811</v>
      </c>
      <c r="BL147" s="104">
        <v>4395</v>
      </c>
      <c r="BM147" s="24" t="s">
        <v>3972</v>
      </c>
      <c r="BN147" s="31">
        <v>643400</v>
      </c>
      <c r="BO147" s="24" t="s">
        <v>1810</v>
      </c>
      <c r="BP147" s="31"/>
      <c r="BQ147" s="24"/>
      <c r="BR147" s="31"/>
      <c r="BS147" s="24"/>
      <c r="BT147" s="31"/>
      <c r="BU147" s="24"/>
      <c r="BV147" s="31"/>
      <c r="BW147" s="24"/>
      <c r="BX147" s="31"/>
      <c r="BY147" s="24"/>
      <c r="BZ147" s="31"/>
      <c r="CA147" s="24"/>
      <c r="CB147" s="31"/>
      <c r="CC147" s="24"/>
      <c r="CD147" s="31"/>
      <c r="CE147" s="24"/>
      <c r="CF147" s="31"/>
      <c r="CG147" s="24"/>
      <c r="CH147" s="31"/>
      <c r="CI147" s="24"/>
      <c r="CJ147" s="31"/>
      <c r="CK147" s="24"/>
      <c r="CL147" s="31"/>
      <c r="CM147" s="24"/>
      <c r="CN147" s="31"/>
    </row>
    <row r="148" spans="1:92" x14ac:dyDescent="0.25">
      <c r="A148" s="46"/>
      <c r="B148" s="96"/>
      <c r="C148" s="15"/>
      <c r="D148" s="31"/>
      <c r="E148" s="24"/>
      <c r="F148" s="148">
        <f>+SUM(F131:F147)</f>
        <v>777872.27</v>
      </c>
      <c r="G148" s="24"/>
      <c r="H148" s="31"/>
      <c r="I148" s="24"/>
      <c r="J148" s="32"/>
      <c r="K148" s="24"/>
      <c r="L148" s="31"/>
      <c r="M148" s="24"/>
      <c r="N148" s="31"/>
      <c r="O148" s="24"/>
      <c r="P148" s="31"/>
      <c r="Q148" s="24"/>
      <c r="R148" s="31"/>
      <c r="S148" s="24"/>
      <c r="T148" s="33"/>
      <c r="U148" s="24"/>
      <c r="V148" s="31"/>
      <c r="W148" s="24"/>
      <c r="X148" s="148">
        <f>+SUM(X131:X147)</f>
        <v>1190175.4799999997</v>
      </c>
      <c r="Y148" s="24"/>
      <c r="Z148" s="31"/>
      <c r="AA148" s="24"/>
      <c r="AB148" s="31"/>
      <c r="AC148" s="24"/>
      <c r="AD148" s="31"/>
      <c r="AE148" s="24"/>
      <c r="AF148" s="31"/>
      <c r="AG148" s="24"/>
      <c r="AH148" s="31">
        <f>+AH146-AH147</f>
        <v>-19999.979999999981</v>
      </c>
      <c r="AI148" s="24" t="s">
        <v>3242</v>
      </c>
      <c r="AJ148" s="31"/>
      <c r="AK148" s="24"/>
      <c r="AL148" s="31"/>
      <c r="AM148" s="24"/>
      <c r="AN148" s="31"/>
      <c r="AO148" s="26"/>
      <c r="AP148" s="31"/>
      <c r="AQ148" s="24"/>
      <c r="AR148" s="31"/>
      <c r="AS148" s="26"/>
      <c r="AT148" s="78"/>
      <c r="AU148" s="106"/>
      <c r="AV148" s="98"/>
      <c r="AW148" s="24"/>
      <c r="AX148" s="31">
        <v>1089</v>
      </c>
      <c r="AY148" s="24" t="s">
        <v>3562</v>
      </c>
      <c r="AZ148" s="31"/>
      <c r="BA148" s="24"/>
      <c r="BB148" s="104"/>
      <c r="BC148" s="24"/>
      <c r="BD148" s="31"/>
      <c r="BE148" s="24"/>
      <c r="BF148" s="96">
        <v>5500</v>
      </c>
      <c r="BG148" s="15" t="s">
        <v>3748</v>
      </c>
      <c r="BH148" s="31"/>
      <c r="BI148" s="24"/>
      <c r="BJ148" s="104">
        <v>37333.14</v>
      </c>
      <c r="BK148" s="24" t="s">
        <v>1701</v>
      </c>
      <c r="BL148" s="96">
        <v>3250</v>
      </c>
      <c r="BM148" s="15" t="s">
        <v>3973</v>
      </c>
      <c r="BN148" s="31">
        <v>2336.77</v>
      </c>
      <c r="BO148" s="24" t="s">
        <v>3914</v>
      </c>
      <c r="BP148" s="31"/>
      <c r="BQ148" s="24"/>
      <c r="BR148" s="31"/>
      <c r="BS148" s="24"/>
      <c r="BT148" s="31"/>
      <c r="BU148" s="24"/>
      <c r="BV148" s="31"/>
      <c r="BW148" s="24"/>
      <c r="BX148" s="31"/>
      <c r="BY148" s="24"/>
      <c r="BZ148" s="31"/>
      <c r="CA148" s="24"/>
      <c r="CB148" s="31"/>
      <c r="CC148" s="24"/>
      <c r="CD148" s="31"/>
      <c r="CE148" s="24"/>
      <c r="CF148" s="31"/>
      <c r="CG148" s="24"/>
      <c r="CH148" s="31"/>
      <c r="CI148" s="24"/>
      <c r="CJ148" s="31"/>
      <c r="CK148" s="24"/>
      <c r="CL148" s="31"/>
      <c r="CM148" s="24"/>
      <c r="CN148" s="31"/>
    </row>
    <row r="149" spans="1:92" x14ac:dyDescent="0.25">
      <c r="B149" s="116"/>
      <c r="C149" s="24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4"/>
      <c r="S149" s="120"/>
      <c r="T149" s="120"/>
      <c r="U149" s="120"/>
      <c r="V149" s="120"/>
      <c r="W149" s="120"/>
      <c r="X149" s="120"/>
      <c r="Y149" s="120"/>
      <c r="Z149" s="31"/>
      <c r="AA149" s="24"/>
      <c r="AB149" s="120"/>
      <c r="AC149" s="120"/>
      <c r="AD149" s="120"/>
      <c r="AE149" s="120"/>
      <c r="AF149" s="96"/>
      <c r="AG149" s="120"/>
      <c r="AH149" s="120"/>
      <c r="AI149" s="120"/>
      <c r="AJ149" s="120"/>
      <c r="AK149" s="120"/>
      <c r="AL149" s="128"/>
      <c r="AM149" s="120"/>
      <c r="AN149" s="26"/>
      <c r="AO149" s="120"/>
      <c r="AP149" s="30"/>
      <c r="AQ149" s="24"/>
      <c r="AR149" s="26"/>
      <c r="AS149" s="120"/>
      <c r="AT149" s="124"/>
      <c r="AU149" s="120"/>
      <c r="AV149" s="120"/>
      <c r="AW149" s="120"/>
      <c r="AX149" s="96">
        <v>1099.01</v>
      </c>
      <c r="AY149" s="26" t="s">
        <v>3551</v>
      </c>
      <c r="AZ149" s="120"/>
      <c r="BA149" s="120"/>
      <c r="BB149" s="128"/>
      <c r="BC149" s="24"/>
      <c r="BD149" s="120"/>
      <c r="BE149" s="120"/>
      <c r="BF149" s="128">
        <v>4073.43</v>
      </c>
      <c r="BG149" s="154" t="s">
        <v>3752</v>
      </c>
      <c r="BH149" s="120"/>
      <c r="BI149" s="120"/>
      <c r="BJ149" s="128">
        <v>1099</v>
      </c>
      <c r="BK149" s="24" t="s">
        <v>3823</v>
      </c>
      <c r="BL149" s="29">
        <v>2457.9899999999998</v>
      </c>
      <c r="BM149" s="120" t="s">
        <v>3979</v>
      </c>
      <c r="BN149" s="151">
        <f>+BN146+BN147+BN148</f>
        <v>665736.77</v>
      </c>
      <c r="BO149" s="120"/>
    </row>
    <row r="150" spans="1:92" x14ac:dyDescent="0.25">
      <c r="B150" s="116"/>
      <c r="C150" s="24"/>
      <c r="D150" s="120"/>
      <c r="E150" s="120"/>
      <c r="F150" s="120"/>
      <c r="G150" s="120"/>
      <c r="H150" s="120"/>
      <c r="I150" s="124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32"/>
      <c r="AA150" s="24"/>
      <c r="AB150" s="120"/>
      <c r="AC150" s="120"/>
      <c r="AD150" s="120"/>
      <c r="AE150" s="120"/>
      <c r="AF150" s="128"/>
      <c r="AG150" s="120"/>
      <c r="AH150" s="120"/>
      <c r="AI150" s="120"/>
      <c r="AJ150" s="120"/>
      <c r="AK150" s="120"/>
      <c r="AL150" s="150"/>
      <c r="AM150" s="120"/>
      <c r="AN150" s="120"/>
      <c r="AO150" s="120"/>
      <c r="AP150" s="98"/>
      <c r="AQ150" s="24"/>
      <c r="AR150" s="120"/>
      <c r="AS150" s="120"/>
      <c r="AT150" s="120"/>
      <c r="AU150" s="120"/>
      <c r="AV150" s="120"/>
      <c r="AW150" s="120"/>
      <c r="AX150" s="151">
        <f>+SUM(AX131:AX149)</f>
        <v>1127823</v>
      </c>
      <c r="AY150" s="120"/>
      <c r="AZ150" s="120"/>
      <c r="BA150" s="120"/>
      <c r="BB150" s="128"/>
      <c r="BC150" s="24"/>
      <c r="BD150" s="120"/>
      <c r="BE150" s="120"/>
      <c r="BF150" s="128">
        <v>1996.94</v>
      </c>
      <c r="BG150" s="154" t="s">
        <v>3753</v>
      </c>
      <c r="BH150" s="120"/>
      <c r="BI150" s="120"/>
      <c r="BJ150" s="128">
        <v>4395</v>
      </c>
      <c r="BK150" s="24" t="s">
        <v>3824</v>
      </c>
      <c r="BL150" s="97">
        <f>+SUM(BL137:BL149)</f>
        <v>604245.52</v>
      </c>
      <c r="BM150" s="120"/>
      <c r="BN150" s="120"/>
      <c r="BO150" s="120"/>
    </row>
    <row r="151" spans="1:92" x14ac:dyDescent="0.25">
      <c r="B151" s="116"/>
      <c r="C151" s="24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31"/>
      <c r="AA151" s="120"/>
      <c r="AB151" s="120"/>
      <c r="AC151" s="120"/>
      <c r="AD151" s="120"/>
      <c r="AE151" s="120"/>
      <c r="AF151" s="128"/>
      <c r="AG151" s="120"/>
      <c r="AH151" s="120"/>
      <c r="AI151" s="120"/>
      <c r="AJ151" s="120"/>
      <c r="AK151" s="120"/>
      <c r="AL151" s="128"/>
      <c r="AM151" s="120"/>
      <c r="AN151" s="120"/>
      <c r="AO151" s="120"/>
      <c r="AP151" s="32"/>
      <c r="AQ151" s="120"/>
      <c r="AR151" s="120"/>
      <c r="AS151" s="120"/>
      <c r="AT151" s="120"/>
      <c r="AU151" s="120"/>
      <c r="AV151" s="120"/>
      <c r="AW151" s="120"/>
      <c r="AX151" s="128"/>
      <c r="AY151" s="120"/>
      <c r="AZ151" s="120"/>
      <c r="BA151" s="120"/>
      <c r="BB151" s="128"/>
      <c r="BC151" s="24"/>
      <c r="BD151" s="120"/>
      <c r="BE151" s="120"/>
      <c r="BF151" s="128">
        <v>11536.43</v>
      </c>
      <c r="BG151" s="153" t="s">
        <v>3761</v>
      </c>
      <c r="BH151" s="120"/>
      <c r="BI151" s="120"/>
      <c r="BJ151" s="128">
        <v>1099</v>
      </c>
      <c r="BK151" s="24" t="s">
        <v>3825</v>
      </c>
      <c r="BL151" s="124"/>
      <c r="BM151" s="120"/>
      <c r="BN151" s="120"/>
      <c r="BO151" s="120"/>
    </row>
    <row r="152" spans="1:92" x14ac:dyDescent="0.25">
      <c r="B152" s="116"/>
      <c r="C152" s="24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8"/>
      <c r="AG152" s="127"/>
      <c r="AH152" s="120"/>
      <c r="AI152" s="120"/>
      <c r="AJ152" s="120"/>
      <c r="AK152" s="120"/>
      <c r="AL152" s="146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8">
        <v>460000</v>
      </c>
      <c r="AY152" s="120" t="s">
        <v>3632</v>
      </c>
      <c r="AZ152" s="120"/>
      <c r="BA152" s="124"/>
      <c r="BB152" s="128"/>
      <c r="BC152" s="24"/>
      <c r="BD152" s="120"/>
      <c r="BE152" s="120"/>
      <c r="BF152" s="151">
        <f>+SUM(BF131:BF151)</f>
        <v>1412326.7899999998</v>
      </c>
      <c r="BG152" s="120"/>
      <c r="BH152" s="120"/>
      <c r="BI152" s="120"/>
      <c r="BJ152" s="128">
        <v>2583.5300000000002</v>
      </c>
      <c r="BK152" s="24" t="s">
        <v>3838</v>
      </c>
      <c r="BL152" s="120"/>
      <c r="BM152" s="120"/>
      <c r="BN152" s="120"/>
      <c r="BO152" s="120"/>
    </row>
    <row r="153" spans="1:92" x14ac:dyDescent="0.25">
      <c r="B153" s="31"/>
      <c r="C153" s="24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46"/>
      <c r="AG153" s="120"/>
      <c r="AH153" s="120"/>
      <c r="AI153" s="120"/>
      <c r="AJ153" s="120"/>
      <c r="AK153" s="120"/>
      <c r="AL153" s="128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8">
        <v>240000</v>
      </c>
      <c r="AY153" s="127" t="s">
        <v>3634</v>
      </c>
      <c r="AZ153" s="120"/>
      <c r="BA153" s="120"/>
      <c r="BB153" s="128"/>
      <c r="BC153" s="24"/>
      <c r="BD153" s="120"/>
      <c r="BE153" s="120"/>
      <c r="BF153" s="128"/>
      <c r="BG153" s="120"/>
      <c r="BH153" s="120"/>
      <c r="BI153" s="120"/>
      <c r="BJ153" s="96">
        <v>1099</v>
      </c>
      <c r="BK153" s="15" t="s">
        <v>3841</v>
      </c>
      <c r="BL153" s="120"/>
      <c r="BM153" s="120"/>
      <c r="BN153" s="120"/>
      <c r="BO153" s="120"/>
    </row>
    <row r="154" spans="1:92" x14ac:dyDescent="0.25">
      <c r="B154" s="34"/>
      <c r="C154" s="54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8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8">
        <v>15604.37</v>
      </c>
      <c r="AY154" s="127" t="s">
        <v>3635</v>
      </c>
      <c r="AZ154" s="120"/>
      <c r="BA154" s="120"/>
      <c r="BB154" s="128"/>
      <c r="BC154" s="24"/>
      <c r="BD154" s="120"/>
      <c r="BE154" s="120"/>
      <c r="BF154" s="120"/>
      <c r="BG154" s="120"/>
      <c r="BH154" s="120"/>
      <c r="BI154" s="120"/>
      <c r="BJ154" s="156">
        <f>+SUM(BJ139:BJ153)</f>
        <v>1264103.58</v>
      </c>
      <c r="BK154" s="120"/>
      <c r="BL154" s="120"/>
      <c r="BM154" s="120"/>
      <c r="BN154" s="120"/>
      <c r="BO154" s="120"/>
    </row>
    <row r="155" spans="1:92" x14ac:dyDescent="0.25">
      <c r="B155" s="31"/>
      <c r="C155" s="24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8">
        <v>12493.64</v>
      </c>
      <c r="AY155" s="127" t="s">
        <v>3640</v>
      </c>
      <c r="AZ155" s="120"/>
      <c r="BA155" s="120"/>
      <c r="BB155" s="128"/>
      <c r="BC155" s="24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</row>
    <row r="156" spans="1:92" x14ac:dyDescent="0.25">
      <c r="B156" s="31"/>
      <c r="C156" s="24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51">
        <f>+SUM(AX152:AX155)</f>
        <v>728098.01</v>
      </c>
      <c r="AY156" s="120"/>
      <c r="AZ156" s="120"/>
      <c r="BA156" s="120"/>
      <c r="BB156" s="128"/>
      <c r="BC156" s="24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</row>
    <row r="157" spans="1:92" x14ac:dyDescent="0.25">
      <c r="B157" s="31"/>
      <c r="C157" s="24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8"/>
      <c r="AY157" s="127"/>
      <c r="AZ157" s="120"/>
      <c r="BA157" s="120"/>
      <c r="BB157" s="94"/>
      <c r="BC157" s="15"/>
      <c r="BD157" s="9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</row>
    <row r="158" spans="1:92" x14ac:dyDescent="0.25">
      <c r="B158" s="35"/>
      <c r="C158" s="58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94"/>
      <c r="BC158" s="120"/>
      <c r="BD158" s="120"/>
      <c r="BE158" s="120"/>
      <c r="BF158" s="120"/>
      <c r="BG158" s="120"/>
      <c r="BH158" s="120"/>
      <c r="BI158" s="120"/>
      <c r="BJ158" s="149"/>
      <c r="BK158" s="120"/>
      <c r="BL158" s="120"/>
      <c r="BM158" s="120"/>
      <c r="BN158" s="120"/>
      <c r="BO158" s="120"/>
    </row>
    <row r="159" spans="1:92" x14ac:dyDescent="0.25">
      <c r="B159" s="31"/>
      <c r="C159" s="24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8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</row>
    <row r="160" spans="1:92" x14ac:dyDescent="0.25">
      <c r="B160" s="36"/>
      <c r="C160" s="13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5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</row>
    <row r="161" spans="2:67" x14ac:dyDescent="0.25"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4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</row>
    <row r="162" spans="2:67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</row>
    <row r="163" spans="2:67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</row>
    <row r="164" spans="2:67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</row>
    <row r="165" spans="2:67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</row>
    <row r="166" spans="2:67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</row>
    <row r="167" spans="2:67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</row>
    <row r="168" spans="2:67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</row>
    <row r="169" spans="2:67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</row>
    <row r="170" spans="2:67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</row>
    <row r="171" spans="2:67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</row>
    <row r="172" spans="2:67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</row>
    <row r="173" spans="2:67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</row>
    <row r="174" spans="2:67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</row>
    <row r="175" spans="2:67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</row>
    <row r="176" spans="2:67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</row>
    <row r="177" spans="2:47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</row>
    <row r="178" spans="2:47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</row>
    <row r="179" spans="2:47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</row>
    <row r="180" spans="2:47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</row>
    <row r="181" spans="2:47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</row>
    <row r="182" spans="2:47" x14ac:dyDescent="0.25"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</row>
    <row r="183" spans="2:47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</row>
    <row r="184" spans="2:47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</row>
    <row r="185" spans="2:47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</row>
    <row r="186" spans="2:47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86"/>
  <sheetViews>
    <sheetView zoomScale="90" zoomScaleNormal="90" workbookViewId="0">
      <pane xSplit="1" ySplit="1" topLeftCell="AR2" activePane="bottomRight" state="frozen"/>
      <selection pane="topRight" activeCell="B1" sqref="B1"/>
      <selection pane="bottomLeft" activeCell="A2" sqref="A2"/>
      <selection pane="bottomRight" activeCell="BA122" sqref="BA122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4.5703125" bestFit="1" customWidth="1"/>
    <col min="8" max="8" width="12.7109375" bestFit="1" customWidth="1"/>
    <col min="9" max="9" width="12.28515625" bestFit="1" customWidth="1"/>
    <col min="10" max="10" width="13.42578125" bestFit="1" customWidth="1"/>
    <col min="12" max="12" width="13.42578125" bestFit="1" customWidth="1"/>
    <col min="14" max="14" width="13.140625" bestFit="1" customWidth="1"/>
    <col min="16" max="16" width="12.7109375" bestFit="1" customWidth="1"/>
    <col min="18" max="18" width="14.85546875" bestFit="1" customWidth="1"/>
    <col min="20" max="20" width="13.42578125" bestFit="1" customWidth="1"/>
    <col min="22" max="22" width="12.7109375" bestFit="1" customWidth="1"/>
    <col min="24" max="24" width="13.5703125" bestFit="1" customWidth="1"/>
    <col min="26" max="26" width="12.28515625" bestFit="1" customWidth="1"/>
    <col min="28" max="28" width="14.85546875" bestFit="1" customWidth="1"/>
    <col min="30" max="30" width="13.85546875" bestFit="1" customWidth="1"/>
    <col min="31" max="31" width="13.140625" bestFit="1" customWidth="1"/>
    <col min="32" max="32" width="14.85546875" customWidth="1"/>
    <col min="34" max="34" width="13.5703125" bestFit="1" customWidth="1"/>
    <col min="36" max="36" width="12.7109375" bestFit="1" customWidth="1"/>
    <col min="38" max="38" width="15.28515625" bestFit="1" customWidth="1"/>
    <col min="40" max="40" width="13.85546875" bestFit="1" customWidth="1"/>
    <col min="42" max="42" width="13.7109375" customWidth="1"/>
    <col min="44" max="44" width="13" bestFit="1" customWidth="1"/>
    <col min="46" max="46" width="13.85546875" bestFit="1" customWidth="1"/>
    <col min="48" max="48" width="12.7109375" bestFit="1" customWidth="1"/>
    <col min="50" max="50" width="13.85546875" bestFit="1" customWidth="1"/>
    <col min="52" max="52" width="13.85546875" bestFit="1" customWidth="1"/>
    <col min="54" max="54" width="13.85546875" bestFit="1" customWidth="1"/>
    <col min="55" max="55" width="12.7109375" bestFit="1" customWidth="1"/>
    <col min="56" max="56" width="11.5703125" bestFit="1" customWidth="1"/>
    <col min="58" max="58" width="13.85546875" bestFit="1" customWidth="1"/>
    <col min="60" max="60" width="13.140625" bestFit="1" customWidth="1"/>
    <col min="61" max="61" width="11.5703125" bestFit="1" customWidth="1"/>
    <col min="62" max="62" width="13.42578125" bestFit="1" customWidth="1"/>
    <col min="64" max="64" width="13.42578125" bestFit="1" customWidth="1"/>
    <col min="66" max="66" width="15.28515625" bestFit="1" customWidth="1"/>
  </cols>
  <sheetData>
    <row r="1" spans="1:92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spans="1:92" x14ac:dyDescent="0.25">
      <c r="A2" s="47"/>
      <c r="B2" s="142">
        <v>42826</v>
      </c>
      <c r="C2" s="142"/>
      <c r="D2" s="141">
        <v>42828</v>
      </c>
      <c r="E2" s="142"/>
      <c r="F2" s="141">
        <v>42829</v>
      </c>
      <c r="G2" s="142"/>
      <c r="H2" s="141">
        <v>42830</v>
      </c>
      <c r="I2" s="142"/>
      <c r="J2" s="141">
        <v>42831</v>
      </c>
      <c r="K2" s="142"/>
      <c r="L2" s="141">
        <v>42832</v>
      </c>
      <c r="M2" s="142"/>
      <c r="N2" s="141">
        <v>42833</v>
      </c>
      <c r="O2" s="142"/>
      <c r="P2" s="141">
        <v>42835</v>
      </c>
      <c r="Q2" s="142"/>
      <c r="R2" s="141">
        <v>42836</v>
      </c>
      <c r="S2" s="142"/>
      <c r="T2" s="141">
        <v>42837</v>
      </c>
      <c r="U2" s="142"/>
      <c r="V2" s="141">
        <v>42838</v>
      </c>
      <c r="W2" s="142"/>
      <c r="X2" s="141">
        <v>42840</v>
      </c>
      <c r="Y2" s="142"/>
      <c r="Z2" s="141">
        <v>42842</v>
      </c>
      <c r="AA2" s="142"/>
      <c r="AB2" s="141">
        <v>42843</v>
      </c>
      <c r="AC2" s="142"/>
      <c r="AD2" s="141">
        <v>42844</v>
      </c>
      <c r="AE2" s="142"/>
      <c r="AF2" s="141">
        <v>42845</v>
      </c>
      <c r="AG2" s="142"/>
      <c r="AH2" s="141">
        <v>42846</v>
      </c>
      <c r="AI2" s="142"/>
      <c r="AJ2" s="141">
        <v>42847</v>
      </c>
      <c r="AK2" s="142"/>
      <c r="AL2" s="141">
        <v>42849</v>
      </c>
      <c r="AM2" s="142"/>
      <c r="AN2" s="141">
        <v>42850</v>
      </c>
      <c r="AO2" s="142"/>
      <c r="AP2" s="141">
        <v>42851</v>
      </c>
      <c r="AQ2" s="142"/>
      <c r="AR2" s="141">
        <v>42821</v>
      </c>
      <c r="AS2" s="142"/>
      <c r="AT2" s="141">
        <v>42822</v>
      </c>
      <c r="AU2" s="142"/>
      <c r="AV2" s="141">
        <v>42823</v>
      </c>
      <c r="AW2" s="142"/>
      <c r="AX2" s="141">
        <v>42855</v>
      </c>
      <c r="AY2" s="142"/>
      <c r="AZ2" s="141" t="s">
        <v>5251</v>
      </c>
      <c r="BA2" s="142"/>
      <c r="BB2" s="141"/>
      <c r="BC2" s="142"/>
      <c r="BD2" s="141"/>
      <c r="BE2" s="142"/>
      <c r="BF2" s="141"/>
      <c r="BG2" s="142"/>
      <c r="BH2" s="141"/>
      <c r="BI2" s="142"/>
      <c r="BJ2" s="141"/>
      <c r="BK2" s="142"/>
      <c r="BL2" s="141"/>
      <c r="BM2" s="142"/>
      <c r="BN2" s="141"/>
      <c r="BO2" s="142"/>
      <c r="BP2" s="141"/>
      <c r="BQ2" s="142"/>
      <c r="BR2" s="141"/>
      <c r="BS2" s="142"/>
      <c r="BT2" s="141"/>
      <c r="BU2" s="142"/>
      <c r="BV2" s="141"/>
      <c r="BW2" s="142"/>
      <c r="BX2" s="141"/>
      <c r="BY2" s="142"/>
      <c r="BZ2" s="141"/>
      <c r="CA2" s="142"/>
      <c r="CB2" s="141"/>
      <c r="CC2" s="142"/>
      <c r="CD2" s="2"/>
      <c r="CE2" s="55"/>
      <c r="CF2" s="2"/>
      <c r="CG2" s="55"/>
      <c r="CH2" s="2"/>
      <c r="CI2" s="55"/>
      <c r="CJ2" s="2"/>
      <c r="CK2" s="55"/>
      <c r="CL2" s="2"/>
      <c r="CM2" s="55"/>
      <c r="CN2" s="2"/>
    </row>
    <row r="3" spans="1:92" x14ac:dyDescent="0.25">
      <c r="A3" s="38" t="s">
        <v>0</v>
      </c>
      <c r="B3" s="143">
        <v>108445.46</v>
      </c>
      <c r="C3" s="15"/>
      <c r="D3" s="143">
        <v>31939.11</v>
      </c>
      <c r="E3" s="15"/>
      <c r="F3" s="143">
        <v>6991.08</v>
      </c>
      <c r="G3" s="15"/>
      <c r="H3" s="143">
        <v>216179.9</v>
      </c>
      <c r="I3" s="15"/>
      <c r="J3" s="143">
        <v>11686.76</v>
      </c>
      <c r="K3" s="15"/>
      <c r="L3" s="143">
        <v>70068.5</v>
      </c>
      <c r="M3" s="15"/>
      <c r="N3" s="143">
        <v>25631.18</v>
      </c>
      <c r="O3" s="15"/>
      <c r="P3" s="143">
        <v>61059.79</v>
      </c>
      <c r="Q3" s="15"/>
      <c r="R3" s="143">
        <v>25178.75</v>
      </c>
      <c r="S3" s="15"/>
      <c r="T3" s="143">
        <v>21812.77</v>
      </c>
      <c r="U3" s="15"/>
      <c r="V3" s="143">
        <v>390409.81</v>
      </c>
      <c r="W3" s="15"/>
      <c r="X3" s="143"/>
      <c r="Y3" s="15"/>
      <c r="Z3" s="143">
        <v>359985.3</v>
      </c>
      <c r="AA3" s="15"/>
      <c r="AB3" s="143">
        <v>75664.17</v>
      </c>
      <c r="AC3" s="15"/>
      <c r="AD3" s="143">
        <v>176363.42</v>
      </c>
      <c r="AE3" s="15"/>
      <c r="AF3" s="143">
        <v>47984.68</v>
      </c>
      <c r="AG3" s="15"/>
      <c r="AH3" s="143">
        <v>114268.53</v>
      </c>
      <c r="AI3" s="15"/>
      <c r="AJ3" s="143">
        <v>123126.45</v>
      </c>
      <c r="AK3" s="15"/>
      <c r="AL3" s="143">
        <v>86089.42</v>
      </c>
      <c r="AM3" s="15"/>
      <c r="AN3" s="143">
        <v>346921.34</v>
      </c>
      <c r="AO3" s="15"/>
      <c r="AP3" s="143">
        <v>152230.53</v>
      </c>
      <c r="AQ3" s="15"/>
      <c r="AR3" s="143">
        <v>177070.84</v>
      </c>
      <c r="AS3" s="15"/>
      <c r="AT3" s="143">
        <v>225671.02</v>
      </c>
      <c r="AU3" s="15"/>
      <c r="AV3" s="143">
        <v>248480.86</v>
      </c>
      <c r="AW3" s="15"/>
      <c r="AX3" s="143"/>
      <c r="AY3" s="15"/>
      <c r="AZ3" s="143">
        <v>274300</v>
      </c>
      <c r="BA3" s="15"/>
      <c r="BB3" s="143"/>
      <c r="BC3" s="15"/>
      <c r="BD3" s="143"/>
      <c r="BE3" s="15"/>
      <c r="BF3" s="143"/>
      <c r="BG3" s="15"/>
      <c r="BH3" s="143"/>
      <c r="BI3" s="15"/>
      <c r="BJ3" s="143"/>
      <c r="BK3" s="15"/>
      <c r="BL3" s="143"/>
      <c r="BM3" s="15"/>
      <c r="BN3" s="143"/>
      <c r="BO3" s="15"/>
      <c r="BP3" s="143"/>
      <c r="BQ3" s="15"/>
      <c r="BR3" s="143"/>
      <c r="BS3" s="15"/>
      <c r="BT3" s="143"/>
      <c r="BU3" s="15"/>
      <c r="BV3" s="143"/>
      <c r="BW3" s="15"/>
      <c r="BX3" s="143"/>
      <c r="BY3" s="15"/>
      <c r="BZ3" s="143"/>
      <c r="CA3" s="15"/>
      <c r="CB3" s="143"/>
      <c r="CC3" s="15"/>
      <c r="CD3" s="3"/>
      <c r="CE3" s="60"/>
      <c r="CF3" s="3"/>
      <c r="CG3" s="60"/>
      <c r="CH3" s="3"/>
      <c r="CI3" s="60"/>
      <c r="CJ3" s="3"/>
      <c r="CK3" s="60"/>
      <c r="CL3" s="3"/>
      <c r="CM3" s="60"/>
      <c r="CN3" s="3"/>
    </row>
    <row r="4" spans="1:92" x14ac:dyDescent="0.25">
      <c r="A4" s="39"/>
      <c r="B4" s="98"/>
      <c r="C4" s="15"/>
      <c r="D4" s="98">
        <v>13856.19</v>
      </c>
      <c r="E4" s="15"/>
      <c r="F4" s="98">
        <v>203799.61</v>
      </c>
      <c r="G4" s="15"/>
      <c r="H4" s="98">
        <v>39489.56</v>
      </c>
      <c r="I4" s="15"/>
      <c r="J4" s="98">
        <v>24615.51</v>
      </c>
      <c r="K4" s="15"/>
      <c r="L4" s="98"/>
      <c r="M4" s="15"/>
      <c r="N4" s="98"/>
      <c r="O4" s="15"/>
      <c r="P4" s="98">
        <v>150669.01</v>
      </c>
      <c r="Q4" s="15"/>
      <c r="R4" s="98">
        <v>367982.62</v>
      </c>
      <c r="S4" s="15"/>
      <c r="T4" s="98">
        <v>488332.96</v>
      </c>
      <c r="U4" s="15"/>
      <c r="V4" s="98"/>
      <c r="W4" s="15"/>
      <c r="X4" s="98"/>
      <c r="Y4" s="15"/>
      <c r="Z4" s="98"/>
      <c r="AA4" s="15"/>
      <c r="AB4" s="98"/>
      <c r="AC4" s="15"/>
      <c r="AD4" s="98"/>
      <c r="AE4" s="15"/>
      <c r="AF4" s="98"/>
      <c r="AG4" s="15"/>
      <c r="AH4" s="98"/>
      <c r="AI4" s="15"/>
      <c r="AJ4" s="98"/>
      <c r="AK4" s="15"/>
      <c r="AL4" s="98"/>
      <c r="AM4" s="15"/>
      <c r="AN4" s="98"/>
      <c r="AO4" s="15"/>
      <c r="AP4" s="98"/>
      <c r="AQ4" s="15"/>
      <c r="AR4" s="98"/>
      <c r="AS4" s="15"/>
      <c r="AT4" s="98"/>
      <c r="AU4" s="15"/>
      <c r="AV4" s="98"/>
      <c r="AW4" s="15"/>
      <c r="AX4" s="98"/>
      <c r="AY4" s="15"/>
      <c r="AZ4" s="98"/>
      <c r="BA4" s="15"/>
      <c r="BB4" s="98"/>
      <c r="BC4" s="15"/>
      <c r="BD4" s="98"/>
      <c r="BE4" s="15"/>
      <c r="BF4" s="98"/>
      <c r="BG4" s="15"/>
      <c r="BH4" s="98"/>
      <c r="BI4" s="15"/>
      <c r="BJ4" s="98"/>
      <c r="BK4" s="15"/>
      <c r="BL4" s="98"/>
      <c r="BM4" s="15"/>
      <c r="BN4" s="98"/>
      <c r="BO4" s="15"/>
      <c r="BP4" s="98"/>
      <c r="BQ4" s="15"/>
      <c r="BR4" s="98"/>
      <c r="BS4" s="15"/>
      <c r="BT4" s="98"/>
      <c r="BU4" s="15"/>
      <c r="BV4" s="98"/>
      <c r="BW4" s="15"/>
      <c r="BX4" s="98"/>
      <c r="BY4" s="15"/>
      <c r="BZ4" s="98"/>
      <c r="CA4" s="15"/>
      <c r="CB4" s="98"/>
      <c r="CC4" s="15"/>
      <c r="CD4" s="5"/>
      <c r="CE4" s="60"/>
      <c r="CF4" s="5"/>
      <c r="CG4" s="60"/>
      <c r="CH4" s="5"/>
      <c r="CI4" s="60"/>
      <c r="CJ4" s="5"/>
      <c r="CK4" s="60"/>
      <c r="CL4" s="5"/>
      <c r="CM4" s="60"/>
      <c r="CN4" s="5"/>
    </row>
    <row r="5" spans="1:92" x14ac:dyDescent="0.25">
      <c r="A5" s="48"/>
      <c r="B5" s="18"/>
      <c r="C5" s="59"/>
      <c r="D5" s="18"/>
      <c r="E5" s="59"/>
      <c r="F5" s="18"/>
      <c r="G5" s="59"/>
      <c r="H5" s="18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18"/>
      <c r="Y5" s="59"/>
      <c r="Z5" s="18"/>
      <c r="AA5" s="59"/>
      <c r="AB5" s="18"/>
      <c r="AC5" s="59"/>
      <c r="AD5" s="18"/>
      <c r="AE5" s="59"/>
      <c r="AF5" s="18"/>
      <c r="AG5" s="59"/>
      <c r="AH5" s="18"/>
      <c r="AI5" s="59"/>
      <c r="AJ5" s="18"/>
      <c r="AK5" s="59"/>
      <c r="AL5" s="18"/>
      <c r="AM5" s="59"/>
      <c r="AN5" s="75"/>
      <c r="AO5" s="59"/>
      <c r="AP5" s="18"/>
      <c r="AQ5" s="59"/>
      <c r="AR5" s="18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18"/>
      <c r="BK5" s="59"/>
      <c r="BL5" s="18"/>
      <c r="BM5" s="59"/>
      <c r="BN5" s="18"/>
      <c r="BO5" s="59"/>
      <c r="BP5" s="18"/>
      <c r="BQ5" s="59"/>
      <c r="BR5" s="18"/>
      <c r="BS5" s="59"/>
      <c r="BT5" s="18"/>
      <c r="BU5" s="59"/>
      <c r="BV5" s="18"/>
      <c r="BW5" s="59"/>
      <c r="BX5" s="18"/>
      <c r="BY5" s="59"/>
      <c r="BZ5" s="18"/>
      <c r="CA5" s="59"/>
      <c r="CB5" s="18"/>
      <c r="CC5" s="59"/>
      <c r="CD5" s="6"/>
      <c r="CE5" s="56"/>
      <c r="CF5" s="6"/>
      <c r="CG5" s="56"/>
      <c r="CH5" s="6"/>
      <c r="CI5" s="56"/>
      <c r="CJ5" s="6"/>
      <c r="CK5" s="56"/>
      <c r="CL5" s="6"/>
      <c r="CM5" s="56"/>
      <c r="CN5" s="6"/>
    </row>
    <row r="6" spans="1:92" x14ac:dyDescent="0.25">
      <c r="A6" s="41"/>
      <c r="B6" s="9">
        <v>126.09</v>
      </c>
      <c r="C6" s="15" t="s">
        <v>3917</v>
      </c>
      <c r="D6" s="9">
        <v>78.849999999999994</v>
      </c>
      <c r="E6" s="15" t="s">
        <v>4006</v>
      </c>
      <c r="F6" s="9">
        <v>1099.01</v>
      </c>
      <c r="G6" s="15" t="s">
        <v>4040</v>
      </c>
      <c r="H6" s="112">
        <v>3739.87</v>
      </c>
      <c r="I6" s="15" t="s">
        <v>4110</v>
      </c>
      <c r="J6" s="9">
        <v>6088.99</v>
      </c>
      <c r="K6" s="15" t="s">
        <v>4176</v>
      </c>
      <c r="L6" s="9">
        <v>9000</v>
      </c>
      <c r="M6" s="15" t="s">
        <v>4231</v>
      </c>
      <c r="N6" s="9">
        <v>1360</v>
      </c>
      <c r="O6" s="15" t="s">
        <v>4328</v>
      </c>
      <c r="P6" s="9">
        <v>344.58</v>
      </c>
      <c r="Q6" s="15" t="s">
        <v>4293</v>
      </c>
      <c r="R6" s="9">
        <v>18000</v>
      </c>
      <c r="S6" s="15" t="s">
        <v>4381</v>
      </c>
      <c r="T6" s="9">
        <v>175</v>
      </c>
      <c r="U6" s="15" t="s">
        <v>4442</v>
      </c>
      <c r="V6" s="9">
        <v>196500</v>
      </c>
      <c r="W6" s="15" t="s">
        <v>4521</v>
      </c>
      <c r="X6" s="9"/>
      <c r="Y6" s="15"/>
      <c r="Z6" s="9">
        <v>68400</v>
      </c>
      <c r="AA6" s="15" t="s">
        <v>4550</v>
      </c>
      <c r="AB6" s="72">
        <v>2900</v>
      </c>
      <c r="AC6" s="86" t="s">
        <v>4602</v>
      </c>
      <c r="AD6" s="72">
        <v>149400</v>
      </c>
      <c r="AE6" s="15" t="s">
        <v>4673</v>
      </c>
      <c r="AF6" s="9">
        <v>4060</v>
      </c>
      <c r="AG6" s="15" t="s">
        <v>4726</v>
      </c>
      <c r="AH6" s="72">
        <v>926.47</v>
      </c>
      <c r="AI6" s="15" t="s">
        <v>4805</v>
      </c>
      <c r="AJ6" s="9">
        <v>1000</v>
      </c>
      <c r="AK6" s="15" t="s">
        <v>4852</v>
      </c>
      <c r="AL6" s="9">
        <v>10285.75</v>
      </c>
      <c r="AM6" s="15" t="s">
        <v>4900</v>
      </c>
      <c r="AN6" s="9">
        <v>17691</v>
      </c>
      <c r="AO6" s="15" t="s">
        <v>4955</v>
      </c>
      <c r="AP6" s="9">
        <v>131400</v>
      </c>
      <c r="AQ6" s="15" t="s">
        <v>4999</v>
      </c>
      <c r="AR6" s="72">
        <v>808</v>
      </c>
      <c r="AS6" s="24" t="s">
        <v>5044</v>
      </c>
      <c r="AT6" s="9">
        <v>50000</v>
      </c>
      <c r="AU6" s="15" t="s">
        <v>5140</v>
      </c>
      <c r="AV6" s="9">
        <v>200000</v>
      </c>
      <c r="AW6" s="15" t="s">
        <v>5096</v>
      </c>
      <c r="AX6" s="9"/>
      <c r="AY6" s="15"/>
      <c r="AZ6" s="9">
        <v>20000</v>
      </c>
      <c r="BA6" s="15" t="s">
        <v>5255</v>
      </c>
      <c r="BB6" s="9"/>
      <c r="BC6" s="15"/>
      <c r="BD6" s="9"/>
      <c r="BE6" s="15"/>
      <c r="BF6" s="9"/>
      <c r="BG6" s="15"/>
      <c r="BH6" s="9"/>
      <c r="BI6" s="15"/>
      <c r="BJ6" s="9"/>
      <c r="BK6" s="15"/>
      <c r="BL6" s="9"/>
      <c r="BM6" s="15"/>
      <c r="BN6" s="96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</row>
    <row r="7" spans="1:92" x14ac:dyDescent="0.25">
      <c r="A7" s="41"/>
      <c r="B7" s="7">
        <v>4579</v>
      </c>
      <c r="C7" s="26" t="s">
        <v>3920</v>
      </c>
      <c r="D7" s="7">
        <v>2.71</v>
      </c>
      <c r="E7" s="26" t="s">
        <v>4007</v>
      </c>
      <c r="F7" s="9">
        <v>1099.01</v>
      </c>
      <c r="G7" s="26" t="s">
        <v>4041</v>
      </c>
      <c r="H7" s="112">
        <v>585.89</v>
      </c>
      <c r="I7" s="15" t="s">
        <v>4112</v>
      </c>
      <c r="J7" s="7">
        <v>3250.01</v>
      </c>
      <c r="K7" s="26" t="s">
        <v>4179</v>
      </c>
      <c r="L7" s="7">
        <v>20000</v>
      </c>
      <c r="M7" s="26" t="s">
        <v>4232</v>
      </c>
      <c r="N7" s="7">
        <v>300</v>
      </c>
      <c r="O7" s="26" t="s">
        <v>4331</v>
      </c>
      <c r="P7" s="7">
        <v>1037.92</v>
      </c>
      <c r="Q7" s="26" t="s">
        <v>4295</v>
      </c>
      <c r="R7" s="7">
        <v>799.6</v>
      </c>
      <c r="S7" s="26" t="s">
        <v>4383</v>
      </c>
      <c r="T7" s="7">
        <v>6672</v>
      </c>
      <c r="U7" s="26" t="s">
        <v>4444</v>
      </c>
      <c r="V7" s="9">
        <v>185800</v>
      </c>
      <c r="W7" s="26" t="s">
        <v>4526</v>
      </c>
      <c r="X7" s="7"/>
      <c r="Y7" s="26"/>
      <c r="Z7" s="7">
        <v>2900</v>
      </c>
      <c r="AA7" s="26" t="s">
        <v>4551</v>
      </c>
      <c r="AB7" s="87">
        <v>1000</v>
      </c>
      <c r="AC7" s="88" t="s">
        <v>4610</v>
      </c>
      <c r="AD7" s="72">
        <v>1.3</v>
      </c>
      <c r="AE7" s="26" t="s">
        <v>4674</v>
      </c>
      <c r="AF7" s="7">
        <v>211.4</v>
      </c>
      <c r="AG7" s="26" t="s">
        <v>4727</v>
      </c>
      <c r="AH7" s="87">
        <v>95137.25</v>
      </c>
      <c r="AI7" s="26" t="s">
        <v>4811</v>
      </c>
      <c r="AJ7" s="7">
        <v>1920</v>
      </c>
      <c r="AK7" s="26" t="s">
        <v>4856</v>
      </c>
      <c r="AL7" s="7">
        <v>50</v>
      </c>
      <c r="AM7" s="26" t="s">
        <v>4904</v>
      </c>
      <c r="AN7" s="9">
        <v>65000</v>
      </c>
      <c r="AO7" s="26" t="s">
        <v>4948</v>
      </c>
      <c r="AP7" s="7">
        <v>526.86</v>
      </c>
      <c r="AQ7" s="26" t="s">
        <v>5004</v>
      </c>
      <c r="AR7" s="72">
        <v>76.239999999999995</v>
      </c>
      <c r="AS7" s="24" t="s">
        <v>5047</v>
      </c>
      <c r="AT7" s="7">
        <v>6200</v>
      </c>
      <c r="AU7" s="26" t="s">
        <v>5142</v>
      </c>
      <c r="AV7" s="7">
        <v>10620</v>
      </c>
      <c r="AW7" s="26" t="s">
        <v>5101</v>
      </c>
      <c r="AX7" s="7"/>
      <c r="AY7" s="26"/>
      <c r="AZ7" s="7">
        <v>20000</v>
      </c>
      <c r="BA7" s="26" t="s">
        <v>5256</v>
      </c>
      <c r="BB7" s="9"/>
      <c r="BC7" s="26"/>
      <c r="BD7" s="9"/>
      <c r="BE7" s="26"/>
      <c r="BF7" s="7"/>
      <c r="BG7" s="26"/>
      <c r="BH7" s="7"/>
      <c r="BI7" s="26"/>
      <c r="BJ7" s="7"/>
      <c r="BK7" s="26"/>
      <c r="BL7" s="7"/>
      <c r="BM7" s="26"/>
      <c r="BN7" s="96"/>
      <c r="BO7" s="26"/>
      <c r="BP7" s="7"/>
      <c r="BQ7" s="26"/>
      <c r="BR7" s="7"/>
      <c r="BS7" s="26"/>
      <c r="BT7" s="7"/>
      <c r="BU7" s="26"/>
      <c r="BV7" s="7"/>
      <c r="BW7" s="26"/>
      <c r="BX7" s="7"/>
      <c r="BY7" s="26"/>
      <c r="BZ7" s="7"/>
      <c r="CA7" s="26"/>
      <c r="CB7" s="7"/>
      <c r="CC7" s="26"/>
      <c r="CD7" s="7"/>
      <c r="CE7" s="26"/>
      <c r="CF7" s="7"/>
      <c r="CG7" s="26"/>
      <c r="CH7" s="7"/>
      <c r="CI7" s="26"/>
      <c r="CJ7" s="7"/>
      <c r="CK7" s="26"/>
      <c r="CL7" s="7"/>
      <c r="CM7" s="26"/>
      <c r="CN7" s="7"/>
    </row>
    <row r="8" spans="1:92" x14ac:dyDescent="0.25">
      <c r="A8" s="41"/>
      <c r="B8" s="7">
        <v>427.22</v>
      </c>
      <c r="C8" s="26" t="s">
        <v>3923</v>
      </c>
      <c r="D8" s="7">
        <v>10000</v>
      </c>
      <c r="E8" s="26" t="s">
        <v>4009</v>
      </c>
      <c r="F8" s="9">
        <v>1099.01</v>
      </c>
      <c r="G8" s="26" t="s">
        <v>4042</v>
      </c>
      <c r="H8" s="112">
        <v>1754</v>
      </c>
      <c r="I8" s="15" t="s">
        <v>4113</v>
      </c>
      <c r="J8" s="7">
        <v>1919.02</v>
      </c>
      <c r="K8" s="26" t="s">
        <v>4181</v>
      </c>
      <c r="L8" s="7">
        <v>36.03</v>
      </c>
      <c r="M8" s="26" t="s">
        <v>4237</v>
      </c>
      <c r="N8" s="7">
        <v>150</v>
      </c>
      <c r="O8" s="26" t="s">
        <v>4332</v>
      </c>
      <c r="P8" s="7">
        <v>8500</v>
      </c>
      <c r="Q8" s="26" t="s">
        <v>4297</v>
      </c>
      <c r="R8" s="7">
        <v>1099.02</v>
      </c>
      <c r="S8" s="26" t="s">
        <v>4386</v>
      </c>
      <c r="T8" s="7">
        <v>175</v>
      </c>
      <c r="U8" s="26" t="s">
        <v>4447</v>
      </c>
      <c r="V8" s="9">
        <v>696</v>
      </c>
      <c r="W8" s="15" t="s">
        <v>4532</v>
      </c>
      <c r="X8" s="9"/>
      <c r="Y8" s="26"/>
      <c r="Z8" s="7">
        <v>5000</v>
      </c>
      <c r="AA8" s="26" t="s">
        <v>4553</v>
      </c>
      <c r="AB8" s="87">
        <v>93.45</v>
      </c>
      <c r="AC8" s="12" t="s">
        <v>4611</v>
      </c>
      <c r="AD8" s="127">
        <v>224.92</v>
      </c>
      <c r="AE8" s="15" t="s">
        <v>4677</v>
      </c>
      <c r="AF8" s="7">
        <v>10000</v>
      </c>
      <c r="AG8" s="26" t="s">
        <v>4729</v>
      </c>
      <c r="AH8" s="87">
        <v>2065.0100000000002</v>
      </c>
      <c r="AI8" s="26" t="s">
        <v>4814</v>
      </c>
      <c r="AJ8" s="7">
        <v>1709.46</v>
      </c>
      <c r="AK8" s="26" t="s">
        <v>4857</v>
      </c>
      <c r="AL8" s="7">
        <v>45000</v>
      </c>
      <c r="AM8" s="26" t="s">
        <v>4905</v>
      </c>
      <c r="AN8" s="9">
        <v>10000</v>
      </c>
      <c r="AO8" s="26" t="s">
        <v>4949</v>
      </c>
      <c r="AP8" s="7">
        <v>800</v>
      </c>
      <c r="AQ8" s="26" t="s">
        <v>5005</v>
      </c>
      <c r="AR8" s="7">
        <v>2000</v>
      </c>
      <c r="AS8" s="26" t="s">
        <v>5048</v>
      </c>
      <c r="AT8" s="7">
        <v>2610.5100000000002</v>
      </c>
      <c r="AU8" s="26" t="s">
        <v>5143</v>
      </c>
      <c r="AV8" s="7">
        <v>20000</v>
      </c>
      <c r="AW8" s="26" t="s">
        <v>5103</v>
      </c>
      <c r="AX8" s="7"/>
      <c r="AY8" s="26"/>
      <c r="AZ8" s="7">
        <v>5000</v>
      </c>
      <c r="BA8" s="26" t="s">
        <v>5257</v>
      </c>
      <c r="BB8" s="9"/>
      <c r="BC8" s="26"/>
      <c r="BD8" s="9"/>
      <c r="BE8" s="26"/>
      <c r="BF8" s="7"/>
      <c r="BG8" s="26"/>
      <c r="BH8" s="7"/>
      <c r="BI8" s="26"/>
      <c r="BJ8" s="96"/>
      <c r="BK8" s="26"/>
      <c r="BL8" s="7"/>
      <c r="BM8" s="26"/>
      <c r="BN8" s="96"/>
      <c r="BO8" s="26"/>
      <c r="BP8" s="7"/>
      <c r="BQ8" s="26"/>
      <c r="BR8" s="7"/>
      <c r="BS8" s="26"/>
      <c r="BT8" s="7"/>
      <c r="BU8" s="26"/>
      <c r="BV8" s="7"/>
      <c r="BW8" s="26"/>
      <c r="BX8" s="7"/>
      <c r="BY8" s="26"/>
      <c r="BZ8" s="7"/>
      <c r="CA8" s="26"/>
      <c r="CB8" s="7"/>
      <c r="CC8" s="26"/>
      <c r="CD8" s="7"/>
      <c r="CE8" s="26"/>
      <c r="CF8" s="7"/>
      <c r="CG8" s="26"/>
      <c r="CH8" s="7"/>
      <c r="CI8" s="26"/>
      <c r="CJ8" s="7"/>
      <c r="CK8" s="26"/>
      <c r="CL8" s="7"/>
      <c r="CM8" s="26"/>
      <c r="CN8" s="7"/>
    </row>
    <row r="9" spans="1:92" x14ac:dyDescent="0.25">
      <c r="A9" s="41"/>
      <c r="B9" s="9">
        <v>80000</v>
      </c>
      <c r="C9" s="15" t="s">
        <v>3924</v>
      </c>
      <c r="D9" s="9">
        <v>137.25</v>
      </c>
      <c r="E9" s="15" t="s">
        <v>4012</v>
      </c>
      <c r="F9" s="9">
        <v>635</v>
      </c>
      <c r="G9" s="15" t="s">
        <v>4044</v>
      </c>
      <c r="H9" s="112">
        <v>26000</v>
      </c>
      <c r="I9" s="15" t="s">
        <v>4114</v>
      </c>
      <c r="J9" s="9">
        <v>428.56</v>
      </c>
      <c r="K9" s="15" t="s">
        <v>4183</v>
      </c>
      <c r="L9" s="9">
        <v>1943.5</v>
      </c>
      <c r="M9" s="15" t="s">
        <v>4238</v>
      </c>
      <c r="N9" s="9">
        <v>2013.01</v>
      </c>
      <c r="O9" s="15" t="s">
        <v>4340</v>
      </c>
      <c r="P9" s="9">
        <v>656.21</v>
      </c>
      <c r="Q9" s="15" t="s">
        <v>4301</v>
      </c>
      <c r="R9" s="9">
        <v>635</v>
      </c>
      <c r="S9" s="15" t="s">
        <v>4389</v>
      </c>
      <c r="T9" s="9">
        <v>5000</v>
      </c>
      <c r="U9" s="15" t="s">
        <v>4448</v>
      </c>
      <c r="V9" s="9">
        <v>2445.0100000000002</v>
      </c>
      <c r="W9" s="15" t="s">
        <v>4533</v>
      </c>
      <c r="X9" s="9"/>
      <c r="Y9" s="15"/>
      <c r="Z9" s="9">
        <v>842.85</v>
      </c>
      <c r="AA9" s="15" t="s">
        <v>4554</v>
      </c>
      <c r="AB9" s="72">
        <v>37138</v>
      </c>
      <c r="AC9" s="85" t="s">
        <v>4612</v>
      </c>
      <c r="AD9" s="72">
        <v>1200</v>
      </c>
      <c r="AE9" s="15" t="s">
        <v>4678</v>
      </c>
      <c r="AF9" s="9">
        <v>322.76</v>
      </c>
      <c r="AG9" s="15" t="s">
        <v>4733</v>
      </c>
      <c r="AH9" s="72">
        <v>1099.01</v>
      </c>
      <c r="AI9" s="15" t="s">
        <v>4815</v>
      </c>
      <c r="AJ9" s="9">
        <v>140</v>
      </c>
      <c r="AK9" s="15" t="s">
        <v>4744</v>
      </c>
      <c r="AL9" s="9">
        <v>11356.57</v>
      </c>
      <c r="AM9" s="15" t="s">
        <v>4912</v>
      </c>
      <c r="AN9" s="9">
        <v>15318</v>
      </c>
      <c r="AO9" s="15" t="s">
        <v>4956</v>
      </c>
      <c r="AP9" s="9">
        <v>551.07000000000005</v>
      </c>
      <c r="AQ9" s="15" t="s">
        <v>5007</v>
      </c>
      <c r="AR9" s="9">
        <v>115000</v>
      </c>
      <c r="AS9" s="15" t="s">
        <v>5049</v>
      </c>
      <c r="AT9" s="9">
        <v>12000</v>
      </c>
      <c r="AU9" s="15" t="s">
        <v>5147</v>
      </c>
      <c r="AV9" s="9">
        <v>600</v>
      </c>
      <c r="AW9" s="15" t="s">
        <v>5104</v>
      </c>
      <c r="AX9" s="9"/>
      <c r="AY9" s="15"/>
      <c r="AZ9" s="9">
        <v>29000</v>
      </c>
      <c r="BA9" s="15" t="s">
        <v>5258</v>
      </c>
      <c r="BB9" s="72"/>
      <c r="BC9" s="24"/>
      <c r="BD9" s="9"/>
      <c r="BE9" s="15"/>
      <c r="BF9" s="9"/>
      <c r="BG9" s="15"/>
      <c r="BH9" s="9"/>
      <c r="BI9" s="15"/>
      <c r="BJ9" s="96"/>
      <c r="BK9" s="15"/>
      <c r="BL9" s="9"/>
      <c r="BM9" s="15"/>
      <c r="BN9" s="96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</row>
    <row r="10" spans="1:92" x14ac:dyDescent="0.25">
      <c r="A10" s="41"/>
      <c r="B10" s="7">
        <f>2711.94-1686.25</f>
        <v>1025.69</v>
      </c>
      <c r="C10" s="26" t="s">
        <v>3980</v>
      </c>
      <c r="D10" s="7">
        <v>181.09</v>
      </c>
      <c r="E10" s="26" t="s">
        <v>4014</v>
      </c>
      <c r="F10" s="9">
        <v>1800</v>
      </c>
      <c r="G10" s="26" t="s">
        <v>4051</v>
      </c>
      <c r="H10" s="112">
        <v>174909</v>
      </c>
      <c r="I10" s="15" t="s">
        <v>4116</v>
      </c>
      <c r="J10" s="7"/>
      <c r="K10" s="26"/>
      <c r="L10" s="7">
        <v>1615.4</v>
      </c>
      <c r="M10" s="26" t="s">
        <v>4244</v>
      </c>
      <c r="N10" s="7">
        <f>1773.37-1600</f>
        <v>173.36999999999989</v>
      </c>
      <c r="O10" s="26" t="s">
        <v>4341</v>
      </c>
      <c r="P10" s="7">
        <v>1970</v>
      </c>
      <c r="Q10" s="26" t="s">
        <v>4305</v>
      </c>
      <c r="R10" s="7">
        <v>1970</v>
      </c>
      <c r="S10" s="26" t="s">
        <v>4391</v>
      </c>
      <c r="T10" s="7">
        <v>1970</v>
      </c>
      <c r="U10" s="26" t="s">
        <v>4449</v>
      </c>
      <c r="V10" s="9">
        <v>232</v>
      </c>
      <c r="W10" s="26" t="s">
        <v>4535</v>
      </c>
      <c r="X10" s="9"/>
      <c r="Y10" s="26"/>
      <c r="Z10" s="7">
        <v>107500</v>
      </c>
      <c r="AA10" s="26" t="s">
        <v>4559</v>
      </c>
      <c r="AB10" s="87">
        <v>237</v>
      </c>
      <c r="AC10" s="88" t="s">
        <v>4613</v>
      </c>
      <c r="AD10" s="72">
        <v>2500</v>
      </c>
      <c r="AE10" s="26" t="s">
        <v>4686</v>
      </c>
      <c r="AF10" s="7">
        <v>5000</v>
      </c>
      <c r="AG10" s="26" t="s">
        <v>4734</v>
      </c>
      <c r="AH10" s="87">
        <v>539.63</v>
      </c>
      <c r="AI10" s="26" t="s">
        <v>4825</v>
      </c>
      <c r="AJ10" s="7">
        <v>90000</v>
      </c>
      <c r="AK10" s="26" t="s">
        <v>4862</v>
      </c>
      <c r="AL10" s="9">
        <v>200</v>
      </c>
      <c r="AM10" s="26" t="s">
        <v>4915</v>
      </c>
      <c r="AN10" s="9">
        <v>75000</v>
      </c>
      <c r="AO10" s="26" t="s">
        <v>4957</v>
      </c>
      <c r="AP10" s="7">
        <v>3250</v>
      </c>
      <c r="AQ10" s="26" t="s">
        <v>5009</v>
      </c>
      <c r="AR10" s="7">
        <v>20000</v>
      </c>
      <c r="AS10" s="26" t="s">
        <v>5051</v>
      </c>
      <c r="AT10" s="7">
        <v>7290.95</v>
      </c>
      <c r="AU10" s="26" t="s">
        <v>5149</v>
      </c>
      <c r="AV10" s="7">
        <v>928</v>
      </c>
      <c r="AW10" s="26" t="s">
        <v>5111</v>
      </c>
      <c r="AX10" s="7"/>
      <c r="AY10" s="26"/>
      <c r="AZ10" s="7">
        <v>200300</v>
      </c>
      <c r="BA10" s="26" t="s">
        <v>5259</v>
      </c>
      <c r="BB10" s="9"/>
      <c r="BC10" s="26"/>
      <c r="BD10" s="9"/>
      <c r="BE10" s="26"/>
      <c r="BF10" s="7"/>
      <c r="BG10" s="26"/>
      <c r="BH10" s="7"/>
      <c r="BI10" s="26"/>
      <c r="BJ10" s="96"/>
      <c r="BK10" s="26"/>
      <c r="BL10" s="7"/>
      <c r="BM10" s="26"/>
      <c r="BN10" s="96"/>
      <c r="BO10" s="26"/>
      <c r="BP10" s="7"/>
      <c r="BQ10" s="26"/>
      <c r="BR10" s="7"/>
      <c r="BS10" s="26"/>
      <c r="BT10" s="7"/>
      <c r="BU10" s="26"/>
      <c r="BV10" s="7"/>
      <c r="BW10" s="26"/>
      <c r="BX10" s="7"/>
      <c r="BY10" s="26"/>
      <c r="BZ10" s="7"/>
      <c r="CA10" s="26"/>
      <c r="CB10" s="7"/>
      <c r="CC10" s="26"/>
      <c r="CD10" s="7"/>
      <c r="CE10" s="26"/>
      <c r="CF10" s="7"/>
      <c r="CG10" s="26"/>
      <c r="CH10" s="7"/>
      <c r="CI10" s="26"/>
      <c r="CJ10" s="7"/>
      <c r="CK10" s="26"/>
      <c r="CL10" s="7"/>
      <c r="CM10" s="26"/>
      <c r="CN10" s="7"/>
    </row>
    <row r="11" spans="1:92" x14ac:dyDescent="0.25">
      <c r="A11" s="41"/>
      <c r="B11" s="7">
        <v>1970</v>
      </c>
      <c r="C11" s="26" t="s">
        <v>3927</v>
      </c>
      <c r="D11" s="7">
        <v>1027.52</v>
      </c>
      <c r="E11" s="7" t="s">
        <v>4015</v>
      </c>
      <c r="F11" s="9">
        <v>1259.08</v>
      </c>
      <c r="G11" s="26" t="s">
        <v>4050</v>
      </c>
      <c r="H11" s="112">
        <v>2293.5500000000002</v>
      </c>
      <c r="I11" s="15" t="s">
        <v>4118</v>
      </c>
      <c r="J11" s="157">
        <v>1600</v>
      </c>
      <c r="K11" s="26" t="s">
        <v>4186</v>
      </c>
      <c r="L11" s="7">
        <v>2000</v>
      </c>
      <c r="M11" s="26" t="s">
        <v>4247</v>
      </c>
      <c r="N11" s="7">
        <v>1099.01</v>
      </c>
      <c r="O11" s="26" t="s">
        <v>4343</v>
      </c>
      <c r="P11" s="7">
        <v>1000</v>
      </c>
      <c r="Q11" s="26" t="s">
        <v>4308</v>
      </c>
      <c r="R11" s="7">
        <v>738.36</v>
      </c>
      <c r="S11" s="26" t="s">
        <v>4392</v>
      </c>
      <c r="T11" s="7">
        <v>2096.9899999999998</v>
      </c>
      <c r="U11" s="26" t="s">
        <v>4450</v>
      </c>
      <c r="V11" s="9">
        <v>1099.01</v>
      </c>
      <c r="W11" s="26" t="s">
        <v>4537</v>
      </c>
      <c r="X11" s="9"/>
      <c r="Y11" s="26"/>
      <c r="Z11" s="7">
        <v>87500</v>
      </c>
      <c r="AA11" s="26" t="s">
        <v>4562</v>
      </c>
      <c r="AB11" s="87">
        <v>137.25</v>
      </c>
      <c r="AC11" s="86" t="s">
        <v>4616</v>
      </c>
      <c r="AD11" s="9">
        <v>387.79</v>
      </c>
      <c r="AE11" s="15" t="s">
        <v>4694</v>
      </c>
      <c r="AF11" s="7">
        <v>170</v>
      </c>
      <c r="AG11" s="26" t="s">
        <v>4735</v>
      </c>
      <c r="AH11" s="87">
        <v>1099</v>
      </c>
      <c r="AI11" s="26" t="s">
        <v>4826</v>
      </c>
      <c r="AJ11" s="7">
        <v>338.58</v>
      </c>
      <c r="AK11" s="26" t="s">
        <v>4863</v>
      </c>
      <c r="AL11" s="9">
        <v>1.1599999999999999</v>
      </c>
      <c r="AM11" s="26" t="s">
        <v>4917</v>
      </c>
      <c r="AN11" s="9">
        <v>138000</v>
      </c>
      <c r="AO11" s="26" t="s">
        <v>4964</v>
      </c>
      <c r="AP11" s="9">
        <v>1519</v>
      </c>
      <c r="AQ11" s="15" t="s">
        <v>5010</v>
      </c>
      <c r="AR11" s="7">
        <v>8</v>
      </c>
      <c r="AS11" s="26" t="s">
        <v>5052</v>
      </c>
      <c r="AT11" s="7">
        <v>20000</v>
      </c>
      <c r="AU11" s="26" t="s">
        <v>5150</v>
      </c>
      <c r="AV11" s="7">
        <v>3419.02</v>
      </c>
      <c r="AW11" s="26" t="s">
        <v>5113</v>
      </c>
      <c r="AX11" s="7"/>
      <c r="AY11" s="26"/>
      <c r="AZ11" s="9"/>
      <c r="BA11" s="15"/>
      <c r="BB11" s="9"/>
      <c r="BC11" s="26"/>
      <c r="BD11" s="9"/>
      <c r="BE11" s="26"/>
      <c r="BF11" s="7"/>
      <c r="BG11" s="26"/>
      <c r="BH11" s="7"/>
      <c r="BI11" s="26"/>
      <c r="BJ11" s="96"/>
      <c r="BK11" s="26"/>
      <c r="BL11" s="7"/>
      <c r="BM11" s="26"/>
      <c r="BN11" s="96"/>
      <c r="BO11" s="26"/>
      <c r="BP11" s="7"/>
      <c r="BQ11" s="26"/>
      <c r="BR11" s="7"/>
      <c r="BS11" s="26"/>
      <c r="BT11" s="7"/>
      <c r="BU11" s="26"/>
      <c r="BV11" s="7"/>
      <c r="BW11" s="26"/>
      <c r="BX11" s="7"/>
      <c r="BY11" s="26"/>
      <c r="BZ11" s="7"/>
      <c r="CA11" s="26"/>
      <c r="CB11" s="7"/>
      <c r="CC11" s="26"/>
      <c r="CD11" s="7"/>
      <c r="CE11" s="26"/>
      <c r="CF11" s="7"/>
      <c r="CG11" s="26"/>
      <c r="CH11" s="7"/>
      <c r="CI11" s="26"/>
      <c r="CJ11" s="7"/>
      <c r="CK11" s="26"/>
      <c r="CL11" s="7"/>
      <c r="CM11" s="26"/>
      <c r="CN11" s="7"/>
    </row>
    <row r="12" spans="1:92" x14ac:dyDescent="0.25">
      <c r="A12" s="41"/>
      <c r="B12" s="9">
        <v>1099.01</v>
      </c>
      <c r="C12" s="15" t="s">
        <v>3928</v>
      </c>
      <c r="D12" s="9">
        <v>5000</v>
      </c>
      <c r="E12" s="15" t="s">
        <v>4016</v>
      </c>
      <c r="F12" s="9"/>
      <c r="G12" s="15"/>
      <c r="H12" s="112">
        <v>1099.01</v>
      </c>
      <c r="I12" s="15" t="s">
        <v>4121</v>
      </c>
      <c r="J12" s="157">
        <v>5000</v>
      </c>
      <c r="K12" s="15" t="s">
        <v>4188</v>
      </c>
      <c r="L12" s="9">
        <v>8523.3700000000008</v>
      </c>
      <c r="M12" s="15" t="s">
        <v>4251</v>
      </c>
      <c r="N12" s="9">
        <v>6162.73</v>
      </c>
      <c r="O12" s="15" t="s">
        <v>4344</v>
      </c>
      <c r="P12" s="9">
        <v>1168.99</v>
      </c>
      <c r="Q12" s="15" t="s">
        <v>4310</v>
      </c>
      <c r="R12" s="9">
        <v>1936.77</v>
      </c>
      <c r="S12" s="15" t="s">
        <v>4394</v>
      </c>
      <c r="T12" s="9">
        <v>1169</v>
      </c>
      <c r="U12" s="15" t="s">
        <v>4454</v>
      </c>
      <c r="V12" s="9">
        <v>1169</v>
      </c>
      <c r="W12" s="15" t="s">
        <v>4542</v>
      </c>
      <c r="X12" s="9"/>
      <c r="Y12" s="15"/>
      <c r="Z12" s="9">
        <v>4800</v>
      </c>
      <c r="AA12" s="15" t="s">
        <v>4563</v>
      </c>
      <c r="AB12" s="72">
        <v>3008.7</v>
      </c>
      <c r="AC12" s="88" t="s">
        <v>4620</v>
      </c>
      <c r="AD12" s="72">
        <v>2500</v>
      </c>
      <c r="AE12" s="15" t="s">
        <v>4696</v>
      </c>
      <c r="AF12" s="9">
        <v>70</v>
      </c>
      <c r="AG12" s="15" t="s">
        <v>4744</v>
      </c>
      <c r="AH12" s="72">
        <v>1099.01</v>
      </c>
      <c r="AI12" s="15" t="s">
        <v>4827</v>
      </c>
      <c r="AJ12" s="9">
        <v>464</v>
      </c>
      <c r="AK12" s="15" t="s">
        <v>4864</v>
      </c>
      <c r="AL12" s="9">
        <v>3575.92</v>
      </c>
      <c r="AM12" s="15" t="s">
        <v>4918</v>
      </c>
      <c r="AN12" s="9">
        <v>1294.25</v>
      </c>
      <c r="AO12" s="15" t="s">
        <v>4969</v>
      </c>
      <c r="AP12" s="9">
        <v>2935.98</v>
      </c>
      <c r="AQ12" s="15" t="s">
        <v>5011</v>
      </c>
      <c r="AR12" s="9">
        <v>20000</v>
      </c>
      <c r="AS12" s="15" t="s">
        <v>5053</v>
      </c>
      <c r="AT12" s="9">
        <v>100000</v>
      </c>
      <c r="AU12" s="15" t="s">
        <v>5152</v>
      </c>
      <c r="AV12" s="9">
        <v>1559.01</v>
      </c>
      <c r="AW12" s="15" t="s">
        <v>5120</v>
      </c>
      <c r="AX12" s="9"/>
      <c r="AY12" s="15"/>
      <c r="AZ12" s="9"/>
      <c r="BA12" s="15"/>
      <c r="BB12" s="9"/>
      <c r="BC12" s="15"/>
      <c r="BD12" s="9"/>
      <c r="BE12" s="15"/>
      <c r="BF12" s="9"/>
      <c r="BG12" s="15"/>
      <c r="BH12" s="9"/>
      <c r="BI12" s="15"/>
      <c r="BJ12" s="96"/>
      <c r="BK12" s="15"/>
      <c r="BL12" s="9"/>
      <c r="BM12" s="15"/>
      <c r="BN12" s="96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</row>
    <row r="13" spans="1:92" x14ac:dyDescent="0.25">
      <c r="A13" s="41"/>
      <c r="B13" s="9">
        <v>1099.01</v>
      </c>
      <c r="C13" s="15" t="s">
        <v>3929</v>
      </c>
      <c r="D13" s="9">
        <v>100</v>
      </c>
      <c r="E13" s="15" t="s">
        <v>4018</v>
      </c>
      <c r="F13" s="9">
        <v>136</v>
      </c>
      <c r="G13" s="15" t="s">
        <v>4070</v>
      </c>
      <c r="H13" s="112">
        <v>1171.02</v>
      </c>
      <c r="I13" s="15" t="s">
        <v>4122</v>
      </c>
      <c r="J13" s="157">
        <v>1800.01</v>
      </c>
      <c r="K13" s="15" t="s">
        <v>4199</v>
      </c>
      <c r="L13" s="9">
        <v>7941.37</v>
      </c>
      <c r="M13" s="15" t="s">
        <v>4252</v>
      </c>
      <c r="N13" s="9">
        <v>1099.01</v>
      </c>
      <c r="O13" s="15" t="s">
        <v>4345</v>
      </c>
      <c r="P13" s="9">
        <v>4395.01</v>
      </c>
      <c r="Q13" s="15" t="s">
        <v>4312</v>
      </c>
      <c r="R13" s="9"/>
      <c r="S13" s="15"/>
      <c r="T13" s="9">
        <v>464</v>
      </c>
      <c r="U13" s="15" t="s">
        <v>4455</v>
      </c>
      <c r="V13" s="9">
        <v>1099</v>
      </c>
      <c r="W13" s="15" t="s">
        <v>4543</v>
      </c>
      <c r="X13" s="9"/>
      <c r="Y13" s="15"/>
      <c r="Z13" s="9">
        <v>10760.02</v>
      </c>
      <c r="AA13" s="15" t="s">
        <v>4570</v>
      </c>
      <c r="AB13" s="72">
        <v>175</v>
      </c>
      <c r="AC13" s="86" t="s">
        <v>4625</v>
      </c>
      <c r="AD13" s="72">
        <v>1970</v>
      </c>
      <c r="AE13" s="15" t="s">
        <v>4698</v>
      </c>
      <c r="AF13" s="9">
        <v>674.59</v>
      </c>
      <c r="AG13" s="15" t="s">
        <v>4745</v>
      </c>
      <c r="AH13" s="72">
        <v>1169</v>
      </c>
      <c r="AI13" s="15" t="s">
        <v>4747</v>
      </c>
      <c r="AJ13" s="9">
        <v>1169</v>
      </c>
      <c r="AK13" s="15" t="s">
        <v>4867</v>
      </c>
      <c r="AL13" s="9">
        <v>1145.3399999999999</v>
      </c>
      <c r="AM13" s="15" t="s">
        <v>4923</v>
      </c>
      <c r="AN13" s="9">
        <v>2458.0100000000002</v>
      </c>
      <c r="AO13" s="26" t="s">
        <v>4971</v>
      </c>
      <c r="AP13" s="7">
        <v>1168.99</v>
      </c>
      <c r="AQ13" s="26" t="s">
        <v>5012</v>
      </c>
      <c r="AR13" s="9">
        <v>1169.01</v>
      </c>
      <c r="AS13" s="15" t="s">
        <v>5062</v>
      </c>
      <c r="AT13" s="9">
        <v>506</v>
      </c>
      <c r="AU13" s="15" t="s">
        <v>5163</v>
      </c>
      <c r="AV13" s="9">
        <v>1169</v>
      </c>
      <c r="AW13" s="15" t="s">
        <v>5121</v>
      </c>
      <c r="AX13" s="9"/>
      <c r="AY13" s="15"/>
      <c r="AZ13" s="9"/>
      <c r="BA13" s="15"/>
      <c r="BB13" s="9"/>
      <c r="BC13" s="15"/>
      <c r="BD13" s="9"/>
      <c r="BE13" s="15"/>
      <c r="BF13" s="9"/>
      <c r="BG13" s="15"/>
      <c r="BH13" s="9"/>
      <c r="BI13" s="15"/>
      <c r="BJ13" s="96"/>
      <c r="BK13" s="15"/>
      <c r="BL13" s="9"/>
      <c r="BM13" s="15"/>
      <c r="BN13" s="96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</row>
    <row r="14" spans="1:92" x14ac:dyDescent="0.25">
      <c r="A14" s="41"/>
      <c r="B14" s="7">
        <v>4395.01</v>
      </c>
      <c r="C14" s="26" t="s">
        <v>3930</v>
      </c>
      <c r="D14" s="7">
        <v>1099.01</v>
      </c>
      <c r="E14" s="26" t="s">
        <v>4019</v>
      </c>
      <c r="F14" s="9">
        <v>140000</v>
      </c>
      <c r="G14" s="26" t="s">
        <v>4071</v>
      </c>
      <c r="H14" s="112">
        <v>1099.01</v>
      </c>
      <c r="I14" s="26" t="s">
        <v>4124</v>
      </c>
      <c r="J14" s="157">
        <v>1450</v>
      </c>
      <c r="K14" s="26" t="s">
        <v>4200</v>
      </c>
      <c r="L14" s="7">
        <v>250</v>
      </c>
      <c r="M14" s="26" t="s">
        <v>4258</v>
      </c>
      <c r="N14" s="7">
        <v>1100</v>
      </c>
      <c r="O14" s="26" t="s">
        <v>4352</v>
      </c>
      <c r="P14" s="7">
        <v>1995</v>
      </c>
      <c r="Q14" s="26" t="s">
        <v>4314</v>
      </c>
      <c r="R14" s="7">
        <v>97000</v>
      </c>
      <c r="S14" s="26" t="s">
        <v>4397</v>
      </c>
      <c r="T14" s="7">
        <v>3727</v>
      </c>
      <c r="U14" s="26" t="s">
        <v>4458</v>
      </c>
      <c r="V14" s="9">
        <v>82.93</v>
      </c>
      <c r="W14" s="26" t="s">
        <v>4549</v>
      </c>
      <c r="X14" s="9"/>
      <c r="Y14" s="26"/>
      <c r="Z14" s="9">
        <v>173.12</v>
      </c>
      <c r="AA14" s="15" t="s">
        <v>4571</v>
      </c>
      <c r="AB14" s="87">
        <v>1753.07</v>
      </c>
      <c r="AC14" s="86" t="s">
        <v>4626</v>
      </c>
      <c r="AD14" s="72">
        <v>3250</v>
      </c>
      <c r="AE14" s="26" t="s">
        <v>4699</v>
      </c>
      <c r="AF14" s="7">
        <v>464</v>
      </c>
      <c r="AG14" s="26" t="s">
        <v>4748</v>
      </c>
      <c r="AH14" s="87">
        <v>2420</v>
      </c>
      <c r="AI14" s="26" t="s">
        <v>4829</v>
      </c>
      <c r="AJ14" s="7">
        <v>1169</v>
      </c>
      <c r="AK14" s="26" t="s">
        <v>4869</v>
      </c>
      <c r="AL14" s="9">
        <v>1314.66</v>
      </c>
      <c r="AM14" s="26" t="s">
        <v>4924</v>
      </c>
      <c r="AN14" s="9">
        <v>3500.01</v>
      </c>
      <c r="AO14" s="26" t="s">
        <v>4972</v>
      </c>
      <c r="AP14" s="7">
        <v>1769.7</v>
      </c>
      <c r="AQ14" s="26" t="s">
        <v>5014</v>
      </c>
      <c r="AR14" s="7">
        <v>1099</v>
      </c>
      <c r="AS14" s="26" t="s">
        <v>5067</v>
      </c>
      <c r="AT14" s="7">
        <v>2900</v>
      </c>
      <c r="AU14" s="26" t="s">
        <v>5164</v>
      </c>
      <c r="AV14" s="7">
        <v>1970</v>
      </c>
      <c r="AW14" s="26" t="s">
        <v>5125</v>
      </c>
      <c r="AX14" s="7"/>
      <c r="AY14" s="26"/>
      <c r="AZ14" s="9"/>
      <c r="BA14" s="15"/>
      <c r="BB14" s="9"/>
      <c r="BC14" s="26"/>
      <c r="BD14" s="9"/>
      <c r="BE14" s="26"/>
      <c r="BF14" s="9"/>
      <c r="BG14" s="15"/>
      <c r="BH14" s="9"/>
      <c r="BI14" s="15"/>
      <c r="BJ14" s="96"/>
      <c r="BK14" s="26"/>
      <c r="BL14" s="7"/>
      <c r="BM14" s="26"/>
      <c r="BN14" s="96"/>
      <c r="BO14" s="26"/>
      <c r="BP14" s="7"/>
      <c r="BQ14" s="26"/>
      <c r="BR14" s="7"/>
      <c r="BS14" s="26"/>
      <c r="BT14" s="7"/>
      <c r="BU14" s="26"/>
      <c r="BV14" s="7"/>
      <c r="BW14" s="26"/>
      <c r="BX14" s="7"/>
      <c r="BY14" s="26"/>
      <c r="BZ14" s="7"/>
      <c r="CA14" s="26"/>
      <c r="CB14" s="7"/>
      <c r="CC14" s="26"/>
      <c r="CD14" s="7"/>
      <c r="CE14" s="26"/>
      <c r="CF14" s="7"/>
      <c r="CG14" s="26"/>
      <c r="CH14" s="7"/>
      <c r="CI14" s="26"/>
      <c r="CJ14" s="7"/>
      <c r="CK14" s="26"/>
      <c r="CL14" s="7"/>
      <c r="CM14" s="26"/>
      <c r="CN14" s="7"/>
    </row>
    <row r="15" spans="1:92" x14ac:dyDescent="0.25">
      <c r="A15" s="41"/>
      <c r="B15" s="7">
        <v>52.2</v>
      </c>
      <c r="C15" s="26" t="s">
        <v>3936</v>
      </c>
      <c r="D15" s="7">
        <v>4160</v>
      </c>
      <c r="E15" s="26" t="s">
        <v>4020</v>
      </c>
      <c r="F15" s="9">
        <v>1000</v>
      </c>
      <c r="G15" s="26" t="s">
        <v>4073</v>
      </c>
      <c r="H15" s="112">
        <v>1970</v>
      </c>
      <c r="I15" s="26" t="s">
        <v>4126</v>
      </c>
      <c r="J15" s="157">
        <v>1970</v>
      </c>
      <c r="K15" s="26" t="s">
        <v>4204</v>
      </c>
      <c r="L15" s="7">
        <v>1099</v>
      </c>
      <c r="M15" s="26" t="s">
        <v>4260</v>
      </c>
      <c r="N15" s="7">
        <v>1350</v>
      </c>
      <c r="O15" s="26" t="s">
        <v>4359</v>
      </c>
      <c r="P15" s="7">
        <v>3320.01</v>
      </c>
      <c r="Q15" s="26" t="s">
        <v>4315</v>
      </c>
      <c r="R15" s="7">
        <v>125137.25</v>
      </c>
      <c r="S15" s="26" t="s">
        <v>4396</v>
      </c>
      <c r="T15" s="7">
        <v>85.84</v>
      </c>
      <c r="U15" s="26" t="s">
        <v>4462</v>
      </c>
      <c r="V15" s="7">
        <v>1286.8499999999999</v>
      </c>
      <c r="W15" s="26" t="s">
        <v>4523</v>
      </c>
      <c r="X15" s="9"/>
      <c r="Y15" s="26"/>
      <c r="Z15" s="9">
        <v>1000</v>
      </c>
      <c r="AA15" s="15" t="s">
        <v>4572</v>
      </c>
      <c r="AB15" s="87">
        <v>7805.3</v>
      </c>
      <c r="AC15" s="88" t="s">
        <v>4628</v>
      </c>
      <c r="AD15" s="72">
        <v>1099</v>
      </c>
      <c r="AE15" s="26" t="s">
        <v>4700</v>
      </c>
      <c r="AF15" s="7">
        <v>232</v>
      </c>
      <c r="AG15" s="26" t="s">
        <v>4756</v>
      </c>
      <c r="AH15" s="87">
        <v>1168.99</v>
      </c>
      <c r="AI15" s="26" t="s">
        <v>4830</v>
      </c>
      <c r="AJ15" s="7">
        <v>1433.03</v>
      </c>
      <c r="AK15" s="26" t="s">
        <v>4870</v>
      </c>
      <c r="AL15" s="9">
        <v>4395.01</v>
      </c>
      <c r="AM15" s="26" t="s">
        <v>4925</v>
      </c>
      <c r="AN15" s="11">
        <v>2040</v>
      </c>
      <c r="AO15" s="12" t="s">
        <v>4973</v>
      </c>
      <c r="AP15" s="7">
        <v>1657.01</v>
      </c>
      <c r="AQ15" s="26" t="s">
        <v>5020</v>
      </c>
      <c r="AR15" s="7">
        <f>1169-500</f>
        <v>669</v>
      </c>
      <c r="AS15" s="26" t="s">
        <v>5068</v>
      </c>
      <c r="AT15" s="7">
        <v>1630.01</v>
      </c>
      <c r="AU15" s="26" t="s">
        <v>5167</v>
      </c>
      <c r="AV15" s="7">
        <v>1999</v>
      </c>
      <c r="AW15" s="26" t="s">
        <v>5126</v>
      </c>
      <c r="AX15" s="7"/>
      <c r="AY15" s="26"/>
      <c r="AZ15" s="9"/>
      <c r="BA15" s="15"/>
      <c r="BB15" s="9"/>
      <c r="BC15" s="26"/>
      <c r="BD15" s="9"/>
      <c r="BE15" s="26"/>
      <c r="BF15" s="9"/>
      <c r="BG15" s="26"/>
      <c r="BH15" s="7"/>
      <c r="BI15" s="26"/>
      <c r="BJ15" s="96"/>
      <c r="BK15" s="26"/>
      <c r="BL15" s="7"/>
      <c r="BM15" s="26"/>
      <c r="BN15" s="96"/>
      <c r="BO15" s="26"/>
      <c r="BP15" s="7"/>
      <c r="BQ15" s="26"/>
      <c r="BR15" s="7"/>
      <c r="BS15" s="26"/>
      <c r="BT15" s="7"/>
      <c r="BU15" s="26"/>
      <c r="BV15" s="7"/>
      <c r="BW15" s="26"/>
      <c r="BX15" s="7"/>
      <c r="BY15" s="26"/>
      <c r="BZ15" s="7"/>
      <c r="CA15" s="26"/>
      <c r="CB15" s="7"/>
      <c r="CC15" s="26"/>
      <c r="CD15" s="7"/>
      <c r="CE15" s="26"/>
      <c r="CF15" s="7"/>
      <c r="CG15" s="26"/>
      <c r="CH15" s="7"/>
      <c r="CI15" s="26"/>
      <c r="CJ15" s="7"/>
      <c r="CK15" s="26"/>
      <c r="CL15" s="7"/>
      <c r="CM15" s="26"/>
      <c r="CN15" s="7"/>
    </row>
    <row r="16" spans="1:92" x14ac:dyDescent="0.25">
      <c r="A16" s="41"/>
      <c r="B16" s="7">
        <v>400</v>
      </c>
      <c r="C16" s="26" t="s">
        <v>3937</v>
      </c>
      <c r="D16" s="7">
        <v>1099.01</v>
      </c>
      <c r="E16" s="26" t="s">
        <v>4025</v>
      </c>
      <c r="F16" s="9">
        <v>45470.17</v>
      </c>
      <c r="G16" s="26" t="s">
        <v>4074</v>
      </c>
      <c r="H16" s="112">
        <v>497.57</v>
      </c>
      <c r="I16" s="26" t="s">
        <v>4128</v>
      </c>
      <c r="J16" s="157">
        <v>1998.99</v>
      </c>
      <c r="K16" s="26" t="s">
        <v>4205</v>
      </c>
      <c r="L16" s="7">
        <v>1099.01</v>
      </c>
      <c r="M16" s="26" t="s">
        <v>4262</v>
      </c>
      <c r="N16" s="7">
        <v>1900.01</v>
      </c>
      <c r="O16" s="26" t="s">
        <v>4360</v>
      </c>
      <c r="P16" s="7">
        <v>2040</v>
      </c>
      <c r="Q16" s="26" t="s">
        <v>4316</v>
      </c>
      <c r="R16" s="7">
        <v>5000</v>
      </c>
      <c r="S16" s="26" t="s">
        <v>4398</v>
      </c>
      <c r="T16" s="7">
        <v>277.94</v>
      </c>
      <c r="U16" s="26" t="s">
        <v>4463</v>
      </c>
      <c r="V16" s="9"/>
      <c r="W16" s="26"/>
      <c r="X16" s="9"/>
      <c r="Y16" s="26"/>
      <c r="Z16" s="9">
        <v>5000</v>
      </c>
      <c r="AA16" s="15" t="s">
        <v>4573</v>
      </c>
      <c r="AB16" s="87">
        <v>156.57</v>
      </c>
      <c r="AC16" s="88" t="s">
        <v>4629</v>
      </c>
      <c r="AD16" s="72">
        <v>2040</v>
      </c>
      <c r="AE16" s="26" t="s">
        <v>4701</v>
      </c>
      <c r="AF16" s="7">
        <v>1970</v>
      </c>
      <c r="AG16" s="26" t="s">
        <v>4759</v>
      </c>
      <c r="AH16" s="87">
        <v>1099.01</v>
      </c>
      <c r="AI16" s="9" t="s">
        <v>4831</v>
      </c>
      <c r="AJ16" s="7">
        <v>1970</v>
      </c>
      <c r="AK16" s="26" t="s">
        <v>4871</v>
      </c>
      <c r="AL16" s="9">
        <v>1169</v>
      </c>
      <c r="AM16" s="26" t="s">
        <v>4929</v>
      </c>
      <c r="AN16" s="9">
        <v>2065</v>
      </c>
      <c r="AO16" s="26" t="s">
        <v>4974</v>
      </c>
      <c r="AP16" s="7">
        <f>570.02-36.3</f>
        <v>533.72</v>
      </c>
      <c r="AQ16" s="7" t="s">
        <v>5027</v>
      </c>
      <c r="AR16" s="7">
        <v>1099.01</v>
      </c>
      <c r="AS16" s="26" t="s">
        <v>5070</v>
      </c>
      <c r="AT16" s="7">
        <v>1168.99</v>
      </c>
      <c r="AU16" s="26" t="s">
        <v>5169</v>
      </c>
      <c r="AV16" s="7">
        <v>1928.31</v>
      </c>
      <c r="AW16" s="26" t="s">
        <v>5133</v>
      </c>
      <c r="AX16" s="7"/>
      <c r="AY16" s="26"/>
      <c r="AZ16" s="9"/>
      <c r="BA16" s="15"/>
      <c r="BB16" s="9"/>
      <c r="BC16" s="26"/>
      <c r="BD16" s="9"/>
      <c r="BE16" s="26"/>
      <c r="BF16" s="9"/>
      <c r="BG16" s="26"/>
      <c r="BH16" s="7"/>
      <c r="BI16" s="26"/>
      <c r="BJ16" s="96"/>
      <c r="BK16" s="26"/>
      <c r="BL16" s="7"/>
      <c r="BM16" s="26"/>
      <c r="BN16" s="96"/>
      <c r="BO16" s="26"/>
      <c r="BP16" s="7"/>
      <c r="BQ16" s="26"/>
      <c r="BR16" s="7"/>
      <c r="BS16" s="26"/>
      <c r="BT16" s="7"/>
      <c r="BU16" s="26"/>
      <c r="BV16" s="7"/>
      <c r="BW16" s="26"/>
      <c r="BX16" s="7"/>
      <c r="BY16" s="26"/>
      <c r="BZ16" s="7"/>
      <c r="CA16" s="26"/>
      <c r="CB16" s="7"/>
      <c r="CC16" s="26"/>
      <c r="CD16" s="7"/>
      <c r="CE16" s="26"/>
      <c r="CF16" s="7"/>
      <c r="CG16" s="26"/>
      <c r="CH16" s="7"/>
      <c r="CI16" s="26"/>
      <c r="CJ16" s="7"/>
      <c r="CK16" s="26"/>
      <c r="CL16" s="7"/>
      <c r="CM16" s="26"/>
      <c r="CN16" s="7"/>
    </row>
    <row r="17" spans="1:92" x14ac:dyDescent="0.25">
      <c r="A17" s="41"/>
      <c r="B17" s="7">
        <v>1952.26</v>
      </c>
      <c r="C17" s="26" t="s">
        <v>3981</v>
      </c>
      <c r="D17" s="7">
        <v>1099.01</v>
      </c>
      <c r="E17" s="26" t="s">
        <v>4028</v>
      </c>
      <c r="F17" s="9">
        <v>1358.08</v>
      </c>
      <c r="G17" s="26" t="s">
        <v>4080</v>
      </c>
      <c r="H17" s="112">
        <v>940.57</v>
      </c>
      <c r="I17" s="26" t="s">
        <v>4129</v>
      </c>
      <c r="J17" s="157">
        <v>3168.99</v>
      </c>
      <c r="K17" s="26" t="s">
        <v>4209</v>
      </c>
      <c r="L17" s="7">
        <v>1099</v>
      </c>
      <c r="M17" s="26" t="s">
        <v>4263</v>
      </c>
      <c r="N17" s="7">
        <v>1099.01</v>
      </c>
      <c r="O17" s="26" t="s">
        <v>4361</v>
      </c>
      <c r="P17" s="7">
        <v>1169</v>
      </c>
      <c r="Q17" s="26" t="s">
        <v>4317</v>
      </c>
      <c r="R17" s="7">
        <v>5013</v>
      </c>
      <c r="S17" s="26" t="s">
        <v>4399</v>
      </c>
      <c r="T17" s="9"/>
      <c r="U17" s="26"/>
      <c r="V17" s="9"/>
      <c r="W17" s="26"/>
      <c r="X17" s="9"/>
      <c r="Y17" s="26"/>
      <c r="Z17" s="7">
        <v>3000</v>
      </c>
      <c r="AA17" s="26" t="s">
        <v>4576</v>
      </c>
      <c r="AB17" s="87">
        <v>1970.02</v>
      </c>
      <c r="AC17" s="88" t="s">
        <v>4631</v>
      </c>
      <c r="AD17" s="72">
        <v>4464.9799999999996</v>
      </c>
      <c r="AE17" s="26" t="s">
        <v>4703</v>
      </c>
      <c r="AF17" s="7">
        <v>1169</v>
      </c>
      <c r="AG17" s="26" t="s">
        <v>4762</v>
      </c>
      <c r="AH17" s="87">
        <v>1304.48</v>
      </c>
      <c r="AI17" s="26" t="s">
        <v>4835</v>
      </c>
      <c r="AJ17" s="7">
        <v>2040</v>
      </c>
      <c r="AK17" s="26" t="s">
        <v>4872</v>
      </c>
      <c r="AL17" s="9">
        <v>1099.02</v>
      </c>
      <c r="AM17" s="26" t="s">
        <v>4930</v>
      </c>
      <c r="AN17" s="9">
        <v>1168.99</v>
      </c>
      <c r="AO17" s="26" t="s">
        <v>4975</v>
      </c>
      <c r="AP17" s="7">
        <v>2040</v>
      </c>
      <c r="AQ17" s="26" t="s">
        <v>5028</v>
      </c>
      <c r="AR17" s="7">
        <v>1149</v>
      </c>
      <c r="AS17" s="26" t="s">
        <v>5072</v>
      </c>
      <c r="AT17" s="7">
        <v>50</v>
      </c>
      <c r="AU17" s="26" t="s">
        <v>5171</v>
      </c>
      <c r="AV17" s="7">
        <v>165.86</v>
      </c>
      <c r="AW17" s="26" t="s">
        <v>5135</v>
      </c>
      <c r="AX17" s="7"/>
      <c r="AY17" s="26"/>
      <c r="AZ17" s="9"/>
      <c r="BA17" s="15"/>
      <c r="BB17" s="9"/>
      <c r="BC17" s="26"/>
      <c r="BD17" s="9"/>
      <c r="BE17" s="26"/>
      <c r="BF17" s="9"/>
      <c r="BG17" s="26"/>
      <c r="BH17" s="7"/>
      <c r="BI17" s="26"/>
      <c r="BJ17" s="96"/>
      <c r="BK17" s="26"/>
      <c r="BL17" s="7"/>
      <c r="BM17" s="26"/>
      <c r="BN17" s="96"/>
      <c r="BO17" s="26"/>
      <c r="BP17" s="7"/>
      <c r="BQ17" s="26"/>
      <c r="BR17" s="7"/>
      <c r="BS17" s="26"/>
      <c r="BT17" s="7"/>
      <c r="BU17" s="26"/>
      <c r="BV17" s="7"/>
      <c r="BW17" s="26"/>
      <c r="BX17" s="7"/>
      <c r="BY17" s="26"/>
      <c r="BZ17" s="7"/>
      <c r="CA17" s="26"/>
      <c r="CB17" s="7"/>
      <c r="CC17" s="26"/>
      <c r="CD17" s="7"/>
      <c r="CE17" s="26"/>
      <c r="CF17" s="7"/>
      <c r="CG17" s="26"/>
      <c r="CH17" s="7"/>
      <c r="CI17" s="26"/>
      <c r="CJ17" s="7"/>
      <c r="CK17" s="26"/>
      <c r="CL17" s="7"/>
      <c r="CM17" s="26"/>
      <c r="CN17" s="7"/>
    </row>
    <row r="18" spans="1:92" x14ac:dyDescent="0.25">
      <c r="A18" s="41"/>
      <c r="B18" s="7">
        <v>1970</v>
      </c>
      <c r="C18" s="26" t="s">
        <v>3983</v>
      </c>
      <c r="D18" s="7">
        <v>1970</v>
      </c>
      <c r="E18" s="26" t="s">
        <v>4029</v>
      </c>
      <c r="F18" s="9">
        <v>1099.01</v>
      </c>
      <c r="G18" s="26" t="s">
        <v>4085</v>
      </c>
      <c r="H18" s="112">
        <v>1216.4100000000001</v>
      </c>
      <c r="I18" s="26" t="s">
        <v>4130</v>
      </c>
      <c r="J18" s="157">
        <v>1169</v>
      </c>
      <c r="K18" s="26" t="s">
        <v>4212</v>
      </c>
      <c r="L18" s="7">
        <v>3322.02</v>
      </c>
      <c r="M18" s="26" t="s">
        <v>4266</v>
      </c>
      <c r="N18" s="7">
        <v>4395.01</v>
      </c>
      <c r="O18" s="26" t="s">
        <v>4363</v>
      </c>
      <c r="P18" s="7">
        <v>1169</v>
      </c>
      <c r="Q18" s="26" t="s">
        <v>4322</v>
      </c>
      <c r="R18" s="7">
        <v>3000</v>
      </c>
      <c r="S18" s="26" t="s">
        <v>4404</v>
      </c>
      <c r="T18" s="9">
        <v>248000</v>
      </c>
      <c r="U18" s="26" t="s">
        <v>4466</v>
      </c>
      <c r="V18" s="9"/>
      <c r="W18" s="26"/>
      <c r="X18" s="9"/>
      <c r="Y18" s="26"/>
      <c r="Z18" s="7">
        <v>7530.33</v>
      </c>
      <c r="AA18" s="26" t="s">
        <v>4577</v>
      </c>
      <c r="AB18" s="87">
        <v>1099.02</v>
      </c>
      <c r="AC18" s="88" t="s">
        <v>4635</v>
      </c>
      <c r="AD18" s="72">
        <v>1099.01</v>
      </c>
      <c r="AE18" s="26" t="s">
        <v>4707</v>
      </c>
      <c r="AF18" s="7">
        <v>1838.99</v>
      </c>
      <c r="AG18" s="26" t="s">
        <v>4766</v>
      </c>
      <c r="AH18" s="87">
        <v>1945.52</v>
      </c>
      <c r="AI18" s="26" t="s">
        <v>4836</v>
      </c>
      <c r="AJ18" s="9">
        <v>9291.61</v>
      </c>
      <c r="AK18" s="15" t="s">
        <v>4874</v>
      </c>
      <c r="AL18" s="9">
        <v>1099</v>
      </c>
      <c r="AM18" s="26" t="s">
        <v>4932</v>
      </c>
      <c r="AN18" s="9">
        <v>928</v>
      </c>
      <c r="AO18" s="26" t="s">
        <v>4979</v>
      </c>
      <c r="AP18" s="7">
        <v>2040</v>
      </c>
      <c r="AQ18" s="26" t="s">
        <v>5029</v>
      </c>
      <c r="AR18" s="7">
        <v>1970</v>
      </c>
      <c r="AS18" s="26" t="s">
        <v>5073</v>
      </c>
      <c r="AT18" s="7">
        <v>2040</v>
      </c>
      <c r="AU18" s="26" t="s">
        <v>5180</v>
      </c>
      <c r="AV18" s="7">
        <v>688.3</v>
      </c>
      <c r="AW18" s="26" t="s">
        <v>5136</v>
      </c>
      <c r="AX18" s="7"/>
      <c r="AY18" s="26"/>
      <c r="AZ18" s="9"/>
      <c r="BA18" s="15"/>
      <c r="BB18" s="9"/>
      <c r="BC18" s="26"/>
      <c r="BD18" s="9"/>
      <c r="BE18" s="26"/>
      <c r="BF18" s="9"/>
      <c r="BG18" s="26"/>
      <c r="BH18" s="7"/>
      <c r="BI18" s="26"/>
      <c r="BJ18" s="96"/>
      <c r="BK18" s="26"/>
      <c r="BL18" s="7"/>
      <c r="BM18" s="26"/>
      <c r="BN18" s="96"/>
      <c r="BO18" s="26"/>
      <c r="BP18" s="7"/>
      <c r="BQ18" s="26"/>
      <c r="BR18" s="7"/>
      <c r="BS18" s="26"/>
      <c r="BT18" s="7"/>
      <c r="BU18" s="26"/>
      <c r="BV18" s="7"/>
      <c r="BW18" s="26"/>
      <c r="BX18" s="7"/>
      <c r="BY18" s="26"/>
      <c r="BZ18" s="7"/>
      <c r="CA18" s="26"/>
      <c r="CB18" s="7"/>
      <c r="CC18" s="26"/>
      <c r="CD18" s="7"/>
      <c r="CE18" s="26"/>
      <c r="CF18" s="7"/>
      <c r="CG18" s="26"/>
      <c r="CH18" s="7"/>
      <c r="CI18" s="26"/>
      <c r="CJ18" s="7"/>
      <c r="CK18" s="26"/>
      <c r="CL18" s="7"/>
      <c r="CM18" s="26"/>
      <c r="CN18" s="7"/>
    </row>
    <row r="19" spans="1:92" x14ac:dyDescent="0.25">
      <c r="A19" s="41"/>
      <c r="B19" s="7">
        <v>1099.01</v>
      </c>
      <c r="C19" s="26" t="s">
        <v>3984</v>
      </c>
      <c r="D19" s="7">
        <v>1099.01</v>
      </c>
      <c r="E19" s="26" t="s">
        <v>4030</v>
      </c>
      <c r="F19" s="9">
        <v>946</v>
      </c>
      <c r="G19" s="26" t="s">
        <v>4088</v>
      </c>
      <c r="H19" s="7"/>
      <c r="I19" s="26"/>
      <c r="J19" s="157">
        <v>3599</v>
      </c>
      <c r="K19" s="26" t="s">
        <v>4214</v>
      </c>
      <c r="L19" s="7">
        <v>1099.01</v>
      </c>
      <c r="M19" s="26" t="s">
        <v>4269</v>
      </c>
      <c r="N19" s="7">
        <v>1171.01</v>
      </c>
      <c r="O19" s="26" t="s">
        <v>4365</v>
      </c>
      <c r="P19" s="7">
        <v>1800</v>
      </c>
      <c r="Q19" s="26" t="s">
        <v>4324</v>
      </c>
      <c r="R19" s="7">
        <v>8000</v>
      </c>
      <c r="S19" s="26" t="s">
        <v>4405</v>
      </c>
      <c r="T19" s="9">
        <v>50025.66</v>
      </c>
      <c r="U19" s="26" t="s">
        <v>4469</v>
      </c>
      <c r="V19" s="9"/>
      <c r="W19" s="26"/>
      <c r="X19" s="9"/>
      <c r="Y19" s="26"/>
      <c r="Z19" s="7">
        <v>140.07</v>
      </c>
      <c r="AA19" s="26" t="s">
        <v>4578</v>
      </c>
      <c r="AB19" s="87">
        <v>3315</v>
      </c>
      <c r="AC19" s="88" t="s">
        <v>4639</v>
      </c>
      <c r="AD19" s="72">
        <v>464</v>
      </c>
      <c r="AE19" s="26" t="s">
        <v>4709</v>
      </c>
      <c r="AF19" s="9">
        <v>1483.69</v>
      </c>
      <c r="AG19" s="15" t="s">
        <v>4769</v>
      </c>
      <c r="AH19" s="87">
        <v>331.71</v>
      </c>
      <c r="AI19" s="26" t="s">
        <v>4843</v>
      </c>
      <c r="AJ19" s="7">
        <v>69.989999999999995</v>
      </c>
      <c r="AK19" s="26" t="s">
        <v>4876</v>
      </c>
      <c r="AL19" s="9">
        <v>1168.99</v>
      </c>
      <c r="AM19" s="26" t="s">
        <v>4937</v>
      </c>
      <c r="AN19" s="9">
        <v>1169</v>
      </c>
      <c r="AO19" s="26" t="s">
        <v>4981</v>
      </c>
      <c r="AP19" s="7">
        <v>511.49</v>
      </c>
      <c r="AQ19" s="26" t="s">
        <v>5032</v>
      </c>
      <c r="AR19" s="7">
        <v>1099.01</v>
      </c>
      <c r="AS19" s="26" t="s">
        <v>5074</v>
      </c>
      <c r="AT19" s="7">
        <v>1994.99</v>
      </c>
      <c r="AU19" s="26" t="s">
        <v>5181</v>
      </c>
      <c r="AV19" s="7">
        <v>1384.36</v>
      </c>
      <c r="AW19" s="26" t="s">
        <v>5137</v>
      </c>
      <c r="AX19" s="7"/>
      <c r="AY19" s="26"/>
      <c r="AZ19" s="9"/>
      <c r="BA19" s="15"/>
      <c r="BB19" s="9"/>
      <c r="BC19" s="26"/>
      <c r="BD19" s="9"/>
      <c r="BE19" s="26"/>
      <c r="BF19" s="9"/>
      <c r="BG19" s="26"/>
      <c r="BH19" s="7"/>
      <c r="BI19" s="26"/>
      <c r="BJ19" s="96"/>
      <c r="BK19" s="26"/>
      <c r="BL19" s="7"/>
      <c r="BM19" s="26"/>
      <c r="BN19" s="96"/>
      <c r="BO19" s="26"/>
      <c r="BP19" s="7"/>
      <c r="BQ19" s="26"/>
      <c r="BR19" s="7"/>
      <c r="BS19" s="26"/>
      <c r="BT19" s="7"/>
      <c r="BU19" s="26"/>
      <c r="BV19" s="7"/>
      <c r="BW19" s="26"/>
      <c r="BX19" s="7"/>
      <c r="BY19" s="26"/>
      <c r="BZ19" s="7"/>
      <c r="CA19" s="26"/>
      <c r="CB19" s="7"/>
      <c r="CC19" s="26"/>
      <c r="CD19" s="7"/>
      <c r="CE19" s="26"/>
      <c r="CF19" s="7"/>
      <c r="CG19" s="26"/>
      <c r="CH19" s="7"/>
      <c r="CI19" s="26"/>
      <c r="CJ19" s="7"/>
      <c r="CK19" s="26"/>
      <c r="CL19" s="7"/>
      <c r="CM19" s="26"/>
      <c r="CN19" s="7"/>
    </row>
    <row r="20" spans="1:92" x14ac:dyDescent="0.25">
      <c r="A20" s="41"/>
      <c r="B20" s="7">
        <v>1099.01</v>
      </c>
      <c r="C20" s="26" t="s">
        <v>3987</v>
      </c>
      <c r="D20" s="7">
        <v>2390.0100000000002</v>
      </c>
      <c r="E20" s="26" t="s">
        <v>4032</v>
      </c>
      <c r="F20" s="9">
        <v>3168.99</v>
      </c>
      <c r="G20" s="26" t="s">
        <v>4090</v>
      </c>
      <c r="H20" s="112">
        <v>1099</v>
      </c>
      <c r="I20" s="26" t="s">
        <v>4132</v>
      </c>
      <c r="J20" s="157">
        <v>1099.01</v>
      </c>
      <c r="K20" s="26" t="s">
        <v>4218</v>
      </c>
      <c r="L20" s="9">
        <v>1970</v>
      </c>
      <c r="M20" s="15" t="s">
        <v>4274</v>
      </c>
      <c r="N20" s="7">
        <v>1099.01</v>
      </c>
      <c r="O20" s="26" t="s">
        <v>4367</v>
      </c>
      <c r="P20" s="7">
        <v>494.08</v>
      </c>
      <c r="Q20" s="26" t="s">
        <v>4326</v>
      </c>
      <c r="R20" s="7">
        <v>1000</v>
      </c>
      <c r="S20" s="26" t="s">
        <v>4406</v>
      </c>
      <c r="T20" s="9">
        <v>14000</v>
      </c>
      <c r="U20" s="26" t="s">
        <v>4474</v>
      </c>
      <c r="V20" s="9"/>
      <c r="W20" s="26"/>
      <c r="X20" s="9"/>
      <c r="Y20" s="26"/>
      <c r="Z20" s="7">
        <v>15000</v>
      </c>
      <c r="AA20" s="26" t="s">
        <v>4579</v>
      </c>
      <c r="AB20" s="87">
        <v>1513.01</v>
      </c>
      <c r="AC20" s="88" t="s">
        <v>4643</v>
      </c>
      <c r="AD20" s="72">
        <v>2485.02</v>
      </c>
      <c r="AE20" s="26" t="s">
        <v>4714</v>
      </c>
      <c r="AF20" s="9">
        <v>2795.01</v>
      </c>
      <c r="AG20" s="15" t="s">
        <v>4770</v>
      </c>
      <c r="AH20" s="87">
        <v>511.49</v>
      </c>
      <c r="AI20" s="26" t="s">
        <v>4844</v>
      </c>
      <c r="AJ20" s="7">
        <v>2671</v>
      </c>
      <c r="AK20" s="26" t="s">
        <v>4888</v>
      </c>
      <c r="AL20" s="9">
        <v>1970</v>
      </c>
      <c r="AM20" s="26" t="s">
        <v>4939</v>
      </c>
      <c r="AN20" s="9">
        <v>4004.01</v>
      </c>
      <c r="AO20" s="15" t="s">
        <v>4984</v>
      </c>
      <c r="AP20" s="7">
        <v>1526.43</v>
      </c>
      <c r="AQ20" s="26" t="s">
        <v>5033</v>
      </c>
      <c r="AR20" s="7">
        <v>1987.8</v>
      </c>
      <c r="AS20" s="26" t="s">
        <v>5075</v>
      </c>
      <c r="AT20" s="7">
        <v>575</v>
      </c>
      <c r="AU20" s="26" t="s">
        <v>5185</v>
      </c>
      <c r="AV20" s="7">
        <v>2050</v>
      </c>
      <c r="AW20" s="26" t="s">
        <v>5138</v>
      </c>
      <c r="AX20" s="7"/>
      <c r="AY20" s="26"/>
      <c r="AZ20" s="9"/>
      <c r="BA20" s="15"/>
      <c r="BB20" s="9"/>
      <c r="BC20" s="26"/>
      <c r="BD20" s="9"/>
      <c r="BE20" s="26"/>
      <c r="BF20" s="9"/>
      <c r="BG20" s="26"/>
      <c r="BH20" s="7"/>
      <c r="BI20" s="26"/>
      <c r="BJ20" s="96"/>
      <c r="BK20" s="26"/>
      <c r="BL20" s="7"/>
      <c r="BM20" s="26"/>
      <c r="BN20" s="96"/>
      <c r="BO20" s="26"/>
      <c r="BP20" s="7"/>
      <c r="BQ20" s="26"/>
      <c r="BR20" s="7"/>
      <c r="BS20" s="26"/>
      <c r="BT20" s="7"/>
      <c r="BU20" s="26"/>
      <c r="BV20" s="7"/>
      <c r="BW20" s="26"/>
      <c r="BX20" s="7"/>
      <c r="BY20" s="26"/>
      <c r="BZ20" s="7"/>
      <c r="CA20" s="26"/>
      <c r="CB20" s="7"/>
      <c r="CC20" s="26"/>
      <c r="CD20" s="7"/>
      <c r="CE20" s="26"/>
      <c r="CF20" s="7"/>
      <c r="CG20" s="26"/>
      <c r="CH20" s="7"/>
      <c r="CI20" s="26"/>
      <c r="CJ20" s="7"/>
      <c r="CK20" s="26"/>
      <c r="CL20" s="7"/>
      <c r="CM20" s="26"/>
      <c r="CN20" s="7"/>
    </row>
    <row r="21" spans="1:92" x14ac:dyDescent="0.25">
      <c r="A21" s="41"/>
      <c r="B21" s="7">
        <v>263.38</v>
      </c>
      <c r="C21" s="26" t="s">
        <v>3988</v>
      </c>
      <c r="D21" s="7">
        <v>277.91000000000003</v>
      </c>
      <c r="E21" s="26" t="s">
        <v>4034</v>
      </c>
      <c r="F21" s="9">
        <v>1099</v>
      </c>
      <c r="G21" s="26" t="s">
        <v>4099</v>
      </c>
      <c r="H21" s="112">
        <v>244.92</v>
      </c>
      <c r="I21" s="26" t="s">
        <v>4134</v>
      </c>
      <c r="J21" s="157">
        <v>150</v>
      </c>
      <c r="K21" s="26" t="s">
        <v>4224</v>
      </c>
      <c r="L21" s="7">
        <v>1099</v>
      </c>
      <c r="M21" s="26" t="s">
        <v>4276</v>
      </c>
      <c r="N21" s="7">
        <v>1160</v>
      </c>
      <c r="O21" s="26" t="s">
        <v>4370</v>
      </c>
      <c r="P21" s="7">
        <v>30000</v>
      </c>
      <c r="Q21" s="26" t="s">
        <v>4327</v>
      </c>
      <c r="R21" s="7">
        <v>5000</v>
      </c>
      <c r="S21" s="26" t="s">
        <v>4407</v>
      </c>
      <c r="T21" s="9">
        <v>40000</v>
      </c>
      <c r="U21" s="26" t="s">
        <v>4476</v>
      </c>
      <c r="V21" s="9"/>
      <c r="W21" s="26"/>
      <c r="X21" s="9"/>
      <c r="Y21" s="9"/>
      <c r="Z21" s="7">
        <v>3020</v>
      </c>
      <c r="AA21" s="26" t="s">
        <v>4582</v>
      </c>
      <c r="AB21" s="87">
        <v>1169</v>
      </c>
      <c r="AC21" s="88" t="s">
        <v>4645</v>
      </c>
      <c r="AD21" s="72">
        <v>200</v>
      </c>
      <c r="AE21" s="26" t="s">
        <v>4717</v>
      </c>
      <c r="AF21" s="7">
        <v>1169</v>
      </c>
      <c r="AG21" s="26" t="s">
        <v>4777</v>
      </c>
      <c r="AH21" s="87">
        <v>79.44</v>
      </c>
      <c r="AI21" s="26" t="s">
        <v>4845</v>
      </c>
      <c r="AJ21" s="7">
        <v>3088.02</v>
      </c>
      <c r="AK21" s="26" t="s">
        <v>4890</v>
      </c>
      <c r="AL21" s="9">
        <v>150</v>
      </c>
      <c r="AM21" s="26" t="s">
        <v>4940</v>
      </c>
      <c r="AN21" s="9">
        <v>3319.99</v>
      </c>
      <c r="AO21" s="26" t="s">
        <v>4990</v>
      </c>
      <c r="AP21" s="72"/>
      <c r="AQ21" s="24"/>
      <c r="AR21" s="7">
        <v>3250.02</v>
      </c>
      <c r="AS21" s="26" t="s">
        <v>5076</v>
      </c>
      <c r="AT21" s="7">
        <v>1168.99</v>
      </c>
      <c r="AU21" s="26" t="s">
        <v>5192</v>
      </c>
      <c r="AV21" s="7"/>
      <c r="AW21" s="26"/>
      <c r="AX21" s="7"/>
      <c r="AY21" s="26"/>
      <c r="AZ21" s="9"/>
      <c r="BA21" s="15"/>
      <c r="BB21" s="9"/>
      <c r="BC21" s="26"/>
      <c r="BD21" s="9"/>
      <c r="BE21" s="26"/>
      <c r="BF21" s="9"/>
      <c r="BG21" s="26"/>
      <c r="BH21" s="7"/>
      <c r="BI21" s="26"/>
      <c r="BJ21" s="114"/>
      <c r="BK21" s="13"/>
      <c r="BL21" s="7"/>
      <c r="BM21" s="26"/>
      <c r="BN21" s="96"/>
      <c r="BO21" s="26"/>
      <c r="BP21" s="7"/>
      <c r="BQ21" s="26"/>
      <c r="BR21" s="7"/>
      <c r="BS21" s="26"/>
      <c r="BT21" s="7"/>
      <c r="BU21" s="26"/>
      <c r="BV21" s="7"/>
      <c r="BW21" s="26"/>
      <c r="BX21" s="7"/>
      <c r="BY21" s="26"/>
      <c r="BZ21" s="7"/>
      <c r="CA21" s="26"/>
      <c r="CB21" s="7"/>
      <c r="CC21" s="26"/>
      <c r="CD21" s="7"/>
      <c r="CE21" s="26"/>
      <c r="CF21" s="7"/>
      <c r="CG21" s="26"/>
      <c r="CH21" s="7"/>
      <c r="CI21" s="26"/>
      <c r="CJ21" s="7"/>
      <c r="CK21" s="26"/>
      <c r="CL21" s="7"/>
      <c r="CM21" s="26"/>
      <c r="CN21" s="7"/>
    </row>
    <row r="22" spans="1:92" x14ac:dyDescent="0.25">
      <c r="A22" s="41"/>
      <c r="B22" s="7">
        <v>50</v>
      </c>
      <c r="C22" s="26" t="s">
        <v>3989</v>
      </c>
      <c r="D22" s="7">
        <v>574.48</v>
      </c>
      <c r="E22" s="26" t="s">
        <v>4036</v>
      </c>
      <c r="F22" s="9">
        <v>1970</v>
      </c>
      <c r="G22" s="26" t="s">
        <v>4100</v>
      </c>
      <c r="H22" s="112">
        <v>7500</v>
      </c>
      <c r="I22" s="26" t="s">
        <v>4140</v>
      </c>
      <c r="J22" s="157">
        <v>1099.02</v>
      </c>
      <c r="K22" s="26" t="s">
        <v>4227</v>
      </c>
      <c r="L22" s="7">
        <v>1099</v>
      </c>
      <c r="M22" s="26" t="s">
        <v>4277</v>
      </c>
      <c r="N22" s="7"/>
      <c r="O22" s="26"/>
      <c r="P22" s="7"/>
      <c r="Q22" s="26"/>
      <c r="R22" s="9">
        <v>110000.47</v>
      </c>
      <c r="S22" s="15" t="s">
        <v>4410</v>
      </c>
      <c r="T22" s="9">
        <v>400</v>
      </c>
      <c r="U22" s="26" t="s">
        <v>4480</v>
      </c>
      <c r="V22" s="9"/>
      <c r="W22" s="26"/>
      <c r="X22" s="9"/>
      <c r="Y22" s="26"/>
      <c r="Z22" s="7">
        <v>1099.01</v>
      </c>
      <c r="AA22" s="26" t="s">
        <v>4583</v>
      </c>
      <c r="AB22" s="72">
        <v>1099.0999999999999</v>
      </c>
      <c r="AC22" s="88" t="s">
        <v>4647</v>
      </c>
      <c r="AD22" s="9">
        <v>1099.02</v>
      </c>
      <c r="AE22" s="86" t="s">
        <v>4720</v>
      </c>
      <c r="AF22" s="7">
        <v>4395</v>
      </c>
      <c r="AG22" s="26" t="s">
        <v>4779</v>
      </c>
      <c r="AH22" s="87">
        <v>414.64</v>
      </c>
      <c r="AI22" s="26" t="s">
        <v>4846</v>
      </c>
      <c r="AJ22" s="7">
        <v>1227.18</v>
      </c>
      <c r="AK22" s="26" t="s">
        <v>4891</v>
      </c>
      <c r="AL22" s="9">
        <v>2109</v>
      </c>
      <c r="AM22" s="26" t="s">
        <v>4942</v>
      </c>
      <c r="AN22" s="9">
        <v>3250.01</v>
      </c>
      <c r="AO22" s="26" t="s">
        <v>4992</v>
      </c>
      <c r="AP22" s="120"/>
      <c r="AQ22" s="120"/>
      <c r="AR22" s="7">
        <v>1970</v>
      </c>
      <c r="AS22" s="26" t="s">
        <v>5079</v>
      </c>
      <c r="AT22" s="7">
        <v>5680.01</v>
      </c>
      <c r="AU22" s="26" t="s">
        <v>5193</v>
      </c>
      <c r="AV22" s="7"/>
      <c r="AW22" s="26"/>
      <c r="AX22" s="7"/>
      <c r="AY22" s="26"/>
      <c r="AZ22" s="9"/>
      <c r="BA22" s="15"/>
      <c r="BB22" s="9"/>
      <c r="BC22" s="26"/>
      <c r="BD22" s="9"/>
      <c r="BE22" s="26"/>
      <c r="BF22" s="9"/>
      <c r="BG22" s="26"/>
      <c r="BH22" s="7"/>
      <c r="BI22" s="26"/>
      <c r="BJ22" s="11"/>
      <c r="BK22" s="13"/>
      <c r="BL22" s="7"/>
      <c r="BM22" s="26"/>
      <c r="BN22" s="96"/>
      <c r="BO22" s="26"/>
      <c r="BP22" s="7"/>
      <c r="BQ22" s="26"/>
      <c r="BR22" s="7"/>
      <c r="BS22" s="26"/>
      <c r="BT22" s="7"/>
      <c r="BU22" s="26"/>
      <c r="BV22" s="7"/>
      <c r="BW22" s="26"/>
      <c r="BX22" s="7"/>
      <c r="BY22" s="26"/>
      <c r="BZ22" s="7"/>
      <c r="CA22" s="26"/>
      <c r="CB22" s="7"/>
      <c r="CC22" s="26"/>
      <c r="CD22" s="7"/>
      <c r="CE22" s="26"/>
      <c r="CF22" s="7"/>
      <c r="CG22" s="26"/>
      <c r="CH22" s="7"/>
      <c r="CI22" s="26"/>
      <c r="CJ22" s="7"/>
      <c r="CK22" s="26"/>
      <c r="CL22" s="7"/>
      <c r="CM22" s="26"/>
      <c r="CN22" s="7"/>
    </row>
    <row r="23" spans="1:92" x14ac:dyDescent="0.25">
      <c r="A23" s="41"/>
      <c r="B23" s="7">
        <v>1457.99</v>
      </c>
      <c r="C23" s="26" t="s">
        <v>3990</v>
      </c>
      <c r="D23" s="7">
        <v>1643.26</v>
      </c>
      <c r="E23" s="26" t="s">
        <v>4037</v>
      </c>
      <c r="F23" s="9">
        <v>1099.01</v>
      </c>
      <c r="G23" s="26" t="s">
        <v>4101</v>
      </c>
      <c r="H23" s="112">
        <v>4000</v>
      </c>
      <c r="I23" s="26" t="s">
        <v>4142</v>
      </c>
      <c r="J23" s="157">
        <v>511.49</v>
      </c>
      <c r="K23" s="15" t="s">
        <v>4228</v>
      </c>
      <c r="L23" s="9">
        <v>1970.02</v>
      </c>
      <c r="M23" s="15" t="s">
        <v>4280</v>
      </c>
      <c r="N23" s="9"/>
      <c r="O23" s="15"/>
      <c r="P23" s="9">
        <v>149200</v>
      </c>
      <c r="Q23" s="15" t="s">
        <v>4372</v>
      </c>
      <c r="R23" s="9">
        <v>619.53</v>
      </c>
      <c r="S23" s="15" t="s">
        <v>4411</v>
      </c>
      <c r="T23" s="9">
        <v>100000</v>
      </c>
      <c r="U23" s="15" t="s">
        <v>4481</v>
      </c>
      <c r="V23" s="9"/>
      <c r="W23" s="15"/>
      <c r="X23" s="9"/>
      <c r="Y23" s="15"/>
      <c r="Z23" s="9">
        <v>1169</v>
      </c>
      <c r="AA23" s="15" t="s">
        <v>4584</v>
      </c>
      <c r="AB23" s="87">
        <v>1099.01</v>
      </c>
      <c r="AC23" s="88" t="s">
        <v>4651</v>
      </c>
      <c r="AD23" s="72">
        <v>1099.01</v>
      </c>
      <c r="AE23" s="26" t="s">
        <v>4722</v>
      </c>
      <c r="AF23" s="9">
        <v>464</v>
      </c>
      <c r="AG23" s="15" t="s">
        <v>4780</v>
      </c>
      <c r="AH23" s="87">
        <v>127.46</v>
      </c>
      <c r="AI23" s="26" t="s">
        <v>4847</v>
      </c>
      <c r="AJ23" s="7">
        <v>1475.59</v>
      </c>
      <c r="AK23" s="26" t="s">
        <v>4892</v>
      </c>
      <c r="AL23" s="7"/>
      <c r="AM23" s="26"/>
      <c r="AN23" s="9">
        <f>382.39-170</f>
        <v>212.39</v>
      </c>
      <c r="AO23" s="26" t="s">
        <v>4996</v>
      </c>
      <c r="AP23" s="120"/>
      <c r="AQ23" s="120"/>
      <c r="AR23" s="7">
        <v>633.08000000000004</v>
      </c>
      <c r="AS23" s="26" t="s">
        <v>5081</v>
      </c>
      <c r="AT23" s="9">
        <v>1168.99</v>
      </c>
      <c r="AU23" s="15" t="s">
        <v>5194</v>
      </c>
      <c r="AV23" s="9"/>
      <c r="AW23" s="15"/>
      <c r="AX23" s="7"/>
      <c r="AY23" s="26"/>
      <c r="AZ23" s="9"/>
      <c r="BA23" s="15"/>
      <c r="BB23" s="9"/>
      <c r="BC23" s="26"/>
      <c r="BD23" s="9"/>
      <c r="BE23" s="26"/>
      <c r="BF23" s="9"/>
      <c r="BG23" s="26"/>
      <c r="BH23" s="7"/>
      <c r="BI23" s="26"/>
      <c r="BJ23" s="7"/>
      <c r="BK23" s="26"/>
      <c r="BL23" s="7"/>
      <c r="BM23" s="26"/>
      <c r="BN23" s="96"/>
      <c r="BO23" s="26"/>
      <c r="BP23" s="7"/>
      <c r="BQ23" s="26"/>
      <c r="BR23" s="7"/>
      <c r="BS23" s="26"/>
      <c r="BT23" s="7"/>
      <c r="BU23" s="26"/>
      <c r="BV23" s="7"/>
      <c r="BW23" s="26"/>
      <c r="BX23" s="7"/>
      <c r="BY23" s="26"/>
      <c r="BZ23" s="7"/>
      <c r="CA23" s="26"/>
      <c r="CB23" s="7"/>
      <c r="CC23" s="26"/>
      <c r="CD23" s="7"/>
      <c r="CE23" s="26"/>
      <c r="CF23" s="7"/>
      <c r="CG23" s="26"/>
      <c r="CH23" s="7"/>
      <c r="CI23" s="26"/>
      <c r="CJ23" s="7"/>
      <c r="CK23" s="26"/>
      <c r="CL23" s="7"/>
      <c r="CM23" s="26"/>
      <c r="CN23" s="7"/>
    </row>
    <row r="24" spans="1:92" x14ac:dyDescent="0.25">
      <c r="A24" s="41"/>
      <c r="B24" s="7">
        <v>3250</v>
      </c>
      <c r="C24" s="26" t="s">
        <v>3994</v>
      </c>
      <c r="D24" s="7"/>
      <c r="E24" s="26"/>
      <c r="F24" s="9">
        <v>1099</v>
      </c>
      <c r="G24" s="26" t="s">
        <v>4103</v>
      </c>
      <c r="H24" s="112">
        <v>1969.99</v>
      </c>
      <c r="I24" s="7" t="s">
        <v>4148</v>
      </c>
      <c r="J24" s="9"/>
      <c r="K24" s="15"/>
      <c r="L24" s="9">
        <v>1970</v>
      </c>
      <c r="M24" s="15" t="s">
        <v>4281</v>
      </c>
      <c r="N24" s="9"/>
      <c r="O24" s="15"/>
      <c r="P24" s="9">
        <v>138</v>
      </c>
      <c r="Q24" s="15" t="s">
        <v>4373</v>
      </c>
      <c r="R24" s="9">
        <v>494.08</v>
      </c>
      <c r="S24" s="15" t="s">
        <v>4412</v>
      </c>
      <c r="T24" s="9">
        <v>5000</v>
      </c>
      <c r="U24" s="15" t="s">
        <v>4486</v>
      </c>
      <c r="V24" s="9"/>
      <c r="W24" s="15"/>
      <c r="X24" s="9"/>
      <c r="Y24" s="15"/>
      <c r="Z24" s="9">
        <v>1169</v>
      </c>
      <c r="AA24" s="15" t="s">
        <v>4589</v>
      </c>
      <c r="AB24" s="72">
        <v>1625</v>
      </c>
      <c r="AC24" s="86" t="s">
        <v>4652</v>
      </c>
      <c r="AD24" s="9">
        <v>284.94</v>
      </c>
      <c r="AE24" s="15" t="s">
        <v>4668</v>
      </c>
      <c r="AF24" s="7">
        <v>1169</v>
      </c>
      <c r="AG24" s="26" t="s">
        <v>4782</v>
      </c>
      <c r="AH24" s="87">
        <v>1731.39</v>
      </c>
      <c r="AI24" s="26" t="s">
        <v>4849</v>
      </c>
      <c r="AJ24" s="7">
        <v>1949.99</v>
      </c>
      <c r="AK24" s="26" t="s">
        <v>4895</v>
      </c>
      <c r="AL24" s="7"/>
      <c r="AM24" s="26"/>
      <c r="AN24" s="9">
        <v>252.14</v>
      </c>
      <c r="AO24" s="26" t="s">
        <v>4997</v>
      </c>
      <c r="AP24" s="7"/>
      <c r="AQ24" s="26"/>
      <c r="AR24" s="7">
        <v>79.44</v>
      </c>
      <c r="AS24" s="26" t="s">
        <v>5082</v>
      </c>
      <c r="AT24" s="9">
        <v>6390.54</v>
      </c>
      <c r="AU24" s="15" t="s">
        <v>5195</v>
      </c>
      <c r="AV24" s="9"/>
      <c r="AW24" s="15"/>
      <c r="AX24" s="7"/>
      <c r="AY24" s="26"/>
      <c r="AZ24" s="9"/>
      <c r="BA24" s="15"/>
      <c r="BB24" s="9"/>
      <c r="BC24" s="15"/>
      <c r="BD24" s="9"/>
      <c r="BE24" s="26"/>
      <c r="BF24" s="9"/>
      <c r="BG24" s="26"/>
      <c r="BH24" s="7"/>
      <c r="BI24" s="26"/>
      <c r="BJ24" s="7"/>
      <c r="BK24" s="26"/>
      <c r="BL24" s="7"/>
      <c r="BM24" s="26"/>
      <c r="BN24" s="96"/>
      <c r="BO24" s="26"/>
      <c r="BP24" s="7"/>
      <c r="BQ24" s="26"/>
      <c r="BR24" s="7"/>
      <c r="BS24" s="26"/>
      <c r="BT24" s="7"/>
      <c r="BU24" s="26"/>
      <c r="BV24" s="7"/>
      <c r="BW24" s="26"/>
      <c r="BX24" s="7"/>
      <c r="BY24" s="26"/>
      <c r="BZ24" s="7"/>
      <c r="CA24" s="26"/>
      <c r="CB24" s="7"/>
      <c r="CC24" s="26"/>
      <c r="CD24" s="7"/>
      <c r="CE24" s="26"/>
      <c r="CF24" s="7"/>
      <c r="CG24" s="26"/>
      <c r="CH24" s="7"/>
      <c r="CI24" s="26"/>
      <c r="CJ24" s="7"/>
      <c r="CK24" s="26"/>
      <c r="CL24" s="7"/>
      <c r="CM24" s="26"/>
      <c r="CN24" s="7"/>
    </row>
    <row r="25" spans="1:92" x14ac:dyDescent="0.25">
      <c r="A25" s="41"/>
      <c r="B25" s="72">
        <v>75.41</v>
      </c>
      <c r="C25" s="24" t="s">
        <v>3996</v>
      </c>
      <c r="D25" s="7">
        <v>5222.16</v>
      </c>
      <c r="E25" s="26" t="s">
        <v>4054</v>
      </c>
      <c r="F25" s="9">
        <v>1099.01</v>
      </c>
      <c r="G25" s="26" t="s">
        <v>4105</v>
      </c>
      <c r="H25" s="112">
        <v>2065</v>
      </c>
      <c r="I25" s="26" t="s">
        <v>4151</v>
      </c>
      <c r="J25" s="9"/>
      <c r="K25" s="15"/>
      <c r="L25" s="9">
        <v>1099.01</v>
      </c>
      <c r="M25" s="15" t="s">
        <v>4282</v>
      </c>
      <c r="N25" s="9"/>
      <c r="O25" s="15"/>
      <c r="P25" s="9">
        <v>1099.01</v>
      </c>
      <c r="Q25" s="15" t="s">
        <v>4376</v>
      </c>
      <c r="R25" s="9">
        <v>594.41999999999996</v>
      </c>
      <c r="S25" s="15" t="s">
        <v>4413</v>
      </c>
      <c r="T25" s="9">
        <f>5814-4118</f>
        <v>1696</v>
      </c>
      <c r="U25" s="15" t="s">
        <v>4490</v>
      </c>
      <c r="V25" s="9"/>
      <c r="W25" s="15"/>
      <c r="X25" s="9"/>
      <c r="Y25" s="15"/>
      <c r="Z25" s="9">
        <v>1970</v>
      </c>
      <c r="AA25" s="15" t="s">
        <v>4592</v>
      </c>
      <c r="AB25" s="87">
        <v>1625.01</v>
      </c>
      <c r="AC25" s="88" t="s">
        <v>4653</v>
      </c>
      <c r="AD25" s="9">
        <v>594.41999999999996</v>
      </c>
      <c r="AE25" s="26" t="s">
        <v>4671</v>
      </c>
      <c r="AF25" s="7">
        <f>1970-420.97</f>
        <v>1549.03</v>
      </c>
      <c r="AG25" s="26" t="s">
        <v>4783</v>
      </c>
      <c r="AH25" s="87"/>
      <c r="AI25" s="26"/>
      <c r="AJ25" s="7"/>
      <c r="AK25" s="26"/>
      <c r="AL25" s="7"/>
      <c r="AM25" s="26"/>
      <c r="AN25" s="9">
        <v>250.53</v>
      </c>
      <c r="AO25" s="15" t="s">
        <v>4998</v>
      </c>
      <c r="AP25" s="7"/>
      <c r="AQ25" s="26"/>
      <c r="AR25" s="7">
        <v>284.94</v>
      </c>
      <c r="AS25" s="26" t="s">
        <v>5083</v>
      </c>
      <c r="AT25" s="9">
        <v>2040</v>
      </c>
      <c r="AU25" s="15" t="s">
        <v>5197</v>
      </c>
      <c r="AV25" s="9"/>
      <c r="AW25" s="15"/>
      <c r="AX25" s="7"/>
      <c r="AY25" s="26"/>
      <c r="AZ25" s="9"/>
      <c r="BA25" s="15"/>
      <c r="BB25" s="9"/>
      <c r="BC25" s="15"/>
      <c r="BD25" s="9"/>
      <c r="BE25" s="26"/>
      <c r="BF25" s="72"/>
      <c r="BG25" s="24"/>
      <c r="BH25" s="7"/>
      <c r="BI25" s="26"/>
      <c r="BJ25" s="7"/>
      <c r="BK25" s="26"/>
      <c r="BL25" s="7"/>
      <c r="BM25" s="26"/>
      <c r="BN25" s="96"/>
      <c r="BO25" s="26"/>
      <c r="BP25" s="7"/>
      <c r="BQ25" s="26"/>
      <c r="BR25" s="7"/>
      <c r="BS25" s="26"/>
      <c r="BT25" s="7"/>
      <c r="BU25" s="26"/>
      <c r="BV25" s="7"/>
      <c r="BW25" s="26"/>
      <c r="BX25" s="7"/>
      <c r="BY25" s="26"/>
      <c r="BZ25" s="7"/>
      <c r="CA25" s="26"/>
      <c r="CB25" s="7"/>
      <c r="CC25" s="26"/>
      <c r="CD25" s="7"/>
      <c r="CE25" s="26"/>
      <c r="CF25" s="7"/>
      <c r="CG25" s="26"/>
      <c r="CH25" s="7"/>
      <c r="CI25" s="26"/>
      <c r="CJ25" s="7"/>
      <c r="CK25" s="26"/>
      <c r="CL25" s="7"/>
      <c r="CM25" s="26"/>
      <c r="CN25" s="7"/>
    </row>
    <row r="26" spans="1:92" x14ac:dyDescent="0.25">
      <c r="A26" s="41"/>
      <c r="B26" s="7">
        <v>406.35</v>
      </c>
      <c r="C26" s="26" t="s">
        <v>3994</v>
      </c>
      <c r="D26" s="7">
        <v>3000</v>
      </c>
      <c r="E26" s="26" t="s">
        <v>4055</v>
      </c>
      <c r="F26" s="9">
        <v>2889.64</v>
      </c>
      <c r="G26" s="26" t="s">
        <v>4107</v>
      </c>
      <c r="H26" s="112">
        <v>1451.01</v>
      </c>
      <c r="I26" s="26" t="s">
        <v>4153</v>
      </c>
      <c r="J26" s="9"/>
      <c r="K26" s="15"/>
      <c r="L26" s="9">
        <v>284.94</v>
      </c>
      <c r="M26" s="15" t="s">
        <v>4283</v>
      </c>
      <c r="N26" s="9"/>
      <c r="O26" s="15"/>
      <c r="P26" s="9">
        <v>232</v>
      </c>
      <c r="Q26" s="15" t="s">
        <v>4377</v>
      </c>
      <c r="R26" s="7">
        <v>85.84</v>
      </c>
      <c r="S26" s="26" t="s">
        <v>4414</v>
      </c>
      <c r="T26" s="72">
        <v>1970</v>
      </c>
      <c r="U26" s="24" t="s">
        <v>4491</v>
      </c>
      <c r="V26" s="9"/>
      <c r="W26" s="15"/>
      <c r="X26" s="9"/>
      <c r="Y26" s="15"/>
      <c r="Z26" s="9">
        <v>1099.01</v>
      </c>
      <c r="AA26" s="15" t="s">
        <v>4597</v>
      </c>
      <c r="AB26" s="149">
        <v>1937</v>
      </c>
      <c r="AC26" s="86" t="s">
        <v>4654</v>
      </c>
      <c r="AD26" s="87"/>
      <c r="AE26" s="26"/>
      <c r="AF26" s="7">
        <v>1099</v>
      </c>
      <c r="AG26" s="26" t="s">
        <v>4784</v>
      </c>
      <c r="AH26" s="87"/>
      <c r="AI26" s="26"/>
      <c r="AJ26" s="7"/>
      <c r="AK26" s="26"/>
      <c r="AL26" s="7"/>
      <c r="AM26" s="26"/>
      <c r="AN26" s="9"/>
      <c r="AO26" s="15"/>
      <c r="AP26" s="7"/>
      <c r="AQ26" s="26"/>
      <c r="AR26" s="7">
        <v>277.94</v>
      </c>
      <c r="AS26" s="26" t="s">
        <v>5085</v>
      </c>
      <c r="AT26" s="7">
        <v>254.92</v>
      </c>
      <c r="AU26" s="26" t="s">
        <v>5201</v>
      </c>
      <c r="AV26" s="7"/>
      <c r="AW26" s="26"/>
      <c r="AX26" s="7"/>
      <c r="AY26" s="26"/>
      <c r="AZ26" s="9"/>
      <c r="BA26" s="15"/>
      <c r="BB26" s="9"/>
      <c r="BC26" s="15"/>
      <c r="BD26" s="72"/>
      <c r="BE26" s="24"/>
      <c r="BF26" s="9"/>
      <c r="BG26" s="26"/>
      <c r="BH26" s="7"/>
      <c r="BI26" s="26"/>
      <c r="BJ26" s="7"/>
      <c r="BK26" s="26"/>
      <c r="BL26" s="7"/>
      <c r="BM26" s="26"/>
      <c r="BN26" s="96"/>
      <c r="BO26" s="26"/>
      <c r="BP26" s="7"/>
      <c r="BQ26" s="26"/>
      <c r="BR26" s="7"/>
      <c r="BS26" s="26"/>
      <c r="BT26" s="7"/>
      <c r="BU26" s="26"/>
      <c r="BV26" s="7"/>
      <c r="BW26" s="26"/>
      <c r="BX26" s="7"/>
      <c r="BY26" s="26"/>
      <c r="BZ26" s="7"/>
      <c r="CA26" s="26"/>
      <c r="CB26" s="7"/>
      <c r="CC26" s="26"/>
      <c r="CD26" s="7"/>
      <c r="CE26" s="26"/>
      <c r="CF26" s="7"/>
      <c r="CG26" s="26"/>
      <c r="CH26" s="7"/>
      <c r="CI26" s="26"/>
      <c r="CJ26" s="7"/>
      <c r="CK26" s="26"/>
      <c r="CL26" s="7"/>
      <c r="CM26" s="26"/>
      <c r="CN26" s="7"/>
    </row>
    <row r="27" spans="1:92" x14ac:dyDescent="0.25">
      <c r="A27" s="41"/>
      <c r="B27" s="7">
        <v>350</v>
      </c>
      <c r="C27" s="26" t="s">
        <v>3998</v>
      </c>
      <c r="D27" s="7">
        <v>1970</v>
      </c>
      <c r="E27" s="15" t="s">
        <v>4059</v>
      </c>
      <c r="F27" s="7">
        <v>1365.68</v>
      </c>
      <c r="G27" s="26" t="s">
        <v>4108</v>
      </c>
      <c r="H27" s="112">
        <v>1870.99</v>
      </c>
      <c r="I27" s="26" t="s">
        <v>4154</v>
      </c>
      <c r="J27" s="9"/>
      <c r="K27" s="9"/>
      <c r="L27" s="7">
        <v>771.23</v>
      </c>
      <c r="M27" s="26" t="s">
        <v>4284</v>
      </c>
      <c r="N27" s="7"/>
      <c r="O27" s="26"/>
      <c r="P27" s="7"/>
      <c r="Q27" s="26"/>
      <c r="R27" s="7">
        <v>2040</v>
      </c>
      <c r="S27" s="26" t="s">
        <v>4421</v>
      </c>
      <c r="T27" s="9">
        <v>399.01</v>
      </c>
      <c r="U27" s="26" t="s">
        <v>4492</v>
      </c>
      <c r="V27" s="7"/>
      <c r="W27" s="26"/>
      <c r="X27" s="9"/>
      <c r="Y27" s="26"/>
      <c r="Z27" s="7">
        <v>497.57</v>
      </c>
      <c r="AA27" s="26" t="s">
        <v>4600</v>
      </c>
      <c r="AB27" s="87">
        <v>362.58</v>
      </c>
      <c r="AC27" s="88" t="s">
        <v>4656</v>
      </c>
      <c r="AD27" s="87"/>
      <c r="AE27" s="26"/>
      <c r="AF27" s="7">
        <v>991.25</v>
      </c>
      <c r="AG27" s="26" t="s">
        <v>4787</v>
      </c>
      <c r="AH27" s="87"/>
      <c r="AI27" s="26"/>
      <c r="AJ27" s="7"/>
      <c r="AK27" s="26"/>
      <c r="AL27" s="7"/>
      <c r="AM27" s="26"/>
      <c r="AN27" s="9"/>
      <c r="AO27" s="26"/>
      <c r="AP27" s="7"/>
      <c r="AQ27" s="26"/>
      <c r="AR27" s="7">
        <v>1056.96</v>
      </c>
      <c r="AS27" s="26" t="s">
        <v>5086</v>
      </c>
      <c r="AT27" s="7">
        <v>1.0900000000000001</v>
      </c>
      <c r="AU27" s="26" t="s">
        <v>5154</v>
      </c>
      <c r="AV27" s="7"/>
      <c r="AW27" s="26"/>
      <c r="AX27" s="7"/>
      <c r="AY27" s="26"/>
      <c r="AZ27" s="9"/>
      <c r="BA27" s="15"/>
      <c r="BB27" s="7"/>
      <c r="BC27" s="26"/>
      <c r="BD27" s="9"/>
      <c r="BE27" s="15"/>
      <c r="BF27" s="9"/>
      <c r="BG27" s="26"/>
      <c r="BH27" s="7"/>
      <c r="BI27" s="26"/>
      <c r="BJ27" s="7"/>
      <c r="BK27" s="26"/>
      <c r="BL27" s="7"/>
      <c r="BM27" s="26"/>
      <c r="BN27" s="96"/>
      <c r="BO27" s="26"/>
      <c r="BP27" s="7"/>
      <c r="BQ27" s="26"/>
      <c r="BR27" s="7"/>
      <c r="BS27" s="26"/>
      <c r="BT27" s="7"/>
      <c r="BU27" s="26"/>
      <c r="BV27" s="7"/>
      <c r="BW27" s="26"/>
      <c r="BX27" s="7"/>
      <c r="BY27" s="26"/>
      <c r="BZ27" s="7"/>
      <c r="CA27" s="26"/>
      <c r="CB27" s="7"/>
      <c r="CC27" s="26"/>
      <c r="CD27" s="7"/>
      <c r="CE27" s="26"/>
      <c r="CF27" s="7"/>
      <c r="CG27" s="26"/>
      <c r="CH27" s="7"/>
      <c r="CI27" s="26"/>
      <c r="CJ27" s="7"/>
      <c r="CK27" s="26"/>
      <c r="CL27" s="7"/>
      <c r="CM27" s="26"/>
      <c r="CN27" s="7"/>
    </row>
    <row r="28" spans="1:92" x14ac:dyDescent="0.25">
      <c r="A28" s="41"/>
      <c r="B28" s="7">
        <v>1299.51</v>
      </c>
      <c r="C28" s="26" t="s">
        <v>4002</v>
      </c>
      <c r="D28" s="7">
        <v>1605.12</v>
      </c>
      <c r="E28" s="26" t="s">
        <v>4062</v>
      </c>
      <c r="F28" s="7"/>
      <c r="G28" s="26"/>
      <c r="H28" s="112">
        <v>1099</v>
      </c>
      <c r="I28" s="26" t="s">
        <v>2861</v>
      </c>
      <c r="J28" s="9"/>
      <c r="K28" s="9"/>
      <c r="L28" s="7">
        <v>527.57000000000005</v>
      </c>
      <c r="M28" s="26" t="s">
        <v>4285</v>
      </c>
      <c r="N28" s="7"/>
      <c r="O28" s="26"/>
      <c r="P28" s="7"/>
      <c r="Q28" s="26"/>
      <c r="R28" s="7">
        <v>1099.01</v>
      </c>
      <c r="S28" s="26" t="s">
        <v>4423</v>
      </c>
      <c r="T28" s="9">
        <v>1900</v>
      </c>
      <c r="U28" s="26" t="s">
        <v>4493</v>
      </c>
      <c r="V28" s="7"/>
      <c r="W28" s="26"/>
      <c r="X28" s="9"/>
      <c r="Y28" s="26"/>
      <c r="Z28" s="7">
        <v>415.01</v>
      </c>
      <c r="AA28" s="26" t="s">
        <v>4601</v>
      </c>
      <c r="AB28" s="7">
        <v>1216.4100000000001</v>
      </c>
      <c r="AC28" s="26" t="s">
        <v>4658</v>
      </c>
      <c r="AD28" s="87"/>
      <c r="AE28" s="26"/>
      <c r="AF28" s="7">
        <v>526.05999999999995</v>
      </c>
      <c r="AG28" s="26" t="s">
        <v>4788</v>
      </c>
      <c r="AH28" s="87"/>
      <c r="AI28" s="15"/>
      <c r="AJ28" s="7"/>
      <c r="AK28" s="26"/>
      <c r="AL28" s="7"/>
      <c r="AM28" s="26"/>
      <c r="AN28" s="7"/>
      <c r="AO28" s="26"/>
      <c r="AP28" s="7"/>
      <c r="AQ28" s="26"/>
      <c r="AR28" s="7">
        <v>1301.45</v>
      </c>
      <c r="AS28" s="26" t="s">
        <v>5087</v>
      </c>
      <c r="AT28" s="9"/>
      <c r="AU28" s="15"/>
      <c r="AV28" s="9"/>
      <c r="AW28" s="15"/>
      <c r="AX28" s="7"/>
      <c r="AY28" s="26"/>
      <c r="AZ28" s="9"/>
      <c r="BA28" s="15"/>
      <c r="BB28" s="7"/>
      <c r="BC28" s="26"/>
      <c r="BD28" s="9"/>
      <c r="BE28" s="15"/>
      <c r="BF28" s="7"/>
      <c r="BG28" s="26"/>
      <c r="BH28" s="7"/>
      <c r="BI28" s="26"/>
      <c r="BJ28" s="7"/>
      <c r="BK28" s="26"/>
      <c r="BL28" s="7"/>
      <c r="BM28" s="26"/>
      <c r="BN28" s="96"/>
      <c r="BO28" s="26"/>
      <c r="BP28" s="7"/>
      <c r="BQ28" s="26"/>
      <c r="BR28" s="7"/>
      <c r="BS28" s="26"/>
      <c r="BT28" s="7"/>
      <c r="BU28" s="26"/>
      <c r="BV28" s="7"/>
      <c r="BW28" s="26"/>
      <c r="BX28" s="7"/>
      <c r="BY28" s="26"/>
      <c r="BZ28" s="7"/>
      <c r="CA28" s="26"/>
      <c r="CB28" s="7"/>
      <c r="CC28" s="26"/>
      <c r="CD28" s="7"/>
      <c r="CE28" s="26"/>
      <c r="CF28" s="7"/>
      <c r="CG28" s="26"/>
      <c r="CH28" s="7"/>
      <c r="CI28" s="26"/>
      <c r="CJ28" s="7"/>
      <c r="CK28" s="26"/>
      <c r="CL28" s="7"/>
      <c r="CM28" s="26"/>
      <c r="CN28" s="7"/>
    </row>
    <row r="29" spans="1:92" x14ac:dyDescent="0.25">
      <c r="A29" s="41"/>
      <c r="B29" s="7"/>
      <c r="C29" s="26"/>
      <c r="D29" s="7">
        <v>1469.19</v>
      </c>
      <c r="E29" s="26" t="s">
        <v>4064</v>
      </c>
      <c r="F29" s="7"/>
      <c r="G29" s="26"/>
      <c r="H29" s="112">
        <v>1169</v>
      </c>
      <c r="I29" s="26" t="s">
        <v>4155</v>
      </c>
      <c r="J29" s="7"/>
      <c r="K29" s="26"/>
      <c r="L29" s="7">
        <v>250</v>
      </c>
      <c r="M29" s="26" t="s">
        <v>4268</v>
      </c>
      <c r="N29" s="7"/>
      <c r="O29" s="26"/>
      <c r="P29" s="7"/>
      <c r="Q29" s="26"/>
      <c r="R29" s="9">
        <v>1169</v>
      </c>
      <c r="S29" s="15" t="s">
        <v>4424</v>
      </c>
      <c r="T29" s="9">
        <v>4395.01</v>
      </c>
      <c r="U29" s="26" t="s">
        <v>4496</v>
      </c>
      <c r="V29" s="7"/>
      <c r="W29" s="26"/>
      <c r="X29" s="9"/>
      <c r="Y29" s="26"/>
      <c r="Z29" s="7">
        <v>30000</v>
      </c>
      <c r="AA29" s="26" t="s">
        <v>4575</v>
      </c>
      <c r="AB29" s="7">
        <v>209.91</v>
      </c>
      <c r="AC29" s="26" t="s">
        <v>4659</v>
      </c>
      <c r="AD29" s="7"/>
      <c r="AE29" s="26"/>
      <c r="AF29" s="7">
        <v>613.41</v>
      </c>
      <c r="AG29" s="26" t="s">
        <v>4789</v>
      </c>
      <c r="AH29" s="87"/>
      <c r="AI29" s="26"/>
      <c r="AJ29" s="7"/>
      <c r="AK29" s="26"/>
      <c r="AL29" s="7"/>
      <c r="AM29" s="26"/>
      <c r="AN29" s="7"/>
      <c r="AO29" s="26"/>
      <c r="AP29" s="7"/>
      <c r="AQ29" s="26"/>
      <c r="AR29" s="7">
        <v>82.93</v>
      </c>
      <c r="AS29" s="26" t="s">
        <v>5088</v>
      </c>
      <c r="AT29" s="9"/>
      <c r="AU29" s="15"/>
      <c r="AV29" s="9"/>
      <c r="AW29" s="15"/>
      <c r="AX29" s="7"/>
      <c r="AY29" s="26"/>
      <c r="AZ29" s="9"/>
      <c r="BA29" s="15"/>
      <c r="BB29" s="7"/>
      <c r="BC29" s="26"/>
      <c r="BD29" s="7"/>
      <c r="BE29" s="26"/>
      <c r="BF29" s="7"/>
      <c r="BG29" s="26"/>
      <c r="BH29" s="7"/>
      <c r="BI29" s="26"/>
      <c r="BJ29" s="7"/>
      <c r="BK29" s="26"/>
      <c r="BL29" s="7"/>
      <c r="BM29" s="26"/>
      <c r="BN29" s="96"/>
      <c r="BO29" s="26"/>
      <c r="BP29" s="7"/>
      <c r="BQ29" s="26"/>
      <c r="BR29" s="7"/>
      <c r="BS29" s="26"/>
      <c r="BT29" s="7"/>
      <c r="BU29" s="26"/>
      <c r="BV29" s="7"/>
      <c r="BW29" s="26"/>
      <c r="BX29" s="7"/>
      <c r="BY29" s="26"/>
      <c r="BZ29" s="7"/>
      <c r="CA29" s="26"/>
      <c r="CB29" s="7"/>
      <c r="CC29" s="26"/>
      <c r="CD29" s="7"/>
      <c r="CE29" s="26"/>
      <c r="CF29" s="7"/>
      <c r="CG29" s="26"/>
      <c r="CH29" s="7"/>
      <c r="CI29" s="26"/>
      <c r="CJ29" s="7"/>
      <c r="CK29" s="26"/>
      <c r="CL29" s="7"/>
      <c r="CM29" s="26"/>
      <c r="CN29" s="7"/>
    </row>
    <row r="30" spans="1:92" x14ac:dyDescent="0.25">
      <c r="A30" s="41"/>
      <c r="B30" s="9"/>
      <c r="C30" s="15"/>
      <c r="D30" s="9">
        <v>506.79</v>
      </c>
      <c r="E30" s="15" t="s">
        <v>4066</v>
      </c>
      <c r="F30" s="9"/>
      <c r="G30" s="15"/>
      <c r="H30" s="112">
        <v>1479.01</v>
      </c>
      <c r="I30" s="15" t="s">
        <v>4156</v>
      </c>
      <c r="J30" s="9"/>
      <c r="K30" s="15"/>
      <c r="L30" s="9"/>
      <c r="M30" s="15"/>
      <c r="N30" s="9"/>
      <c r="O30" s="15"/>
      <c r="P30" s="7"/>
      <c r="Q30" s="26"/>
      <c r="R30" s="10">
        <v>1171.01</v>
      </c>
      <c r="S30" s="12" t="s">
        <v>4433</v>
      </c>
      <c r="T30" s="9">
        <v>1099.01</v>
      </c>
      <c r="U30" s="15" t="s">
        <v>4494</v>
      </c>
      <c r="V30" s="9"/>
      <c r="W30" s="15"/>
      <c r="X30" s="9"/>
      <c r="Y30" s="15"/>
      <c r="Z30" s="9"/>
      <c r="AA30" s="15"/>
      <c r="AB30" s="9">
        <v>949.62</v>
      </c>
      <c r="AC30" s="15" t="s">
        <v>4660</v>
      </c>
      <c r="AD30" s="9"/>
      <c r="AE30" s="15"/>
      <c r="AF30" s="9">
        <v>511.49</v>
      </c>
      <c r="AG30" s="15" t="s">
        <v>4790</v>
      </c>
      <c r="AH30" s="72"/>
      <c r="AI30" s="15"/>
      <c r="AJ30" s="9"/>
      <c r="AK30" s="15"/>
      <c r="AL30" s="9"/>
      <c r="AM30" s="15"/>
      <c r="AN30" s="9"/>
      <c r="AO30" s="15"/>
      <c r="AP30" s="9"/>
      <c r="AQ30" s="15"/>
      <c r="AR30" s="9"/>
      <c r="AS30" s="15"/>
      <c r="AT30" s="9"/>
      <c r="AU30" s="15"/>
      <c r="AV30" s="9"/>
      <c r="AW30" s="15"/>
      <c r="AX30" s="9"/>
      <c r="AY30" s="15"/>
      <c r="AZ30" s="11"/>
      <c r="BA30" s="13"/>
      <c r="BB30" s="9"/>
      <c r="BC30" s="15"/>
      <c r="BD30" s="9"/>
      <c r="BE30" s="15"/>
      <c r="BF30" s="9"/>
      <c r="BG30" s="15"/>
      <c r="BH30" s="9"/>
      <c r="BI30" s="15"/>
      <c r="BJ30" s="9"/>
      <c r="BK30" s="15"/>
      <c r="BL30" s="9"/>
      <c r="BM30" s="15"/>
      <c r="BN30" s="96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</row>
    <row r="31" spans="1:92" x14ac:dyDescent="0.25">
      <c r="A31" s="43"/>
      <c r="B31" s="10"/>
      <c r="C31" s="12"/>
      <c r="D31" s="10">
        <v>82.93</v>
      </c>
      <c r="E31" s="12" t="s">
        <v>4067</v>
      </c>
      <c r="F31" s="10"/>
      <c r="G31" s="12"/>
      <c r="H31" s="112">
        <v>928.02</v>
      </c>
      <c r="I31" s="15" t="s">
        <v>4158</v>
      </c>
      <c r="J31" s="10"/>
      <c r="K31" s="12"/>
      <c r="L31" s="10"/>
      <c r="M31" s="12"/>
      <c r="N31" s="10"/>
      <c r="O31" s="12"/>
      <c r="P31" s="9"/>
      <c r="Q31" s="15"/>
      <c r="R31" s="7">
        <v>1559.01</v>
      </c>
      <c r="S31" s="26" t="s">
        <v>4438</v>
      </c>
      <c r="T31" s="11">
        <v>1919.01</v>
      </c>
      <c r="U31" s="12" t="s">
        <v>4501</v>
      </c>
      <c r="V31" s="10"/>
      <c r="W31" s="12"/>
      <c r="X31" s="11"/>
      <c r="Y31" s="12"/>
      <c r="Z31" s="10"/>
      <c r="AA31" s="12"/>
      <c r="AB31" s="10">
        <v>494.08</v>
      </c>
      <c r="AC31" s="12" t="s">
        <v>4661</v>
      </c>
      <c r="AD31" s="10"/>
      <c r="AE31" s="12"/>
      <c r="AF31" s="10">
        <v>5036</v>
      </c>
      <c r="AG31" s="12" t="s">
        <v>4791</v>
      </c>
      <c r="AH31" s="87"/>
      <c r="AI31" s="12"/>
      <c r="AJ31" s="10"/>
      <c r="AK31" s="12"/>
      <c r="AL31" s="10"/>
      <c r="AM31" s="12"/>
      <c r="AN31" s="10"/>
      <c r="AO31" s="12"/>
      <c r="AP31" s="10"/>
      <c r="AQ31" s="12"/>
      <c r="AR31" s="10"/>
      <c r="AS31" s="12"/>
      <c r="AT31" s="10"/>
      <c r="AU31" s="12"/>
      <c r="AV31" s="10"/>
      <c r="AW31" s="12"/>
      <c r="AX31" s="10"/>
      <c r="AY31" s="12"/>
      <c r="AZ31" s="9"/>
      <c r="BA31" s="15"/>
      <c r="BB31" s="10"/>
      <c r="BC31" s="12"/>
      <c r="BD31" s="10"/>
      <c r="BE31" s="12"/>
      <c r="BF31" s="10"/>
      <c r="BG31" s="12"/>
      <c r="BH31" s="10"/>
      <c r="BI31" s="12"/>
      <c r="BJ31" s="10"/>
      <c r="BK31" s="12"/>
      <c r="BL31" s="10"/>
      <c r="BM31" s="12"/>
      <c r="BN31" s="114"/>
      <c r="BO31" s="12"/>
      <c r="BP31" s="10"/>
      <c r="BQ31" s="12"/>
      <c r="BR31" s="10"/>
      <c r="BS31" s="12"/>
      <c r="BT31" s="10"/>
      <c r="BU31" s="12"/>
      <c r="BV31" s="10"/>
      <c r="BW31" s="12"/>
      <c r="BX31" s="10"/>
      <c r="BY31" s="12"/>
      <c r="BZ31" s="10"/>
      <c r="CA31" s="12"/>
      <c r="CB31" s="10"/>
      <c r="CC31" s="12"/>
      <c r="CD31" s="10"/>
      <c r="CE31" s="12"/>
      <c r="CF31" s="10"/>
      <c r="CG31" s="12"/>
      <c r="CH31" s="10"/>
      <c r="CI31" s="12"/>
      <c r="CJ31" s="10"/>
      <c r="CK31" s="12"/>
      <c r="CL31" s="10"/>
      <c r="CM31" s="12"/>
      <c r="CN31" s="10"/>
    </row>
    <row r="32" spans="1:92" x14ac:dyDescent="0.25">
      <c r="A32" s="41"/>
      <c r="B32" s="7"/>
      <c r="C32" s="26"/>
      <c r="D32" s="7"/>
      <c r="E32" s="26"/>
      <c r="F32" s="7"/>
      <c r="G32" s="26"/>
      <c r="H32" s="112">
        <v>1995.01</v>
      </c>
      <c r="I32" s="15" t="s">
        <v>4159</v>
      </c>
      <c r="J32" s="7"/>
      <c r="K32" s="26"/>
      <c r="L32" s="7"/>
      <c r="M32" s="26"/>
      <c r="N32" s="7"/>
      <c r="O32" s="26"/>
      <c r="P32" s="7"/>
      <c r="Q32" s="26"/>
      <c r="R32" s="7"/>
      <c r="S32" s="26"/>
      <c r="T32" s="9">
        <v>3320</v>
      </c>
      <c r="U32" s="26" t="s">
        <v>4503</v>
      </c>
      <c r="V32" s="7"/>
      <c r="W32" s="26"/>
      <c r="X32" s="9"/>
      <c r="Y32" s="26"/>
      <c r="Z32" s="7"/>
      <c r="AA32" s="26"/>
      <c r="AB32" s="7">
        <v>1493.22</v>
      </c>
      <c r="AC32" s="26" t="s">
        <v>4662</v>
      </c>
      <c r="AD32" s="7"/>
      <c r="AE32" s="26"/>
      <c r="AF32" s="7"/>
      <c r="AG32" s="26"/>
      <c r="AH32" s="7"/>
      <c r="AI32" s="26"/>
      <c r="AJ32" s="7"/>
      <c r="AK32" s="26"/>
      <c r="AL32" s="7"/>
      <c r="AM32" s="26"/>
      <c r="AN32" s="7"/>
      <c r="AO32" s="26"/>
      <c r="AP32" s="7"/>
      <c r="AQ32" s="26"/>
      <c r="AR32" s="7"/>
      <c r="AS32" s="26"/>
      <c r="AT32" s="7"/>
      <c r="AU32" s="26"/>
      <c r="AV32" s="7"/>
      <c r="AW32" s="26"/>
      <c r="AX32" s="7"/>
      <c r="AY32" s="26"/>
      <c r="AZ32" s="9"/>
      <c r="BA32" s="15"/>
      <c r="BB32" s="7"/>
      <c r="BC32" s="26"/>
      <c r="BD32" s="7"/>
      <c r="BE32" s="26"/>
      <c r="BF32" s="7"/>
      <c r="BG32" s="26"/>
      <c r="BH32" s="7"/>
      <c r="BI32" s="26"/>
      <c r="BJ32" s="7"/>
      <c r="BK32" s="26"/>
      <c r="BL32" s="7"/>
      <c r="BM32" s="26"/>
      <c r="BN32" s="96"/>
      <c r="BO32" s="26"/>
      <c r="BP32" s="7"/>
      <c r="BQ32" s="26"/>
      <c r="BR32" s="7"/>
      <c r="BS32" s="26"/>
      <c r="BT32" s="7"/>
      <c r="BU32" s="26"/>
      <c r="BV32" s="7"/>
      <c r="BW32" s="26"/>
      <c r="BX32" s="7"/>
      <c r="BY32" s="26"/>
      <c r="BZ32" s="7"/>
      <c r="CA32" s="26"/>
      <c r="CB32" s="7"/>
      <c r="CC32" s="26"/>
      <c r="CD32" s="7"/>
      <c r="CE32" s="26"/>
      <c r="CF32" s="7"/>
      <c r="CG32" s="26"/>
      <c r="CH32" s="7"/>
      <c r="CI32" s="26"/>
      <c r="CJ32" s="7"/>
      <c r="CK32" s="26"/>
      <c r="CL32" s="7"/>
      <c r="CM32" s="26"/>
      <c r="CN32" s="7"/>
    </row>
    <row r="33" spans="1:92" x14ac:dyDescent="0.25">
      <c r="A33" s="41"/>
      <c r="B33" s="7"/>
      <c r="C33" s="26"/>
      <c r="D33" s="7"/>
      <c r="E33" s="26"/>
      <c r="F33" s="7"/>
      <c r="G33" s="26"/>
      <c r="H33" s="112">
        <v>50</v>
      </c>
      <c r="I33" s="15" t="s">
        <v>4160</v>
      </c>
      <c r="J33" s="7"/>
      <c r="K33" s="26"/>
      <c r="L33" s="7"/>
      <c r="M33" s="26"/>
      <c r="N33" s="7"/>
      <c r="O33" s="26"/>
      <c r="P33" s="7"/>
      <c r="Q33" s="26"/>
      <c r="R33" s="7"/>
      <c r="S33" s="26"/>
      <c r="T33" s="9">
        <v>3319.99</v>
      </c>
      <c r="U33" s="26" t="s">
        <v>4504</v>
      </c>
      <c r="V33" s="7"/>
      <c r="W33" s="26"/>
      <c r="X33" s="9"/>
      <c r="Y33" s="26"/>
      <c r="Z33" s="7"/>
      <c r="AA33" s="26"/>
      <c r="AB33" s="7">
        <v>82.93</v>
      </c>
      <c r="AC33" s="26" t="s">
        <v>4666</v>
      </c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/>
      <c r="AQ33" s="26"/>
      <c r="AR33" s="7"/>
      <c r="AS33" s="26"/>
      <c r="AT33" s="7"/>
      <c r="AU33" s="26"/>
      <c r="AV33" s="7"/>
      <c r="AW33" s="26"/>
      <c r="AX33" s="7"/>
      <c r="AY33" s="26"/>
      <c r="AZ33" s="9"/>
      <c r="BA33" s="15"/>
      <c r="BB33" s="7"/>
      <c r="BC33" s="26"/>
      <c r="BD33" s="7"/>
      <c r="BE33" s="26"/>
      <c r="BF33" s="7"/>
      <c r="BG33" s="26"/>
      <c r="BH33" s="7"/>
      <c r="BI33" s="26"/>
      <c r="BJ33" s="7"/>
      <c r="BK33" s="26"/>
      <c r="BL33" s="7"/>
      <c r="BM33" s="26"/>
      <c r="BN33" s="96"/>
      <c r="BO33" s="26"/>
      <c r="BP33" s="7"/>
      <c r="BQ33" s="26"/>
      <c r="BR33" s="7"/>
      <c r="BS33" s="26"/>
      <c r="BT33" s="7"/>
      <c r="BU33" s="26"/>
      <c r="BV33" s="7"/>
      <c r="BW33" s="26"/>
      <c r="BX33" s="7"/>
      <c r="BY33" s="26"/>
      <c r="BZ33" s="7"/>
      <c r="CA33" s="26"/>
      <c r="CB33" s="7"/>
      <c r="CC33" s="26"/>
      <c r="CD33" s="7"/>
      <c r="CE33" s="26"/>
      <c r="CF33" s="7"/>
      <c r="CG33" s="26"/>
      <c r="CH33" s="7"/>
      <c r="CI33" s="26"/>
      <c r="CJ33" s="7"/>
      <c r="CK33" s="26"/>
      <c r="CL33" s="7"/>
      <c r="CM33" s="26"/>
      <c r="CN33" s="7"/>
    </row>
    <row r="34" spans="1:92" x14ac:dyDescent="0.25">
      <c r="A34" s="41"/>
      <c r="B34" s="7"/>
      <c r="C34" s="26"/>
      <c r="D34" s="7"/>
      <c r="E34" s="26"/>
      <c r="F34" s="7"/>
      <c r="G34" s="26"/>
      <c r="H34" s="112">
        <v>1099.01</v>
      </c>
      <c r="I34" s="15" t="s">
        <v>4161</v>
      </c>
      <c r="J34" s="7"/>
      <c r="K34" s="26"/>
      <c r="L34" s="7"/>
      <c r="M34" s="26"/>
      <c r="N34" s="7"/>
      <c r="O34" s="26"/>
      <c r="P34" s="7"/>
      <c r="Q34" s="26"/>
      <c r="R34" s="7"/>
      <c r="S34" s="26"/>
      <c r="T34" s="9">
        <v>1171.0999999999999</v>
      </c>
      <c r="U34" s="26" t="s">
        <v>4504</v>
      </c>
      <c r="V34" s="7"/>
      <c r="W34" s="26"/>
      <c r="X34" s="9"/>
      <c r="Y34" s="26"/>
      <c r="Z34" s="7"/>
      <c r="AA34" s="26"/>
      <c r="AB34" s="7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/>
      <c r="AQ34" s="26"/>
      <c r="AR34" s="7"/>
      <c r="AS34" s="26"/>
      <c r="AT34" s="7"/>
      <c r="AU34" s="26"/>
      <c r="AV34" s="7"/>
      <c r="AW34" s="26"/>
      <c r="AX34" s="7"/>
      <c r="AY34" s="26"/>
      <c r="AZ34" s="9"/>
      <c r="BA34" s="15"/>
      <c r="BB34" s="7"/>
      <c r="BC34" s="26"/>
      <c r="BD34" s="7"/>
      <c r="BE34" s="26"/>
      <c r="BF34" s="7"/>
      <c r="BG34" s="26"/>
      <c r="BH34" s="7"/>
      <c r="BI34" s="26"/>
      <c r="BJ34" s="7"/>
      <c r="BK34" s="26"/>
      <c r="BL34" s="7"/>
      <c r="BM34" s="26"/>
      <c r="BN34" s="96"/>
      <c r="BO34" s="26"/>
      <c r="BP34" s="7"/>
      <c r="BQ34" s="26"/>
      <c r="BR34" s="7"/>
      <c r="BS34" s="26"/>
      <c r="BT34" s="7"/>
      <c r="BU34" s="26"/>
      <c r="BV34" s="7"/>
      <c r="BW34" s="26"/>
      <c r="BX34" s="7"/>
      <c r="BY34" s="26"/>
      <c r="BZ34" s="7"/>
      <c r="CA34" s="26"/>
      <c r="CB34" s="7"/>
      <c r="CC34" s="26"/>
      <c r="CD34" s="7"/>
      <c r="CE34" s="26"/>
      <c r="CF34" s="7"/>
      <c r="CG34" s="26"/>
      <c r="CH34" s="7"/>
      <c r="CI34" s="26"/>
      <c r="CJ34" s="7"/>
      <c r="CK34" s="26"/>
      <c r="CL34" s="7"/>
      <c r="CM34" s="26"/>
      <c r="CN34" s="7"/>
    </row>
    <row r="35" spans="1:92" x14ac:dyDescent="0.25">
      <c r="A35" s="41"/>
      <c r="B35" s="7"/>
      <c r="C35" s="26"/>
      <c r="D35" s="7"/>
      <c r="E35" s="26"/>
      <c r="F35" s="7"/>
      <c r="G35" s="26"/>
      <c r="H35" s="112">
        <v>8330.57</v>
      </c>
      <c r="I35" s="15" t="s">
        <v>4162</v>
      </c>
      <c r="J35" s="7"/>
      <c r="K35" s="26"/>
      <c r="L35" s="7"/>
      <c r="M35" s="26"/>
      <c r="N35" s="7"/>
      <c r="O35" s="26"/>
      <c r="P35" s="7"/>
      <c r="Q35" s="26"/>
      <c r="R35" s="7"/>
      <c r="S35" s="26"/>
      <c r="T35" s="9">
        <v>4168.99</v>
      </c>
      <c r="U35" s="26" t="s">
        <v>4508</v>
      </c>
      <c r="V35" s="7"/>
      <c r="W35" s="26"/>
      <c r="X35" s="7"/>
      <c r="Y35" s="26"/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/>
      <c r="AQ35" s="26"/>
      <c r="AR35" s="7"/>
      <c r="AS35" s="26"/>
      <c r="AT35" s="7"/>
      <c r="AU35" s="26"/>
      <c r="AV35" s="7"/>
      <c r="AW35" s="26"/>
      <c r="AX35" s="7"/>
      <c r="AY35" s="26"/>
      <c r="AZ35" s="9"/>
      <c r="BA35" s="15"/>
      <c r="BB35" s="7"/>
      <c r="BC35" s="26"/>
      <c r="BD35" s="7"/>
      <c r="BE35" s="26"/>
      <c r="BF35" s="7"/>
      <c r="BG35" s="26"/>
      <c r="BH35" s="7"/>
      <c r="BI35" s="26"/>
      <c r="BJ35" s="7"/>
      <c r="BK35" s="26"/>
      <c r="BL35" s="7"/>
      <c r="BM35" s="26"/>
      <c r="BN35" s="7"/>
      <c r="BO35" s="26"/>
      <c r="BP35" s="7"/>
      <c r="BQ35" s="26"/>
      <c r="BR35" s="7"/>
      <c r="BS35" s="26"/>
      <c r="BT35" s="7"/>
      <c r="BU35" s="26"/>
      <c r="BV35" s="7"/>
      <c r="BW35" s="26"/>
      <c r="BX35" s="7"/>
      <c r="BY35" s="26"/>
      <c r="BZ35" s="7"/>
      <c r="CA35" s="26"/>
      <c r="CB35" s="7"/>
      <c r="CC35" s="26"/>
      <c r="CD35" s="7"/>
      <c r="CE35" s="26"/>
      <c r="CF35" s="7"/>
      <c r="CG35" s="26"/>
      <c r="CH35" s="7"/>
      <c r="CI35" s="26"/>
      <c r="CJ35" s="7"/>
      <c r="CK35" s="26"/>
      <c r="CL35" s="7"/>
      <c r="CM35" s="26"/>
      <c r="CN35" s="7"/>
    </row>
    <row r="36" spans="1:92" x14ac:dyDescent="0.25">
      <c r="A36" s="41"/>
      <c r="B36" s="7"/>
      <c r="C36" s="26"/>
      <c r="D36" s="7"/>
      <c r="E36" s="26"/>
      <c r="F36" s="7"/>
      <c r="G36" s="26"/>
      <c r="H36" s="112">
        <v>1970.02</v>
      </c>
      <c r="I36" s="26" t="s">
        <v>4166</v>
      </c>
      <c r="J36" s="7"/>
      <c r="K36" s="26"/>
      <c r="L36" s="7"/>
      <c r="M36" s="26"/>
      <c r="N36" s="7"/>
      <c r="O36" s="26"/>
      <c r="P36" s="7"/>
      <c r="Q36" s="26"/>
      <c r="R36" s="7"/>
      <c r="S36" s="26"/>
      <c r="T36" s="9">
        <v>2146.21</v>
      </c>
      <c r="U36" s="26" t="s">
        <v>4512</v>
      </c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/>
      <c r="AU36" s="26"/>
      <c r="AV36" s="7"/>
      <c r="AW36" s="26"/>
      <c r="AX36" s="7"/>
      <c r="AY36" s="26"/>
      <c r="AZ36" s="9"/>
      <c r="BA36" s="15"/>
      <c r="BB36" s="7"/>
      <c r="BC36" s="26"/>
      <c r="BD36" s="7"/>
      <c r="BE36" s="26"/>
      <c r="BF36" s="7"/>
      <c r="BG36" s="26"/>
      <c r="BH36" s="7"/>
      <c r="BI36" s="26"/>
      <c r="BJ36" s="7"/>
      <c r="BK36" s="26"/>
      <c r="BL36" s="7"/>
      <c r="BM36" s="26"/>
      <c r="BN36" s="7"/>
      <c r="BO36" s="26"/>
      <c r="BP36" s="7"/>
      <c r="BQ36" s="26"/>
      <c r="BR36" s="7"/>
      <c r="BS36" s="26"/>
      <c r="BT36" s="7"/>
      <c r="BU36" s="26"/>
      <c r="BV36" s="7"/>
      <c r="BW36" s="26"/>
      <c r="BX36" s="7"/>
      <c r="BY36" s="26"/>
      <c r="BZ36" s="7"/>
      <c r="CA36" s="26"/>
      <c r="CB36" s="7"/>
      <c r="CC36" s="26"/>
      <c r="CD36" s="7"/>
      <c r="CE36" s="26"/>
      <c r="CF36" s="7"/>
      <c r="CG36" s="26"/>
      <c r="CH36" s="7"/>
      <c r="CI36" s="26"/>
      <c r="CJ36" s="7"/>
      <c r="CK36" s="26"/>
      <c r="CL36" s="7"/>
      <c r="CM36" s="26"/>
      <c r="CN36" s="7"/>
    </row>
    <row r="37" spans="1:92" x14ac:dyDescent="0.25">
      <c r="A37" s="41"/>
      <c r="B37" s="7"/>
      <c r="C37" s="26"/>
      <c r="D37" s="7"/>
      <c r="E37" s="26"/>
      <c r="F37" s="7"/>
      <c r="G37" s="26"/>
      <c r="H37" s="168">
        <v>1169.01</v>
      </c>
      <c r="I37" s="24" t="s">
        <v>4150</v>
      </c>
      <c r="J37" s="7"/>
      <c r="K37" s="26"/>
      <c r="L37" s="7"/>
      <c r="M37" s="26"/>
      <c r="N37" s="7"/>
      <c r="O37" s="26"/>
      <c r="P37" s="7"/>
      <c r="Q37" s="26"/>
      <c r="R37" s="7"/>
      <c r="S37" s="26"/>
      <c r="T37" s="9">
        <v>3320</v>
      </c>
      <c r="U37" s="26" t="s">
        <v>4513</v>
      </c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/>
      <c r="AU37" s="26"/>
      <c r="AV37" s="7"/>
      <c r="AW37" s="26"/>
      <c r="AX37" s="7"/>
      <c r="AY37" s="26"/>
      <c r="AZ37" s="9"/>
      <c r="BA37" s="15"/>
      <c r="BB37" s="7"/>
      <c r="BC37" s="26"/>
      <c r="BD37" s="7"/>
      <c r="BE37" s="26"/>
      <c r="BF37" s="7"/>
      <c r="BG37" s="26"/>
      <c r="BH37" s="7"/>
      <c r="BI37" s="26"/>
      <c r="BJ37" s="7"/>
      <c r="BK37" s="26"/>
      <c r="BL37" s="7"/>
      <c r="BM37" s="26"/>
      <c r="BN37" s="7"/>
      <c r="BO37" s="26"/>
      <c r="BP37" s="7"/>
      <c r="BQ37" s="26"/>
      <c r="BR37" s="7"/>
      <c r="BS37" s="26"/>
      <c r="BT37" s="7"/>
      <c r="BU37" s="26"/>
      <c r="BV37" s="7"/>
      <c r="BW37" s="26"/>
      <c r="BX37" s="7"/>
      <c r="BY37" s="26"/>
      <c r="BZ37" s="7"/>
      <c r="CA37" s="26"/>
      <c r="CB37" s="7"/>
      <c r="CC37" s="26"/>
      <c r="CD37" s="7"/>
      <c r="CE37" s="26"/>
      <c r="CF37" s="7"/>
      <c r="CG37" s="26"/>
      <c r="CH37" s="7"/>
      <c r="CI37" s="26"/>
      <c r="CJ37" s="7"/>
      <c r="CK37" s="26"/>
      <c r="CL37" s="7"/>
      <c r="CM37" s="26"/>
      <c r="CN37" s="7"/>
    </row>
    <row r="38" spans="1:92" x14ac:dyDescent="0.25">
      <c r="A38" s="41"/>
      <c r="B38" s="7"/>
      <c r="C38" s="26"/>
      <c r="D38" s="7"/>
      <c r="E38" s="26"/>
      <c r="F38" s="7"/>
      <c r="G38" s="26"/>
      <c r="H38" s="7"/>
      <c r="I38" s="26"/>
      <c r="J38" s="7"/>
      <c r="K38" s="26"/>
      <c r="L38" s="7"/>
      <c r="M38" s="26"/>
      <c r="N38" s="7"/>
      <c r="O38" s="26"/>
      <c r="P38" s="7"/>
      <c r="Q38" s="26"/>
      <c r="R38" s="7"/>
      <c r="S38" s="26"/>
      <c r="T38" s="9">
        <v>83.06</v>
      </c>
      <c r="U38" s="26" t="s">
        <v>4514</v>
      </c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9"/>
      <c r="BA38" s="15"/>
      <c r="BB38" s="7"/>
      <c r="BC38" s="26"/>
      <c r="BD38" s="7"/>
      <c r="BE38" s="26"/>
      <c r="BF38" s="7"/>
      <c r="BG38" s="26"/>
      <c r="BH38" s="7"/>
      <c r="BI38" s="26"/>
      <c r="BJ38" s="7"/>
      <c r="BK38" s="26"/>
      <c r="BL38" s="7"/>
      <c r="BM38" s="26"/>
      <c r="BN38" s="7"/>
      <c r="BO38" s="26"/>
      <c r="BP38" s="7"/>
      <c r="BQ38" s="26"/>
      <c r="BR38" s="7"/>
      <c r="BS38" s="26"/>
      <c r="BT38" s="7"/>
      <c r="BU38" s="26"/>
      <c r="BV38" s="7"/>
      <c r="BW38" s="26"/>
      <c r="BX38" s="7"/>
      <c r="BY38" s="26"/>
      <c r="BZ38" s="7"/>
      <c r="CA38" s="26"/>
      <c r="CB38" s="7"/>
      <c r="CC38" s="26"/>
      <c r="CD38" s="7"/>
      <c r="CE38" s="26"/>
      <c r="CF38" s="7"/>
      <c r="CG38" s="26"/>
      <c r="CH38" s="7"/>
      <c r="CI38" s="26"/>
      <c r="CJ38" s="7"/>
      <c r="CK38" s="26"/>
      <c r="CL38" s="7"/>
      <c r="CM38" s="26"/>
      <c r="CN38" s="7"/>
    </row>
    <row r="39" spans="1:92" x14ac:dyDescent="0.25">
      <c r="A39" s="41"/>
      <c r="B39" s="7"/>
      <c r="C39" s="26"/>
      <c r="D39" s="7"/>
      <c r="E39" s="26"/>
      <c r="F39" s="7"/>
      <c r="G39" s="26"/>
      <c r="H39" s="7"/>
      <c r="I39" s="26"/>
      <c r="J39" s="7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9"/>
      <c r="BA39" s="15"/>
      <c r="BB39" s="7"/>
      <c r="BC39" s="26"/>
      <c r="BD39" s="7"/>
      <c r="BE39" s="26"/>
      <c r="BF39" s="7"/>
      <c r="BG39" s="26"/>
      <c r="BH39" s="7"/>
      <c r="BI39" s="26"/>
      <c r="BJ39" s="7"/>
      <c r="BK39" s="26"/>
      <c r="BL39" s="7"/>
      <c r="BM39" s="26"/>
      <c r="BN39" s="7"/>
      <c r="BO39" s="26"/>
      <c r="BP39" s="7"/>
      <c r="BQ39" s="26"/>
      <c r="BR39" s="7"/>
      <c r="BS39" s="26"/>
      <c r="BT39" s="7"/>
      <c r="BU39" s="26"/>
      <c r="BV39" s="7"/>
      <c r="BW39" s="26"/>
      <c r="BX39" s="7"/>
      <c r="BY39" s="26"/>
      <c r="BZ39" s="7"/>
      <c r="CA39" s="26"/>
      <c r="CB39" s="7"/>
      <c r="CC39" s="26"/>
      <c r="CD39" s="7"/>
      <c r="CE39" s="26"/>
      <c r="CF39" s="7"/>
      <c r="CG39" s="26"/>
      <c r="CH39" s="7"/>
      <c r="CI39" s="26"/>
      <c r="CJ39" s="7"/>
      <c r="CK39" s="26"/>
      <c r="CL39" s="7"/>
      <c r="CM39" s="26"/>
      <c r="CN39" s="7"/>
    </row>
    <row r="40" spans="1:92" x14ac:dyDescent="0.25">
      <c r="A40" s="41"/>
      <c r="B40" s="7"/>
      <c r="C40" s="26"/>
      <c r="D40" s="7"/>
      <c r="E40" s="26"/>
      <c r="F40" s="7"/>
      <c r="G40" s="26"/>
      <c r="H40" s="7"/>
      <c r="I40" s="26"/>
      <c r="J40" s="7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9"/>
      <c r="BA40" s="15"/>
      <c r="BB40" s="7"/>
      <c r="BC40" s="26"/>
      <c r="BD40" s="7"/>
      <c r="BE40" s="26"/>
      <c r="BF40" s="7"/>
      <c r="BG40" s="26"/>
      <c r="BH40" s="7"/>
      <c r="BI40" s="26"/>
      <c r="BJ40" s="7"/>
      <c r="BK40" s="26"/>
      <c r="BL40" s="7"/>
      <c r="BM40" s="26"/>
      <c r="BN40" s="7"/>
      <c r="BO40" s="26"/>
      <c r="BP40" s="7"/>
      <c r="BQ40" s="26"/>
      <c r="BR40" s="7"/>
      <c r="BS40" s="26"/>
      <c r="BT40" s="7"/>
      <c r="BU40" s="26"/>
      <c r="BV40" s="7"/>
      <c r="BW40" s="26"/>
      <c r="BX40" s="7"/>
      <c r="BY40" s="26"/>
      <c r="BZ40" s="7"/>
      <c r="CA40" s="26"/>
      <c r="CB40" s="7"/>
      <c r="CC40" s="26"/>
      <c r="CD40" s="7"/>
      <c r="CE40" s="26"/>
      <c r="CF40" s="7"/>
      <c r="CG40" s="26"/>
      <c r="CH40" s="7"/>
      <c r="CI40" s="26"/>
      <c r="CJ40" s="7"/>
      <c r="CK40" s="26"/>
      <c r="CL40" s="7"/>
      <c r="CM40" s="26"/>
      <c r="CN40" s="7"/>
    </row>
    <row r="41" spans="1:92" x14ac:dyDescent="0.25">
      <c r="A41" s="41"/>
      <c r="B41" s="7"/>
      <c r="C41" s="26"/>
      <c r="D41" s="7"/>
      <c r="E41" s="26"/>
      <c r="F41" s="7"/>
      <c r="G41" s="26"/>
      <c r="H41" s="7"/>
      <c r="I41" s="26"/>
      <c r="J41" s="7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7"/>
      <c r="AE41" s="26"/>
      <c r="AF41" s="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9"/>
      <c r="BA41" s="15"/>
      <c r="BB41" s="7"/>
      <c r="BC41" s="26"/>
      <c r="BD41" s="7"/>
      <c r="BE41" s="26"/>
      <c r="BF41" s="7"/>
      <c r="BG41" s="26"/>
      <c r="BH41" s="7"/>
      <c r="BI41" s="26"/>
      <c r="BJ41" s="7"/>
      <c r="BK41" s="26"/>
      <c r="BL41" s="7"/>
      <c r="BM41" s="26"/>
      <c r="BN41" s="7"/>
      <c r="BO41" s="26"/>
      <c r="BP41" s="7"/>
      <c r="BQ41" s="26"/>
      <c r="BR41" s="7"/>
      <c r="BS41" s="26"/>
      <c r="BT41" s="7"/>
      <c r="BU41" s="26"/>
      <c r="BV41" s="7"/>
      <c r="BW41" s="26"/>
      <c r="BX41" s="7"/>
      <c r="BY41" s="26"/>
      <c r="BZ41" s="7"/>
      <c r="CA41" s="26"/>
      <c r="CB41" s="7"/>
      <c r="CC41" s="26"/>
      <c r="CD41" s="7"/>
      <c r="CE41" s="26"/>
      <c r="CF41" s="7"/>
      <c r="CG41" s="26"/>
      <c r="CH41" s="7"/>
      <c r="CI41" s="26"/>
      <c r="CJ41" s="7"/>
      <c r="CK41" s="26"/>
      <c r="CL41" s="7"/>
      <c r="CM41" s="26"/>
      <c r="CN41" s="7"/>
    </row>
    <row r="42" spans="1:92" x14ac:dyDescent="0.25">
      <c r="A42" s="41"/>
      <c r="B42" s="7"/>
      <c r="C42" s="26"/>
      <c r="D42" s="7"/>
      <c r="E42" s="26"/>
      <c r="F42" s="7"/>
      <c r="G42" s="26"/>
      <c r="H42" s="7"/>
      <c r="I42" s="26"/>
      <c r="J42" s="7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9"/>
      <c r="BA42" s="15"/>
      <c r="BB42" s="7"/>
      <c r="BC42" s="26"/>
      <c r="BD42" s="7"/>
      <c r="BE42" s="26"/>
      <c r="BF42" s="7"/>
      <c r="BG42" s="26"/>
      <c r="BH42" s="7"/>
      <c r="BI42" s="26"/>
      <c r="BJ42" s="7"/>
      <c r="BK42" s="26"/>
      <c r="BL42" s="7"/>
      <c r="BM42" s="26"/>
      <c r="BN42" s="7"/>
      <c r="BO42" s="26"/>
      <c r="BP42" s="7"/>
      <c r="BQ42" s="26"/>
      <c r="BR42" s="7"/>
      <c r="BS42" s="26"/>
      <c r="BT42" s="7"/>
      <c r="BU42" s="26"/>
      <c r="BV42" s="7"/>
      <c r="BW42" s="26"/>
      <c r="BX42" s="7"/>
      <c r="BY42" s="26"/>
      <c r="BZ42" s="7"/>
      <c r="CA42" s="26"/>
      <c r="CB42" s="7"/>
      <c r="CC42" s="26"/>
      <c r="CD42" s="7"/>
      <c r="CE42" s="26"/>
      <c r="CF42" s="7"/>
      <c r="CG42" s="26"/>
      <c r="CH42" s="7"/>
      <c r="CI42" s="26"/>
      <c r="CJ42" s="7"/>
      <c r="CK42" s="26"/>
      <c r="CL42" s="7"/>
      <c r="CM42" s="26"/>
      <c r="CN42" s="7"/>
    </row>
    <row r="43" spans="1:92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9"/>
      <c r="BA43" s="15"/>
      <c r="BB43" s="7"/>
      <c r="BC43" s="26"/>
      <c r="BD43" s="7"/>
      <c r="BE43" s="26"/>
      <c r="BF43" s="7"/>
      <c r="BG43" s="26"/>
      <c r="BH43" s="7"/>
      <c r="BI43" s="26"/>
      <c r="BJ43" s="7"/>
      <c r="BK43" s="26"/>
      <c r="BL43" s="7"/>
      <c r="BM43" s="26"/>
      <c r="BN43" s="7"/>
      <c r="BO43" s="26"/>
      <c r="BP43" s="7"/>
      <c r="BQ43" s="26"/>
      <c r="BR43" s="7"/>
      <c r="BS43" s="26"/>
      <c r="BT43" s="7"/>
      <c r="BU43" s="26"/>
      <c r="BV43" s="7"/>
      <c r="BW43" s="26"/>
      <c r="BX43" s="7"/>
      <c r="BY43" s="26"/>
      <c r="BZ43" s="7"/>
      <c r="CA43" s="26"/>
      <c r="CB43" s="7"/>
      <c r="CC43" s="26"/>
      <c r="CD43" s="7"/>
      <c r="CE43" s="26"/>
      <c r="CF43" s="7"/>
      <c r="CG43" s="26"/>
      <c r="CH43" s="7"/>
      <c r="CI43" s="26"/>
      <c r="CJ43" s="7"/>
      <c r="CK43" s="26"/>
      <c r="CL43" s="7"/>
      <c r="CM43" s="26"/>
      <c r="CN43" s="7"/>
    </row>
    <row r="44" spans="1:92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9"/>
      <c r="BA44" s="15"/>
      <c r="BB44" s="7"/>
      <c r="BC44" s="26"/>
      <c r="BD44" s="7"/>
      <c r="BE44" s="26"/>
      <c r="BF44" s="7"/>
      <c r="BG44" s="26"/>
      <c r="BH44" s="7"/>
      <c r="BI44" s="26"/>
      <c r="BJ44" s="7"/>
      <c r="BK44" s="26"/>
      <c r="BL44" s="7"/>
      <c r="BM44" s="26"/>
      <c r="BN44" s="7"/>
      <c r="BO44" s="26"/>
      <c r="BP44" s="7"/>
      <c r="BQ44" s="26"/>
      <c r="BR44" s="7"/>
      <c r="BS44" s="26"/>
      <c r="BT44" s="7"/>
      <c r="BU44" s="26"/>
      <c r="BV44" s="7"/>
      <c r="BW44" s="26"/>
      <c r="BX44" s="7"/>
      <c r="BY44" s="26"/>
      <c r="BZ44" s="7"/>
      <c r="CA44" s="26"/>
      <c r="CB44" s="7"/>
      <c r="CC44" s="26"/>
      <c r="CD44" s="7"/>
      <c r="CE44" s="26"/>
      <c r="CF44" s="7"/>
      <c r="CG44" s="26"/>
      <c r="CH44" s="7"/>
      <c r="CI44" s="26"/>
      <c r="CJ44" s="7"/>
      <c r="CK44" s="26"/>
      <c r="CL44" s="7"/>
      <c r="CM44" s="26"/>
      <c r="CN44" s="7"/>
    </row>
    <row r="45" spans="1:92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9"/>
      <c r="BA45" s="15"/>
      <c r="BB45" s="7"/>
      <c r="BC45" s="26"/>
      <c r="BD45" s="7"/>
      <c r="BE45" s="26"/>
      <c r="BF45" s="7"/>
      <c r="BG45" s="26"/>
      <c r="BH45" s="7"/>
      <c r="BI45" s="26"/>
      <c r="BJ45" s="7"/>
      <c r="BK45" s="26"/>
      <c r="BL45" s="7"/>
      <c r="BM45" s="26"/>
      <c r="BN45" s="7"/>
      <c r="BO45" s="26"/>
      <c r="BP45" s="7"/>
      <c r="BQ45" s="26"/>
      <c r="BR45" s="7"/>
      <c r="BS45" s="26"/>
      <c r="BT45" s="7"/>
      <c r="BU45" s="26"/>
      <c r="BV45" s="7"/>
      <c r="BW45" s="26"/>
      <c r="BX45" s="7"/>
      <c r="BY45" s="26"/>
      <c r="BZ45" s="7"/>
      <c r="CA45" s="26"/>
      <c r="CB45" s="7"/>
      <c r="CC45" s="26"/>
      <c r="CD45" s="7"/>
      <c r="CE45" s="26"/>
      <c r="CF45" s="7"/>
      <c r="CG45" s="26"/>
      <c r="CH45" s="7"/>
      <c r="CI45" s="26"/>
      <c r="CJ45" s="7"/>
      <c r="CK45" s="26"/>
      <c r="CL45" s="7"/>
      <c r="CM45" s="26"/>
      <c r="CN45" s="7"/>
    </row>
    <row r="46" spans="1:92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9"/>
      <c r="BA46" s="15"/>
      <c r="BB46" s="7"/>
      <c r="BC46" s="26"/>
      <c r="BD46" s="7"/>
      <c r="BE46" s="26"/>
      <c r="BF46" s="7"/>
      <c r="BG46" s="26"/>
      <c r="BH46" s="7"/>
      <c r="BI46" s="26"/>
      <c r="BJ46" s="7"/>
      <c r="BK46" s="26"/>
      <c r="BL46" s="7"/>
      <c r="BM46" s="26"/>
      <c r="BN46" s="7"/>
      <c r="BO46" s="26"/>
      <c r="BP46" s="7"/>
      <c r="BQ46" s="26"/>
      <c r="BR46" s="7"/>
      <c r="BS46" s="26"/>
      <c r="BT46" s="7"/>
      <c r="BU46" s="26"/>
      <c r="BV46" s="7"/>
      <c r="BW46" s="26"/>
      <c r="BX46" s="7"/>
      <c r="BY46" s="26"/>
      <c r="BZ46" s="7"/>
      <c r="CA46" s="26"/>
      <c r="CB46" s="7"/>
      <c r="CC46" s="26"/>
      <c r="CD46" s="7"/>
      <c r="CE46" s="26"/>
      <c r="CF46" s="7"/>
      <c r="CG46" s="26"/>
      <c r="CH46" s="7"/>
      <c r="CI46" s="26"/>
      <c r="CJ46" s="7"/>
      <c r="CK46" s="26"/>
      <c r="CL46" s="7"/>
      <c r="CM46" s="26"/>
      <c r="CN46" s="7"/>
    </row>
    <row r="47" spans="1:92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9"/>
      <c r="BA47" s="15"/>
      <c r="BB47" s="7"/>
      <c r="BC47" s="26"/>
      <c r="BD47" s="7"/>
      <c r="BE47" s="26"/>
      <c r="BF47" s="7"/>
      <c r="BG47" s="26"/>
      <c r="BH47" s="7"/>
      <c r="BI47" s="26"/>
      <c r="BJ47" s="7"/>
      <c r="BK47" s="26"/>
      <c r="BL47" s="7"/>
      <c r="BM47" s="26"/>
      <c r="BN47" s="7"/>
      <c r="BO47" s="26"/>
      <c r="BP47" s="7"/>
      <c r="BQ47" s="26"/>
      <c r="BR47" s="7"/>
      <c r="BS47" s="26"/>
      <c r="BT47" s="7"/>
      <c r="BU47" s="26"/>
      <c r="BV47" s="7"/>
      <c r="BW47" s="26"/>
      <c r="BX47" s="7"/>
      <c r="BY47" s="26"/>
      <c r="BZ47" s="7"/>
      <c r="CA47" s="26"/>
      <c r="CB47" s="7"/>
      <c r="CC47" s="26"/>
      <c r="CD47" s="7"/>
      <c r="CE47" s="26"/>
      <c r="CF47" s="7"/>
      <c r="CG47" s="26"/>
      <c r="CH47" s="7"/>
      <c r="CI47" s="26"/>
      <c r="CJ47" s="7"/>
      <c r="CK47" s="26"/>
      <c r="CL47" s="7"/>
      <c r="CM47" s="26"/>
      <c r="CN47" s="7"/>
    </row>
    <row r="48" spans="1:92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9"/>
      <c r="BA48" s="15"/>
      <c r="BB48" s="7"/>
      <c r="BC48" s="26"/>
      <c r="BD48" s="7"/>
      <c r="BE48" s="26"/>
      <c r="BF48" s="7"/>
      <c r="BG48" s="26"/>
      <c r="BH48" s="7"/>
      <c r="BI48" s="26"/>
      <c r="BJ48" s="7"/>
      <c r="BK48" s="26"/>
      <c r="BL48" s="7"/>
      <c r="BM48" s="26"/>
      <c r="BN48" s="7"/>
      <c r="BO48" s="26"/>
      <c r="BP48" s="7"/>
      <c r="BQ48" s="26"/>
      <c r="BR48" s="7"/>
      <c r="BS48" s="26"/>
      <c r="BT48" s="7"/>
      <c r="BU48" s="26"/>
      <c r="BV48" s="7"/>
      <c r="BW48" s="26"/>
      <c r="BX48" s="7"/>
      <c r="BY48" s="26"/>
      <c r="BZ48" s="7"/>
      <c r="CA48" s="26"/>
      <c r="CB48" s="7"/>
      <c r="CC48" s="26"/>
      <c r="CD48" s="7"/>
      <c r="CE48" s="26"/>
      <c r="CF48" s="7"/>
      <c r="CG48" s="26"/>
      <c r="CH48" s="7"/>
      <c r="CI48" s="26"/>
      <c r="CJ48" s="7"/>
      <c r="CK48" s="26"/>
      <c r="CL48" s="7"/>
      <c r="CM48" s="26"/>
      <c r="CN48" s="7"/>
    </row>
    <row r="49" spans="1:92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9"/>
      <c r="BA49" s="15"/>
      <c r="BB49" s="7"/>
      <c r="BC49" s="26"/>
      <c r="BD49" s="7"/>
      <c r="BE49" s="26"/>
      <c r="BF49" s="7"/>
      <c r="BG49" s="26"/>
      <c r="BH49" s="7"/>
      <c r="BI49" s="26"/>
      <c r="BJ49" s="7"/>
      <c r="BK49" s="26"/>
      <c r="BL49" s="7"/>
      <c r="BM49" s="26"/>
      <c r="BN49" s="7"/>
      <c r="BO49" s="26"/>
      <c r="BP49" s="7"/>
      <c r="BQ49" s="26"/>
      <c r="BR49" s="7"/>
      <c r="BS49" s="26"/>
      <c r="BT49" s="7"/>
      <c r="BU49" s="26"/>
      <c r="BV49" s="7"/>
      <c r="BW49" s="26"/>
      <c r="BX49" s="7"/>
      <c r="BY49" s="26"/>
      <c r="BZ49" s="7"/>
      <c r="CA49" s="26"/>
      <c r="CB49" s="7"/>
      <c r="CC49" s="26"/>
      <c r="CD49" s="7"/>
      <c r="CE49" s="26"/>
      <c r="CF49" s="7"/>
      <c r="CG49" s="26"/>
      <c r="CH49" s="7"/>
      <c r="CI49" s="26"/>
      <c r="CJ49" s="7"/>
      <c r="CK49" s="26"/>
      <c r="CL49" s="7"/>
      <c r="CM49" s="26"/>
      <c r="CN49" s="7"/>
    </row>
    <row r="50" spans="1:92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9"/>
      <c r="BA50" s="15"/>
      <c r="BB50" s="7"/>
      <c r="BC50" s="26"/>
      <c r="BD50" s="7"/>
      <c r="BE50" s="26"/>
      <c r="BF50" s="7"/>
      <c r="BG50" s="26"/>
      <c r="BH50" s="7"/>
      <c r="BI50" s="26"/>
      <c r="BJ50" s="7"/>
      <c r="BK50" s="26"/>
      <c r="BL50" s="7"/>
      <c r="BM50" s="26"/>
      <c r="BN50" s="7"/>
      <c r="BO50" s="26"/>
      <c r="BP50" s="7"/>
      <c r="BQ50" s="26"/>
      <c r="BR50" s="7"/>
      <c r="BS50" s="26"/>
      <c r="BT50" s="7"/>
      <c r="BU50" s="26"/>
      <c r="BV50" s="7"/>
      <c r="BW50" s="26"/>
      <c r="BX50" s="7"/>
      <c r="BY50" s="26"/>
      <c r="BZ50" s="7"/>
      <c r="CA50" s="26"/>
      <c r="CB50" s="7"/>
      <c r="CC50" s="26"/>
      <c r="CD50" s="7"/>
      <c r="CE50" s="26"/>
      <c r="CF50" s="7"/>
      <c r="CG50" s="26"/>
      <c r="CH50" s="7"/>
      <c r="CI50" s="26"/>
      <c r="CJ50" s="7"/>
      <c r="CK50" s="26"/>
      <c r="CL50" s="7"/>
      <c r="CM50" s="26"/>
      <c r="CN50" s="7"/>
    </row>
    <row r="51" spans="1:92" x14ac:dyDescent="0.25">
      <c r="A51" s="39" t="s">
        <v>1</v>
      </c>
      <c r="B51" s="7">
        <f>+B3+B4</f>
        <v>108445.46</v>
      </c>
      <c r="C51" s="26"/>
      <c r="D51" s="7">
        <f>+D3+D4</f>
        <v>45795.3</v>
      </c>
      <c r="E51" s="26"/>
      <c r="F51" s="7">
        <f>+F3+F4</f>
        <v>210790.68999999997</v>
      </c>
      <c r="G51" s="26"/>
      <c r="H51" s="7">
        <f>+H3+H4</f>
        <v>255669.46</v>
      </c>
      <c r="I51" s="26"/>
      <c r="J51" s="7">
        <f>+J3+J4</f>
        <v>36302.269999999997</v>
      </c>
      <c r="K51" s="26"/>
      <c r="L51" s="7">
        <f>+L3+L4</f>
        <v>70068.5</v>
      </c>
      <c r="M51" s="26"/>
      <c r="N51" s="7">
        <f>+N3+N4</f>
        <v>25631.18</v>
      </c>
      <c r="O51" s="26"/>
      <c r="P51" s="7">
        <f>+P3+P4</f>
        <v>211728.80000000002</v>
      </c>
      <c r="Q51" s="26"/>
      <c r="R51" s="7">
        <f>+R3+R4</f>
        <v>393161.37</v>
      </c>
      <c r="S51" s="26"/>
      <c r="T51" s="7">
        <f>+T3+T4</f>
        <v>510145.73000000004</v>
      </c>
      <c r="U51" s="26"/>
      <c r="V51" s="7">
        <f>+V3+V4</f>
        <v>390409.81</v>
      </c>
      <c r="W51" s="26"/>
      <c r="X51" s="7">
        <f>+X3+X4</f>
        <v>0</v>
      </c>
      <c r="Y51" s="26"/>
      <c r="Z51" s="7">
        <f>+Z3+Z4</f>
        <v>359985.3</v>
      </c>
      <c r="AA51" s="26"/>
      <c r="AB51" s="7">
        <f>+AB3+AB4</f>
        <v>75664.17</v>
      </c>
      <c r="AC51" s="26"/>
      <c r="AD51" s="7">
        <f>+AD3+AD4</f>
        <v>176363.42</v>
      </c>
      <c r="AE51" s="26"/>
      <c r="AF51" s="7">
        <f>+AF3+AF4</f>
        <v>47984.68</v>
      </c>
      <c r="AG51" s="26"/>
      <c r="AH51" s="7">
        <f>+AH3+AH4</f>
        <v>114268.53</v>
      </c>
      <c r="AI51" s="26"/>
      <c r="AJ51" s="7">
        <f>+AJ3+AJ4</f>
        <v>123126.45</v>
      </c>
      <c r="AK51" s="26"/>
      <c r="AL51" s="7">
        <f>+AL3+AL4</f>
        <v>86089.42</v>
      </c>
      <c r="AM51" s="26"/>
      <c r="AN51" s="7">
        <f>+AN3+AN4</f>
        <v>346921.34</v>
      </c>
      <c r="AO51" s="26"/>
      <c r="AP51" s="7">
        <f>+AP3+AP4</f>
        <v>152230.53</v>
      </c>
      <c r="AQ51" s="26"/>
      <c r="AR51" s="7">
        <f>+AR3+AR4</f>
        <v>177070.84</v>
      </c>
      <c r="AS51" s="26"/>
      <c r="AT51" s="7">
        <f>+AT3+AT4</f>
        <v>225671.02</v>
      </c>
      <c r="AU51" s="26"/>
      <c r="AV51" s="7">
        <f>+AV3+AV4</f>
        <v>248480.86</v>
      </c>
      <c r="AW51" s="26"/>
      <c r="AX51" s="7">
        <f>+AX3+AX4</f>
        <v>0</v>
      </c>
      <c r="AY51" s="26"/>
      <c r="AZ51" s="7">
        <f>+AZ3+AZ4</f>
        <v>274300</v>
      </c>
      <c r="BA51" s="15"/>
      <c r="BB51" s="7"/>
      <c r="BC51" s="26"/>
      <c r="BD51" s="7"/>
      <c r="BE51" s="26"/>
      <c r="BF51" s="7"/>
      <c r="BG51" s="26"/>
      <c r="BH51" s="7"/>
      <c r="BI51" s="26"/>
      <c r="BJ51" s="7"/>
      <c r="BK51" s="26"/>
      <c r="BL51" s="7"/>
      <c r="BM51" s="26"/>
      <c r="BN51" s="7"/>
      <c r="BO51" s="26"/>
      <c r="BP51" s="7"/>
      <c r="BQ51" s="26"/>
      <c r="BR51" s="7"/>
      <c r="BS51" s="26"/>
      <c r="BT51" s="7"/>
      <c r="BU51" s="26"/>
      <c r="BV51" s="7"/>
      <c r="BW51" s="26"/>
      <c r="BX51" s="7"/>
      <c r="BY51" s="26"/>
      <c r="BZ51" s="7"/>
      <c r="CA51" s="26"/>
      <c r="CB51" s="7"/>
      <c r="CC51" s="26"/>
      <c r="CD51" s="8"/>
      <c r="CE51" s="16"/>
      <c r="CF51" s="8"/>
      <c r="CG51" s="16"/>
      <c r="CH51" s="8"/>
      <c r="CI51" s="16"/>
      <c r="CJ51" s="8"/>
      <c r="CK51" s="16"/>
      <c r="CL51" s="8"/>
      <c r="CM51" s="16"/>
      <c r="CN51" s="8"/>
    </row>
    <row r="52" spans="1:92" x14ac:dyDescent="0.25">
      <c r="A52" s="39" t="s">
        <v>2</v>
      </c>
      <c r="B52" s="26">
        <f>+SUM(B5:B48)</f>
        <v>108446.14999999998</v>
      </c>
      <c r="C52" s="26"/>
      <c r="D52" s="26">
        <f>+SUM(D5:D48)</f>
        <v>45795.31</v>
      </c>
      <c r="E52" s="26"/>
      <c r="F52" s="26">
        <f>+SUM(F5:F48)</f>
        <v>210790.69999999998</v>
      </c>
      <c r="G52" s="26"/>
      <c r="H52" s="26">
        <f>+SUM(H5:H48)</f>
        <v>256765.46000000005</v>
      </c>
      <c r="I52" s="26"/>
      <c r="J52" s="26">
        <f>+SUM(J5:J48)</f>
        <v>36302.089999999997</v>
      </c>
      <c r="K52" s="26"/>
      <c r="L52" s="26">
        <f>+SUM(L5:L48)</f>
        <v>70068.48000000001</v>
      </c>
      <c r="M52" s="26"/>
      <c r="N52" s="26">
        <f>+SUM(N5:N48)</f>
        <v>25631.179999999993</v>
      </c>
      <c r="O52" s="26"/>
      <c r="P52" s="26">
        <f>+SUM(P5:P48)</f>
        <v>211728.81</v>
      </c>
      <c r="Q52" s="26"/>
      <c r="R52" s="26">
        <f>+SUM(R5:R48)</f>
        <v>393161.37000000005</v>
      </c>
      <c r="S52" s="26"/>
      <c r="T52" s="26">
        <f>+SUM(T5:T48)</f>
        <v>510145.82000000007</v>
      </c>
      <c r="U52" s="26"/>
      <c r="V52" s="26">
        <f>+SUM(V5:V48)</f>
        <v>390409.8</v>
      </c>
      <c r="W52" s="26"/>
      <c r="X52" s="26">
        <f>+SUM(X5:X48)</f>
        <v>0</v>
      </c>
      <c r="Y52" s="26"/>
      <c r="Z52" s="26">
        <f>+SUM(Z5:Z48)</f>
        <v>359984.99000000005</v>
      </c>
      <c r="AA52" s="26"/>
      <c r="AB52" s="26">
        <f>+SUM(AB5:AB48)</f>
        <v>75664.25999999998</v>
      </c>
      <c r="AC52" s="26"/>
      <c r="AD52" s="26">
        <f>+SUM(AD5:AD48)</f>
        <v>176363.41000000003</v>
      </c>
      <c r="AE52" s="26"/>
      <c r="AF52" s="26">
        <f>+SUM(AF5:AF48)</f>
        <v>47984.68</v>
      </c>
      <c r="AG52" s="26"/>
      <c r="AH52" s="26">
        <f>+SUM(AH5:AH48)</f>
        <v>114268.51000000001</v>
      </c>
      <c r="AI52" s="26"/>
      <c r="AJ52" s="26">
        <f>+SUM(AJ5:AJ48)</f>
        <v>123126.45000000001</v>
      </c>
      <c r="AK52" s="26"/>
      <c r="AL52" s="26">
        <f>+SUM(AL5:AL48)</f>
        <v>86089.420000000013</v>
      </c>
      <c r="AM52" s="26"/>
      <c r="AN52" s="26">
        <f>+SUM(AN5:AN48)</f>
        <v>346921.33000000007</v>
      </c>
      <c r="AO52" s="26"/>
      <c r="AP52" s="26">
        <f>+SUM(AP5:AP48)</f>
        <v>152230.25</v>
      </c>
      <c r="AQ52" s="26"/>
      <c r="AR52" s="26">
        <f>+SUM(AR5:AR48)</f>
        <v>177070.83</v>
      </c>
      <c r="AS52" s="26"/>
      <c r="AT52" s="26">
        <f>+SUM(AT5:AT48)</f>
        <v>225670.99000000002</v>
      </c>
      <c r="AU52" s="26"/>
      <c r="AV52" s="26">
        <f>+SUM(AV5:AV48)</f>
        <v>248480.85999999996</v>
      </c>
      <c r="AW52" s="26"/>
      <c r="AX52" s="26">
        <f>+SUM(AX5:AX48)</f>
        <v>0</v>
      </c>
      <c r="AY52" s="26"/>
      <c r="AZ52" s="26">
        <f>+SUM(AZ5:AZ48)</f>
        <v>274300</v>
      </c>
      <c r="BA52" s="15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</row>
    <row r="53" spans="1:92" x14ac:dyDescent="0.25">
      <c r="A53" s="39" t="s">
        <v>3</v>
      </c>
      <c r="B53" s="117">
        <f>+B51-B52</f>
        <v>-0.68999999997322448</v>
      </c>
      <c r="C53" s="117"/>
      <c r="D53" s="117">
        <f>+D51-D52</f>
        <v>-9.9999999947613105E-3</v>
      </c>
      <c r="E53" s="117"/>
      <c r="F53" s="117">
        <f>+F51-F52</f>
        <v>-1.0000000009313226E-2</v>
      </c>
      <c r="G53" s="117"/>
      <c r="H53" s="117">
        <f>+H51-H52</f>
        <v>-1096.0000000000582</v>
      </c>
      <c r="I53" s="117"/>
      <c r="J53" s="117">
        <f>+J51-J52</f>
        <v>0.18000000000029104</v>
      </c>
      <c r="K53" s="117"/>
      <c r="L53" s="117">
        <f>+L51-L52</f>
        <v>1.9999999989522621E-2</v>
      </c>
      <c r="M53" s="117"/>
      <c r="N53" s="117">
        <f>+N51-N52</f>
        <v>0</v>
      </c>
      <c r="O53" s="117"/>
      <c r="P53" s="117">
        <f>+P51-P52</f>
        <v>-9.9999999802093953E-3</v>
      </c>
      <c r="Q53" s="117"/>
      <c r="R53" s="117">
        <f>+R51-R52</f>
        <v>0</v>
      </c>
      <c r="S53" s="117"/>
      <c r="T53" s="117">
        <f>+T51-T52</f>
        <v>-9.0000000025611371E-2</v>
      </c>
      <c r="U53" s="117"/>
      <c r="V53" s="117">
        <f>+V51-V52</f>
        <v>1.0000000009313226E-2</v>
      </c>
      <c r="W53" s="117"/>
      <c r="X53" s="117">
        <f>+X51-X52</f>
        <v>0</v>
      </c>
      <c r="Y53" s="117"/>
      <c r="Z53" s="117">
        <f>+Z51-Z52</f>
        <v>0.30999999993946403</v>
      </c>
      <c r="AA53" s="117"/>
      <c r="AB53" s="117">
        <f>+AB51-AB52</f>
        <v>-8.9999999981955625E-2</v>
      </c>
      <c r="AC53" s="117"/>
      <c r="AD53" s="117">
        <f>+AD51-AD52</f>
        <v>9.9999999802093953E-3</v>
      </c>
      <c r="AE53" s="117"/>
      <c r="AF53" s="117">
        <f>+AF51-AF52</f>
        <v>0</v>
      </c>
      <c r="AG53" s="117"/>
      <c r="AH53" s="117">
        <f>+AH51-AH52</f>
        <v>1.9999999989522621E-2</v>
      </c>
      <c r="AI53" s="117"/>
      <c r="AJ53" s="117">
        <f>+AJ51-AJ52</f>
        <v>0</v>
      </c>
      <c r="AK53" s="117"/>
      <c r="AL53" s="117">
        <f>+AL51-AL52</f>
        <v>0</v>
      </c>
      <c r="AM53" s="117"/>
      <c r="AN53" s="117">
        <f>+AN51-AN52</f>
        <v>9.9999999511055648E-3</v>
      </c>
      <c r="AO53" s="117"/>
      <c r="AP53" s="117">
        <f>+AP51-AP52</f>
        <v>0.27999999999883585</v>
      </c>
      <c r="AQ53" s="117"/>
      <c r="AR53" s="117">
        <f>+AR51-AR52</f>
        <v>1.0000000009313226E-2</v>
      </c>
      <c r="AS53" s="117"/>
      <c r="AT53" s="117">
        <f>+AT51-AT52</f>
        <v>2.9999999969732016E-2</v>
      </c>
      <c r="AU53" s="117"/>
      <c r="AV53" s="117">
        <f>+AV51-AV52</f>
        <v>0</v>
      </c>
      <c r="AW53" s="117"/>
      <c r="AX53" s="117">
        <f>+AX51-AX52</f>
        <v>0</v>
      </c>
      <c r="AY53" s="117"/>
      <c r="AZ53" s="117">
        <f>+AZ51-AZ52</f>
        <v>0</v>
      </c>
      <c r="BA53" s="134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</row>
    <row r="54" spans="1:92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18"/>
      <c r="AA54" s="59"/>
      <c r="AB54" s="18"/>
      <c r="AC54" s="59"/>
      <c r="AD54" s="18"/>
      <c r="AE54" s="59"/>
      <c r="AF54" s="18"/>
      <c r="AG54" s="59"/>
      <c r="AH54" s="18"/>
      <c r="AI54" s="59"/>
      <c r="AJ54" s="18"/>
      <c r="AK54" s="59"/>
      <c r="AL54" s="18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59"/>
      <c r="AX54" s="18"/>
      <c r="AY54" s="59"/>
      <c r="AZ54" s="75"/>
      <c r="BA54" s="25"/>
      <c r="BB54" s="18"/>
      <c r="BC54" s="59"/>
      <c r="BD54" s="18"/>
      <c r="BE54" s="59"/>
      <c r="BF54" s="18"/>
      <c r="BG54" s="59"/>
      <c r="BH54" s="18"/>
      <c r="BI54" s="59"/>
      <c r="BJ54" s="18"/>
      <c r="BK54" s="59"/>
      <c r="BL54" s="18"/>
      <c r="BM54" s="59"/>
      <c r="BN54" s="18"/>
      <c r="BO54" s="59"/>
      <c r="BP54" s="18"/>
      <c r="BQ54" s="59"/>
      <c r="BR54" s="18"/>
      <c r="BS54" s="59"/>
      <c r="BT54" s="18"/>
      <c r="BU54" s="59"/>
      <c r="BV54" s="18"/>
      <c r="BW54" s="59"/>
      <c r="BX54" s="18"/>
      <c r="BY54" s="59"/>
      <c r="BZ54" s="18"/>
      <c r="CA54" s="59"/>
      <c r="CB54" s="18"/>
      <c r="CC54" s="59"/>
      <c r="CD54" s="6"/>
      <c r="CE54" s="56"/>
      <c r="CF54" s="6"/>
      <c r="CG54" s="56"/>
      <c r="CH54" s="6"/>
      <c r="CI54" s="56"/>
      <c r="CJ54" s="6"/>
      <c r="CK54" s="56"/>
      <c r="CL54" s="6"/>
      <c r="CM54" s="56"/>
      <c r="CN54" s="6"/>
    </row>
    <row r="55" spans="1:92" x14ac:dyDescent="0.25">
      <c r="A55" s="48"/>
      <c r="B55" s="163">
        <v>42826</v>
      </c>
      <c r="C55" s="59"/>
      <c r="D55" s="163">
        <v>42797</v>
      </c>
      <c r="E55" s="59"/>
      <c r="F55" s="163">
        <v>42829</v>
      </c>
      <c r="G55" s="59"/>
      <c r="H55" s="163">
        <v>42830</v>
      </c>
      <c r="I55" s="59"/>
      <c r="J55" s="163">
        <v>42831</v>
      </c>
      <c r="K55" s="59"/>
      <c r="L55" s="163">
        <v>42832</v>
      </c>
      <c r="M55" s="59"/>
      <c r="N55" s="163">
        <v>42833</v>
      </c>
      <c r="O55" s="59"/>
      <c r="P55" s="163">
        <v>42835</v>
      </c>
      <c r="Q55" s="59"/>
      <c r="R55" s="18"/>
      <c r="S55" s="59"/>
      <c r="T55" s="141">
        <v>42837</v>
      </c>
      <c r="U55" s="59"/>
      <c r="V55" s="141">
        <v>42838</v>
      </c>
      <c r="W55" s="59"/>
      <c r="X55" s="163">
        <v>42840</v>
      </c>
      <c r="Y55" s="59"/>
      <c r="Z55" s="18"/>
      <c r="AA55" s="59"/>
      <c r="AB55" s="18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59"/>
      <c r="AX55" s="18"/>
      <c r="AY55" s="59"/>
      <c r="AZ55" s="75"/>
      <c r="BA55" s="25"/>
      <c r="BB55" s="18"/>
      <c r="BC55" s="59"/>
      <c r="BD55" s="18"/>
      <c r="BE55" s="59"/>
      <c r="BF55" s="18"/>
      <c r="BG55" s="59"/>
      <c r="BH55" s="18"/>
      <c r="BI55" s="59"/>
      <c r="BJ55" s="18"/>
      <c r="BK55" s="59"/>
      <c r="BL55" s="18"/>
      <c r="BM55" s="59"/>
      <c r="BN55" s="18"/>
      <c r="BO55" s="59"/>
      <c r="BP55" s="18"/>
      <c r="BQ55" s="59"/>
      <c r="BR55" s="18"/>
      <c r="BS55" s="59"/>
      <c r="BT55" s="18"/>
      <c r="BU55" s="59"/>
      <c r="BV55" s="18"/>
      <c r="BW55" s="59"/>
      <c r="BX55" s="18"/>
      <c r="BY55" s="59"/>
      <c r="BZ55" s="18"/>
      <c r="CA55" s="59"/>
      <c r="CB55" s="18"/>
      <c r="CC55" s="59"/>
      <c r="CD55" s="6"/>
      <c r="CE55" s="56"/>
      <c r="CF55" s="6"/>
      <c r="CG55" s="56"/>
      <c r="CH55" s="6"/>
      <c r="CI55" s="56"/>
      <c r="CJ55" s="6"/>
      <c r="CK55" s="56"/>
      <c r="CL55" s="6"/>
      <c r="CM55" s="56"/>
      <c r="CN55" s="6"/>
    </row>
    <row r="56" spans="1:92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1"/>
      <c r="BA56" s="13"/>
      <c r="BB56" s="10"/>
      <c r="BC56" s="12"/>
      <c r="BD56" s="10"/>
      <c r="BE56" s="12"/>
      <c r="BF56" s="10"/>
      <c r="BG56" s="12"/>
      <c r="BH56" s="10"/>
      <c r="BI56" s="12"/>
      <c r="BJ56" s="10"/>
      <c r="BK56" s="12"/>
      <c r="BL56" s="10"/>
      <c r="BM56" s="12"/>
      <c r="BN56" s="10"/>
      <c r="BO56" s="12"/>
      <c r="BP56" s="10"/>
      <c r="BQ56" s="12"/>
      <c r="BR56" s="10"/>
      <c r="BS56" s="12"/>
      <c r="BT56" s="10"/>
      <c r="BU56" s="12"/>
      <c r="BV56" s="10"/>
      <c r="BW56" s="12"/>
      <c r="BX56" s="10"/>
      <c r="BY56" s="12"/>
      <c r="BZ56" s="10"/>
      <c r="CA56" s="12"/>
      <c r="CB56" s="10"/>
      <c r="CC56" s="12"/>
      <c r="CD56" s="10"/>
      <c r="CE56" s="12"/>
      <c r="CF56" s="10"/>
      <c r="CG56" s="12"/>
      <c r="CH56" s="10"/>
      <c r="CI56" s="12"/>
      <c r="CJ56" s="10"/>
      <c r="CK56" s="12"/>
      <c r="CL56" s="10"/>
      <c r="CM56" s="12"/>
      <c r="CN56" s="10"/>
    </row>
    <row r="57" spans="1:92" x14ac:dyDescent="0.25">
      <c r="A57" s="40" t="s">
        <v>4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</row>
    <row r="58" spans="1:92" x14ac:dyDescent="0.25">
      <c r="A58" s="49"/>
      <c r="B58" s="19"/>
      <c r="C58" s="21"/>
      <c r="D58" s="19"/>
      <c r="E58" s="21"/>
      <c r="F58" s="19"/>
      <c r="G58" s="21"/>
      <c r="H58" s="19"/>
      <c r="I58" s="21"/>
      <c r="J58" s="19"/>
      <c r="K58" s="21"/>
      <c r="L58" s="19"/>
      <c r="M58" s="21"/>
      <c r="N58" s="19"/>
      <c r="O58" s="21"/>
      <c r="P58" s="19"/>
      <c r="Q58" s="21"/>
      <c r="R58" s="19"/>
      <c r="S58" s="21"/>
      <c r="T58" s="19"/>
      <c r="U58" s="21"/>
      <c r="V58" s="19"/>
      <c r="W58" s="21"/>
      <c r="X58" s="68"/>
      <c r="Y58" s="21"/>
      <c r="Z58" s="19"/>
      <c r="AA58" s="21"/>
      <c r="AB58" s="19"/>
      <c r="AC58" s="21"/>
      <c r="AD58" s="19"/>
      <c r="AE58" s="21"/>
      <c r="AF58" s="19"/>
      <c r="AG58" s="21"/>
      <c r="AH58" s="19"/>
      <c r="AI58" s="21"/>
      <c r="AJ58" s="19"/>
      <c r="AK58" s="21"/>
      <c r="AL58" s="19"/>
      <c r="AM58" s="21"/>
      <c r="AN58" s="19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68"/>
      <c r="BA58" s="135"/>
      <c r="BB58" s="19"/>
      <c r="BC58" s="21"/>
      <c r="BD58" s="19"/>
      <c r="BE58" s="21"/>
      <c r="BF58" s="19"/>
      <c r="BG58" s="21"/>
      <c r="BH58" s="19"/>
      <c r="BI58" s="21"/>
      <c r="BJ58" s="19"/>
      <c r="BK58" s="21"/>
      <c r="BL58" s="19"/>
      <c r="BM58" s="21"/>
      <c r="BN58" s="68"/>
      <c r="BO58" s="21"/>
      <c r="BP58" s="19"/>
      <c r="BQ58" s="21"/>
      <c r="BR58" s="19"/>
      <c r="BS58" s="21"/>
      <c r="BT58" s="19"/>
      <c r="BU58" s="21"/>
      <c r="BV58" s="19"/>
      <c r="BW58" s="21"/>
      <c r="BX58" s="19"/>
      <c r="BY58" s="21"/>
      <c r="BZ58" s="19"/>
      <c r="CA58" s="21"/>
      <c r="CB58" s="19"/>
      <c r="CC58" s="21"/>
      <c r="CD58" s="19"/>
      <c r="CE58" s="21"/>
      <c r="CF58" s="19"/>
      <c r="CG58" s="21"/>
      <c r="CH58" s="19"/>
      <c r="CI58" s="21"/>
      <c r="CJ58" s="19"/>
      <c r="CK58" s="21"/>
      <c r="CL58" s="19"/>
      <c r="CM58" s="21"/>
      <c r="CN58" s="19"/>
    </row>
    <row r="59" spans="1:92" x14ac:dyDescent="0.25">
      <c r="A59" s="41" t="s">
        <v>5</v>
      </c>
      <c r="B59" s="112">
        <v>1016.1</v>
      </c>
      <c r="C59" s="15" t="s">
        <v>3916</v>
      </c>
      <c r="D59" s="9">
        <v>1250.42</v>
      </c>
      <c r="E59" s="15" t="s">
        <v>4010</v>
      </c>
      <c r="F59" s="9">
        <v>780.01</v>
      </c>
      <c r="G59" s="15" t="s">
        <v>4045</v>
      </c>
      <c r="H59" s="9">
        <v>5000</v>
      </c>
      <c r="I59" s="15" t="s">
        <v>4115</v>
      </c>
      <c r="J59" s="9">
        <v>6899</v>
      </c>
      <c r="K59" s="15" t="s">
        <v>4173</v>
      </c>
      <c r="L59" s="9">
        <v>11900</v>
      </c>
      <c r="M59" s="15" t="s">
        <v>4233</v>
      </c>
      <c r="N59" s="9">
        <v>3000</v>
      </c>
      <c r="O59" s="15" t="s">
        <v>4329</v>
      </c>
      <c r="P59" s="9">
        <v>673.15</v>
      </c>
      <c r="Q59" s="15" t="s">
        <v>4289</v>
      </c>
      <c r="R59" s="9">
        <v>12400</v>
      </c>
      <c r="S59" s="15" t="s">
        <v>4381</v>
      </c>
      <c r="T59" s="9">
        <v>1232.01</v>
      </c>
      <c r="U59" s="15" t="s">
        <v>4445</v>
      </c>
      <c r="V59" s="9">
        <v>400</v>
      </c>
      <c r="W59" s="15" t="s">
        <v>4518</v>
      </c>
      <c r="X59" s="9"/>
      <c r="Y59" s="15"/>
      <c r="Z59" s="9">
        <v>5000</v>
      </c>
      <c r="AA59" s="15" t="s">
        <v>4552</v>
      </c>
      <c r="AB59" s="9">
        <v>2100</v>
      </c>
      <c r="AC59" s="15" t="s">
        <v>4602</v>
      </c>
      <c r="AD59" s="176">
        <v>13184</v>
      </c>
      <c r="AE59" s="15" t="s">
        <v>4672</v>
      </c>
      <c r="AF59" s="9">
        <v>5000</v>
      </c>
      <c r="AG59" s="15" t="s">
        <v>4732</v>
      </c>
      <c r="AH59" s="9">
        <v>18000</v>
      </c>
      <c r="AI59" s="15" t="s">
        <v>4794</v>
      </c>
      <c r="AJ59" s="9">
        <v>5000</v>
      </c>
      <c r="AK59" s="15" t="s">
        <v>4855</v>
      </c>
      <c r="AL59" s="112">
        <v>16000</v>
      </c>
      <c r="AM59" s="15" t="s">
        <v>4897</v>
      </c>
      <c r="AN59" s="9">
        <v>7816.39</v>
      </c>
      <c r="AO59" s="15" t="s">
        <v>4943</v>
      </c>
      <c r="AP59" s="9">
        <v>1099</v>
      </c>
      <c r="AQ59" s="15" t="s">
        <v>5008</v>
      </c>
      <c r="AR59" s="9">
        <v>7500</v>
      </c>
      <c r="AS59" s="15" t="s">
        <v>5038</v>
      </c>
      <c r="AT59" s="9">
        <v>20000</v>
      </c>
      <c r="AU59" s="15" t="s">
        <v>5140</v>
      </c>
      <c r="AV59" s="9">
        <v>30000</v>
      </c>
      <c r="AW59" s="15" t="s">
        <v>5090</v>
      </c>
      <c r="AX59" s="9"/>
      <c r="AY59" s="15"/>
      <c r="AZ59" s="15">
        <v>20000</v>
      </c>
      <c r="BA59" s="9" t="s">
        <v>5254</v>
      </c>
      <c r="BB59" s="9"/>
      <c r="BC59" s="15"/>
      <c r="BD59" s="9"/>
      <c r="BE59" s="15"/>
      <c r="BF59" s="9"/>
      <c r="BG59" s="15"/>
      <c r="BH59" s="9"/>
      <c r="BI59" s="15"/>
      <c r="BJ59" s="9"/>
      <c r="BK59" s="15"/>
      <c r="BL59" s="9"/>
      <c r="BM59" s="15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</row>
    <row r="60" spans="1:92" x14ac:dyDescent="0.25">
      <c r="A60" s="41"/>
      <c r="B60" s="112">
        <v>2941.47</v>
      </c>
      <c r="C60" s="15" t="s">
        <v>3921</v>
      </c>
      <c r="D60" s="9">
        <v>11274.9</v>
      </c>
      <c r="E60" s="15" t="s">
        <v>4011</v>
      </c>
      <c r="F60" s="9">
        <v>4555.01</v>
      </c>
      <c r="G60" s="15" t="s">
        <v>4046</v>
      </c>
      <c r="H60" s="9">
        <v>3794.95</v>
      </c>
      <c r="I60" s="15" t="s">
        <v>4123</v>
      </c>
      <c r="J60" s="72"/>
      <c r="K60" s="24"/>
      <c r="L60" s="9">
        <v>2658.13</v>
      </c>
      <c r="M60" s="15" t="s">
        <v>4246</v>
      </c>
      <c r="N60" s="9">
        <v>10000</v>
      </c>
      <c r="O60" s="15" t="s">
        <v>4330</v>
      </c>
      <c r="P60" s="9">
        <v>20000</v>
      </c>
      <c r="Q60" s="15" t="s">
        <v>4290</v>
      </c>
      <c r="R60" s="9">
        <v>6618.87</v>
      </c>
      <c r="S60" s="15" t="s">
        <v>4382</v>
      </c>
      <c r="T60" s="9">
        <v>2500.0100000000002</v>
      </c>
      <c r="U60" s="15" t="s">
        <v>4452</v>
      </c>
      <c r="V60" s="9">
        <v>5000</v>
      </c>
      <c r="W60" s="15" t="s">
        <v>4519</v>
      </c>
      <c r="X60" s="9"/>
      <c r="Y60" s="15"/>
      <c r="Z60" s="9">
        <v>6000</v>
      </c>
      <c r="AA60" s="15" t="s">
        <v>4563</v>
      </c>
      <c r="AB60" s="72">
        <v>7597.74</v>
      </c>
      <c r="AC60" s="15" t="s">
        <v>4606</v>
      </c>
      <c r="AD60" s="177">
        <v>20000</v>
      </c>
      <c r="AE60" s="26" t="s">
        <v>4680</v>
      </c>
      <c r="AF60" s="9">
        <v>10000</v>
      </c>
      <c r="AG60" s="15" t="s">
        <v>4737</v>
      </c>
      <c r="AH60" s="72">
        <v>7000</v>
      </c>
      <c r="AI60" s="15" t="s">
        <v>4795</v>
      </c>
      <c r="AJ60" s="9">
        <v>5000</v>
      </c>
      <c r="AK60" s="15" t="s">
        <v>4858</v>
      </c>
      <c r="AL60" s="112">
        <v>20000</v>
      </c>
      <c r="AM60" s="15" t="s">
        <v>4904</v>
      </c>
      <c r="AN60" s="9">
        <v>1562.39</v>
      </c>
      <c r="AO60" s="15" t="s">
        <v>4953</v>
      </c>
      <c r="AP60" s="9">
        <v>1168.99</v>
      </c>
      <c r="AQ60" s="15" t="s">
        <v>5013</v>
      </c>
      <c r="AR60" s="9">
        <v>8859.6</v>
      </c>
      <c r="AS60" s="15" t="s">
        <v>5039</v>
      </c>
      <c r="AT60" s="9">
        <v>11917.7</v>
      </c>
      <c r="AU60" s="15" t="s">
        <v>5144</v>
      </c>
      <c r="AV60" s="9">
        <v>3840</v>
      </c>
      <c r="AW60" s="15" t="s">
        <v>5091</v>
      </c>
      <c r="AX60" s="9"/>
      <c r="AY60" s="15"/>
      <c r="AZ60" s="9"/>
      <c r="BA60" s="15"/>
      <c r="BB60" s="9"/>
      <c r="BC60" s="15"/>
      <c r="BD60" s="9"/>
      <c r="BE60" s="15"/>
      <c r="BF60" s="9"/>
      <c r="BG60" s="15"/>
      <c r="BH60" s="9"/>
      <c r="BI60" s="15"/>
      <c r="BJ60" s="9"/>
      <c r="BK60" s="15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</row>
    <row r="61" spans="1:92" x14ac:dyDescent="0.25">
      <c r="A61" s="43"/>
      <c r="B61" s="112">
        <v>20000</v>
      </c>
      <c r="C61" s="15" t="s">
        <v>3925</v>
      </c>
      <c r="D61" s="10">
        <v>3250</v>
      </c>
      <c r="E61" s="12" t="s">
        <v>4022</v>
      </c>
      <c r="F61" s="152">
        <f>+F60+F59</f>
        <v>5335.02</v>
      </c>
      <c r="G61" s="12"/>
      <c r="H61" s="11">
        <v>1000</v>
      </c>
      <c r="I61" s="12" t="s">
        <v>4123</v>
      </c>
      <c r="J61" s="170">
        <v>4118</v>
      </c>
      <c r="K61" s="24" t="s">
        <v>4185</v>
      </c>
      <c r="L61" s="11">
        <v>913.04</v>
      </c>
      <c r="M61" s="12" t="s">
        <v>4248</v>
      </c>
      <c r="N61" s="10">
        <v>1970</v>
      </c>
      <c r="O61" s="12" t="s">
        <v>4335</v>
      </c>
      <c r="P61" s="11">
        <v>11500</v>
      </c>
      <c r="Q61" s="12" t="s">
        <v>4296</v>
      </c>
      <c r="R61" s="10">
        <v>728.36</v>
      </c>
      <c r="S61" s="12" t="s">
        <v>4384</v>
      </c>
      <c r="T61" s="10">
        <v>1969.99</v>
      </c>
      <c r="U61" s="12" t="s">
        <v>4453</v>
      </c>
      <c r="V61" s="10">
        <v>5000</v>
      </c>
      <c r="W61" s="12" t="s">
        <v>4520</v>
      </c>
      <c r="X61" s="11"/>
      <c r="Y61" s="12"/>
      <c r="Z61" s="10">
        <v>382.38</v>
      </c>
      <c r="AA61" s="12" t="s">
        <v>4566</v>
      </c>
      <c r="AB61" s="120">
        <v>5000</v>
      </c>
      <c r="AC61" s="120" t="s">
        <v>4607</v>
      </c>
      <c r="AD61" s="178">
        <v>3086.56</v>
      </c>
      <c r="AE61" s="12" t="s">
        <v>4681</v>
      </c>
      <c r="AF61" s="11">
        <v>2065</v>
      </c>
      <c r="AG61" s="12" t="s">
        <v>4752</v>
      </c>
      <c r="AH61" s="87">
        <v>20000</v>
      </c>
      <c r="AI61" s="12" t="s">
        <v>4796</v>
      </c>
      <c r="AJ61" s="10">
        <v>2065</v>
      </c>
      <c r="AK61" s="12" t="s">
        <v>4865</v>
      </c>
      <c r="AL61" s="112">
        <v>2683.14</v>
      </c>
      <c r="AM61" s="15" t="s">
        <v>4907</v>
      </c>
      <c r="AN61" s="9">
        <v>3000</v>
      </c>
      <c r="AO61" s="12" t="s">
        <v>4955</v>
      </c>
      <c r="AP61" s="10">
        <v>4239</v>
      </c>
      <c r="AQ61" s="12" t="s">
        <v>5016</v>
      </c>
      <c r="AR61" s="9">
        <v>3300</v>
      </c>
      <c r="AS61" s="15" t="s">
        <v>5040</v>
      </c>
      <c r="AT61" s="10">
        <v>830.21</v>
      </c>
      <c r="AU61" s="12" t="s">
        <v>5148</v>
      </c>
      <c r="AV61" s="10">
        <v>5800</v>
      </c>
      <c r="AW61" s="12" t="s">
        <v>5096</v>
      </c>
      <c r="AX61" s="10"/>
      <c r="AY61" s="12"/>
      <c r="AZ61" s="11"/>
      <c r="BA61" s="13"/>
      <c r="BB61" s="10"/>
      <c r="BC61" s="12"/>
      <c r="BD61" s="10"/>
      <c r="BE61" s="12"/>
      <c r="BF61" s="9"/>
      <c r="BG61" s="15"/>
      <c r="BH61" s="10"/>
      <c r="BI61" s="12"/>
      <c r="BJ61" s="161"/>
      <c r="BK61" s="12"/>
      <c r="BL61" s="10"/>
      <c r="BM61" s="12"/>
      <c r="BN61" s="11"/>
      <c r="BO61" s="12"/>
      <c r="BP61" s="10"/>
      <c r="BQ61" s="12"/>
      <c r="BR61" s="10"/>
      <c r="BS61" s="12"/>
      <c r="BT61" s="10"/>
      <c r="BU61" s="12"/>
      <c r="BV61" s="10"/>
      <c r="BW61" s="12"/>
      <c r="BX61" s="10"/>
      <c r="BY61" s="12"/>
      <c r="BZ61" s="10"/>
      <c r="CA61" s="12"/>
      <c r="CB61" s="10"/>
      <c r="CC61" s="12"/>
      <c r="CD61" s="10"/>
      <c r="CE61" s="12"/>
      <c r="CF61" s="10"/>
      <c r="CG61" s="12"/>
      <c r="CH61" s="10"/>
      <c r="CI61" s="12"/>
      <c r="CJ61" s="10"/>
      <c r="CK61" s="12"/>
      <c r="CL61" s="10"/>
      <c r="CM61" s="12"/>
      <c r="CN61" s="10"/>
    </row>
    <row r="62" spans="1:92" x14ac:dyDescent="0.25">
      <c r="A62" s="41"/>
      <c r="B62" s="112">
        <v>1099</v>
      </c>
      <c r="C62" s="26" t="s">
        <v>3934</v>
      </c>
      <c r="D62" s="9">
        <v>692</v>
      </c>
      <c r="E62" s="15" t="s">
        <v>4023</v>
      </c>
      <c r="F62" s="9"/>
      <c r="G62" s="15"/>
      <c r="H62" s="9">
        <v>3250</v>
      </c>
      <c r="I62" s="15" t="s">
        <v>4125</v>
      </c>
      <c r="J62" s="157">
        <v>5000</v>
      </c>
      <c r="K62" s="15" t="s">
        <v>4190</v>
      </c>
      <c r="L62" s="9">
        <v>20000</v>
      </c>
      <c r="M62" s="15" t="s">
        <v>4253</v>
      </c>
      <c r="N62" s="9">
        <v>1099.01</v>
      </c>
      <c r="O62" s="15" t="s">
        <v>4336</v>
      </c>
      <c r="P62" s="9">
        <v>20000</v>
      </c>
      <c r="Q62" s="26" t="s">
        <v>4298</v>
      </c>
      <c r="R62" s="7">
        <v>1800</v>
      </c>
      <c r="S62" s="26" t="s">
        <v>4385</v>
      </c>
      <c r="T62" s="9">
        <v>1919.49</v>
      </c>
      <c r="U62" s="15" t="s">
        <v>4456</v>
      </c>
      <c r="V62" s="9">
        <v>5500</v>
      </c>
      <c r="W62" s="15" t="s">
        <v>4522</v>
      </c>
      <c r="X62" s="9"/>
      <c r="Y62" s="15"/>
      <c r="Z62" s="9">
        <v>3000</v>
      </c>
      <c r="AA62" s="15" t="s">
        <v>4568</v>
      </c>
      <c r="AB62" s="72">
        <v>5795.6</v>
      </c>
      <c r="AC62" s="15" t="s">
        <v>4609</v>
      </c>
      <c r="AD62" s="176">
        <v>20000</v>
      </c>
      <c r="AE62" s="15" t="s">
        <v>4682</v>
      </c>
      <c r="AF62" s="9">
        <v>1519</v>
      </c>
      <c r="AG62" s="15" t="s">
        <v>4755</v>
      </c>
      <c r="AH62" s="72">
        <v>7742.47</v>
      </c>
      <c r="AI62" s="15" t="s">
        <v>4806</v>
      </c>
      <c r="AJ62" s="9">
        <v>2040</v>
      </c>
      <c r="AK62" s="15" t="s">
        <v>4883</v>
      </c>
      <c r="AL62" s="112">
        <v>2500</v>
      </c>
      <c r="AM62" s="15" t="s">
        <v>4911</v>
      </c>
      <c r="AN62" s="9">
        <v>1099.01</v>
      </c>
      <c r="AO62" s="15" t="s">
        <v>4976</v>
      </c>
      <c r="AP62" s="9">
        <v>1970</v>
      </c>
      <c r="AQ62" s="15" t="s">
        <v>5017</v>
      </c>
      <c r="AR62" s="9">
        <v>2146.48</v>
      </c>
      <c r="AS62" s="15" t="s">
        <v>5050</v>
      </c>
      <c r="AT62" s="9">
        <v>10757.96</v>
      </c>
      <c r="AU62" s="15" t="s">
        <v>5151</v>
      </c>
      <c r="AV62" s="9">
        <v>8161.45</v>
      </c>
      <c r="AW62" s="15" t="s">
        <v>5097</v>
      </c>
      <c r="AX62" s="9"/>
      <c r="AY62" s="15"/>
      <c r="AZ62" s="9"/>
      <c r="BA62" s="15"/>
      <c r="BB62" s="9"/>
      <c r="BC62" s="15"/>
      <c r="BD62" s="9"/>
      <c r="BE62" s="15"/>
      <c r="BF62" s="7"/>
      <c r="BG62" s="26"/>
      <c r="BH62" s="15"/>
      <c r="BI62" s="15"/>
      <c r="BJ62" s="9"/>
      <c r="BK62" s="15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</row>
    <row r="63" spans="1:92" x14ac:dyDescent="0.25">
      <c r="A63" s="41"/>
      <c r="B63" s="112">
        <v>1995</v>
      </c>
      <c r="C63" s="15" t="s">
        <v>3935</v>
      </c>
      <c r="D63" s="7">
        <v>1099.01</v>
      </c>
      <c r="E63" s="26" t="s">
        <v>4031</v>
      </c>
      <c r="F63" s="7">
        <v>1912.98</v>
      </c>
      <c r="G63" s="26" t="s">
        <v>4075</v>
      </c>
      <c r="H63" s="7"/>
      <c r="I63" s="26"/>
      <c r="J63" s="157">
        <v>1563.1</v>
      </c>
      <c r="K63" s="26" t="s">
        <v>4197</v>
      </c>
      <c r="L63" s="9">
        <v>1099.01</v>
      </c>
      <c r="M63" s="26" t="s">
        <v>4254</v>
      </c>
      <c r="N63" s="7">
        <v>637.07000000000005</v>
      </c>
      <c r="O63" s="26" t="s">
        <v>4337</v>
      </c>
      <c r="P63" s="9">
        <v>100</v>
      </c>
      <c r="Q63" s="15" t="s">
        <v>4300</v>
      </c>
      <c r="R63" s="7">
        <v>1169</v>
      </c>
      <c r="S63" s="26" t="s">
        <v>4387</v>
      </c>
      <c r="T63" s="7">
        <v>1099.01</v>
      </c>
      <c r="U63" s="26" t="s">
        <v>4459</v>
      </c>
      <c r="V63" s="9">
        <v>4500</v>
      </c>
      <c r="W63" s="15" t="s">
        <v>4525</v>
      </c>
      <c r="X63" s="9"/>
      <c r="Y63" s="26"/>
      <c r="Z63" s="7">
        <v>10000</v>
      </c>
      <c r="AA63" s="26" t="s">
        <v>4569</v>
      </c>
      <c r="AB63" s="87">
        <v>20000</v>
      </c>
      <c r="AC63" s="26" t="s">
        <v>4617</v>
      </c>
      <c r="AD63" s="176">
        <v>3200</v>
      </c>
      <c r="AE63" s="26" t="s">
        <v>4687</v>
      </c>
      <c r="AF63" s="9">
        <v>2040</v>
      </c>
      <c r="AG63" s="26" t="s">
        <v>4757</v>
      </c>
      <c r="AH63" s="87">
        <v>2176</v>
      </c>
      <c r="AI63" s="26" t="s">
        <v>4807</v>
      </c>
      <c r="AJ63" s="7">
        <v>6668.75</v>
      </c>
      <c r="AK63" s="26" t="s">
        <v>4884</v>
      </c>
      <c r="AL63" s="112">
        <v>9883</v>
      </c>
      <c r="AM63" s="26" t="s">
        <v>4913</v>
      </c>
      <c r="AN63" s="7">
        <v>1168.99</v>
      </c>
      <c r="AO63" s="26" t="s">
        <v>4980</v>
      </c>
      <c r="AP63" s="7">
        <v>1099.01</v>
      </c>
      <c r="AQ63" s="26" t="s">
        <v>5024</v>
      </c>
      <c r="AR63" s="7">
        <v>1169</v>
      </c>
      <c r="AS63" s="26" t="s">
        <v>5055</v>
      </c>
      <c r="AT63" s="9">
        <v>32800</v>
      </c>
      <c r="AU63" s="15" t="s">
        <v>5152</v>
      </c>
      <c r="AV63" s="9">
        <v>5000</v>
      </c>
      <c r="AW63" s="15" t="s">
        <v>5098</v>
      </c>
      <c r="AX63" s="7"/>
      <c r="AY63" s="26"/>
      <c r="AZ63" s="9"/>
      <c r="BA63" s="15"/>
      <c r="BB63" s="7"/>
      <c r="BC63" s="26"/>
      <c r="BD63" s="7"/>
      <c r="BE63" s="26"/>
      <c r="BF63" s="9"/>
      <c r="BG63" s="15"/>
      <c r="BH63" s="7"/>
      <c r="BI63" s="26"/>
      <c r="BJ63" s="112"/>
      <c r="BK63" s="26"/>
      <c r="BL63" s="7"/>
      <c r="BM63" s="26"/>
      <c r="BN63" s="9"/>
      <c r="BO63" s="26"/>
      <c r="BP63" s="7"/>
      <c r="BQ63" s="26"/>
      <c r="BR63" s="7"/>
      <c r="BS63" s="26"/>
      <c r="BT63" s="7"/>
      <c r="BU63" s="26"/>
      <c r="BV63" s="7"/>
      <c r="BW63" s="26"/>
      <c r="BX63" s="7"/>
      <c r="BY63" s="26"/>
      <c r="BZ63" s="7"/>
      <c r="CA63" s="26"/>
      <c r="CB63" s="7"/>
      <c r="CC63" s="26"/>
      <c r="CD63" s="7"/>
      <c r="CE63" s="26"/>
      <c r="CF63" s="7"/>
      <c r="CG63" s="26"/>
      <c r="CH63" s="7"/>
      <c r="CI63" s="26"/>
      <c r="CJ63" s="7"/>
      <c r="CK63" s="26"/>
      <c r="CL63" s="7"/>
      <c r="CM63" s="26"/>
      <c r="CN63" s="7"/>
    </row>
    <row r="64" spans="1:92" x14ac:dyDescent="0.25">
      <c r="A64" s="41"/>
      <c r="B64" s="112">
        <v>1015</v>
      </c>
      <c r="C64" s="15" t="s">
        <v>3982</v>
      </c>
      <c r="D64" s="9">
        <v>435.24</v>
      </c>
      <c r="E64" s="15" t="s">
        <v>4033</v>
      </c>
      <c r="F64" s="9">
        <v>254.92</v>
      </c>
      <c r="G64" s="15" t="s">
        <v>4077</v>
      </c>
      <c r="H64" s="95">
        <f>+SUM(H59:H63)</f>
        <v>13044.95</v>
      </c>
      <c r="I64" s="15"/>
      <c r="J64" s="157">
        <v>1169</v>
      </c>
      <c r="K64" s="15" t="s">
        <v>4201</v>
      </c>
      <c r="L64" s="9">
        <v>1970</v>
      </c>
      <c r="M64" s="15" t="s">
        <v>4255</v>
      </c>
      <c r="N64" s="9">
        <v>1169</v>
      </c>
      <c r="O64" s="15" t="s">
        <v>4347</v>
      </c>
      <c r="P64" s="9">
        <v>1099.01</v>
      </c>
      <c r="Q64" s="15" t="s">
        <v>4302</v>
      </c>
      <c r="R64" s="9">
        <v>1587.01</v>
      </c>
      <c r="S64" s="15" t="s">
        <v>4390</v>
      </c>
      <c r="T64" s="51">
        <f>SUM(T59:T63)</f>
        <v>8720.51</v>
      </c>
      <c r="U64" s="15"/>
      <c r="V64" s="9">
        <v>20000</v>
      </c>
      <c r="W64" s="15" t="s">
        <v>4527</v>
      </c>
      <c r="X64" s="9"/>
      <c r="Y64" s="15"/>
      <c r="Z64" s="9">
        <v>150</v>
      </c>
      <c r="AA64" s="15" t="s">
        <v>4574</v>
      </c>
      <c r="AB64" s="72">
        <v>20000</v>
      </c>
      <c r="AC64" s="15" t="s">
        <v>4624</v>
      </c>
      <c r="AD64" s="176">
        <v>4017.75</v>
      </c>
      <c r="AE64" s="15" t="s">
        <v>4689</v>
      </c>
      <c r="AF64" s="9">
        <v>1099.01</v>
      </c>
      <c r="AG64" s="15" t="s">
        <v>4763</v>
      </c>
      <c r="AH64" s="72">
        <v>217.51</v>
      </c>
      <c r="AI64" s="15" t="s">
        <v>4812</v>
      </c>
      <c r="AJ64" s="9">
        <v>1549.01</v>
      </c>
      <c r="AK64" s="15" t="s">
        <v>4886</v>
      </c>
      <c r="AL64" s="112">
        <v>13977.16</v>
      </c>
      <c r="AM64" s="15" t="s">
        <v>4914</v>
      </c>
      <c r="AN64" s="9">
        <v>2936.01</v>
      </c>
      <c r="AO64" s="15" t="s">
        <v>4986</v>
      </c>
      <c r="AP64" s="9">
        <v>1168.99</v>
      </c>
      <c r="AQ64" s="15" t="s">
        <v>5025</v>
      </c>
      <c r="AR64" s="137">
        <v>2853.99</v>
      </c>
      <c r="AS64" s="15" t="s">
        <v>5056</v>
      </c>
      <c r="AT64" s="11">
        <v>740</v>
      </c>
      <c r="AU64" s="13" t="s">
        <v>5160</v>
      </c>
      <c r="AV64" s="11">
        <v>2936.01</v>
      </c>
      <c r="AW64" s="13" t="s">
        <v>5106</v>
      </c>
      <c r="AX64" s="9"/>
      <c r="AY64" s="15"/>
      <c r="AZ64" s="9"/>
      <c r="BA64" s="15"/>
      <c r="BB64" s="9"/>
      <c r="BC64" s="15"/>
      <c r="BD64" s="9"/>
      <c r="BE64" s="15"/>
      <c r="BF64" s="9"/>
      <c r="BG64" s="15"/>
      <c r="BH64" s="112"/>
      <c r="BI64" s="15"/>
      <c r="BJ64" s="112"/>
      <c r="BK64" s="15"/>
      <c r="BL64" s="15"/>
      <c r="BM64" s="15"/>
      <c r="BN64" s="9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</row>
    <row r="65" spans="1:92" x14ac:dyDescent="0.25">
      <c r="A65" s="41"/>
      <c r="B65" s="112">
        <v>1970</v>
      </c>
      <c r="C65" s="15" t="s">
        <v>3985</v>
      </c>
      <c r="D65" s="95">
        <f>+SUM(D59:D64)</f>
        <v>18001.57</v>
      </c>
      <c r="E65" s="15"/>
      <c r="F65" s="9">
        <v>1740.48</v>
      </c>
      <c r="G65" s="15" t="s">
        <v>4079</v>
      </c>
      <c r="H65" s="9"/>
      <c r="I65" s="15"/>
      <c r="J65" s="157">
        <v>4395.01</v>
      </c>
      <c r="K65" s="15" t="s">
        <v>4203</v>
      </c>
      <c r="L65" s="9">
        <v>1168.99</v>
      </c>
      <c r="M65" s="15" t="s">
        <v>4256</v>
      </c>
      <c r="N65" s="9">
        <v>4464.99</v>
      </c>
      <c r="O65" s="15" t="s">
        <v>4348</v>
      </c>
      <c r="P65" s="9">
        <v>1099.01</v>
      </c>
      <c r="Q65" s="15" t="s">
        <v>4304</v>
      </c>
      <c r="R65" s="95">
        <f>+SUM(R59:R64)</f>
        <v>24303.239999999998</v>
      </c>
      <c r="S65" s="15"/>
      <c r="T65" s="9"/>
      <c r="U65" s="15"/>
      <c r="V65" s="7">
        <v>5589.9</v>
      </c>
      <c r="W65" s="26" t="s">
        <v>4531</v>
      </c>
      <c r="X65" s="9"/>
      <c r="Y65" s="15"/>
      <c r="Z65" s="7">
        <v>4395.01</v>
      </c>
      <c r="AA65" s="26" t="s">
        <v>4587</v>
      </c>
      <c r="AB65" s="72">
        <v>14089.19</v>
      </c>
      <c r="AC65" s="15" t="s">
        <v>4627</v>
      </c>
      <c r="AD65" s="176">
        <v>1686.25</v>
      </c>
      <c r="AE65" s="15" t="s">
        <v>4690</v>
      </c>
      <c r="AF65" s="9">
        <v>3250.1</v>
      </c>
      <c r="AG65" s="15" t="s">
        <v>4764</v>
      </c>
      <c r="AH65" s="72">
        <v>1995</v>
      </c>
      <c r="AI65" s="15" t="s">
        <v>3579</v>
      </c>
      <c r="AJ65" s="9">
        <v>1099.01</v>
      </c>
      <c r="AK65" s="15" t="s">
        <v>4887</v>
      </c>
      <c r="AL65" s="112">
        <v>1168.99</v>
      </c>
      <c r="AM65" s="15" t="s">
        <v>4920</v>
      </c>
      <c r="AN65" s="95">
        <f>+SUM(AN59:AN64)</f>
        <v>17582.79</v>
      </c>
      <c r="AO65" s="15"/>
      <c r="AP65" s="9">
        <v>1850.52</v>
      </c>
      <c r="AQ65" s="15" t="s">
        <v>5031</v>
      </c>
      <c r="AR65" s="9">
        <v>4465</v>
      </c>
      <c r="AS65" s="15" t="s">
        <v>5058</v>
      </c>
      <c r="AT65" s="9">
        <f>4269.19-2176</f>
        <v>2093.1899999999996</v>
      </c>
      <c r="AU65" s="26" t="s">
        <v>5168</v>
      </c>
      <c r="AV65" s="9">
        <v>3169</v>
      </c>
      <c r="AW65" s="26" t="s">
        <v>5108</v>
      </c>
      <c r="AX65" s="9"/>
      <c r="AY65" s="15"/>
      <c r="AZ65" s="11"/>
      <c r="BA65" s="13"/>
      <c r="BB65" s="9"/>
      <c r="BC65" s="15"/>
      <c r="BD65" s="9"/>
      <c r="BE65" s="15"/>
      <c r="BF65" s="9"/>
      <c r="BG65" s="15"/>
      <c r="BH65" s="112"/>
      <c r="BI65" s="15"/>
      <c r="BJ65" s="112"/>
      <c r="BK65" s="15"/>
      <c r="BL65" s="15"/>
      <c r="BM65" s="15"/>
      <c r="BN65" s="9"/>
      <c r="BO65" s="15"/>
      <c r="BP65" s="9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</row>
    <row r="66" spans="1:92" x14ac:dyDescent="0.25">
      <c r="A66" s="41"/>
      <c r="B66" s="113">
        <v>375.61</v>
      </c>
      <c r="C66" s="13" t="s">
        <v>3995</v>
      </c>
      <c r="D66" s="9"/>
      <c r="E66" s="15"/>
      <c r="F66" s="9">
        <v>3320</v>
      </c>
      <c r="G66" s="15" t="s">
        <v>4083</v>
      </c>
      <c r="H66" s="9">
        <v>4419</v>
      </c>
      <c r="I66" s="15" t="s">
        <v>4131</v>
      </c>
      <c r="J66" s="157">
        <v>1970</v>
      </c>
      <c r="K66" s="15" t="s">
        <v>4206</v>
      </c>
      <c r="L66" s="11">
        <v>1099.01</v>
      </c>
      <c r="M66" s="13" t="s">
        <v>4261</v>
      </c>
      <c r="N66" s="11">
        <v>1359</v>
      </c>
      <c r="O66" s="13" t="s">
        <v>4349</v>
      </c>
      <c r="P66" s="11">
        <v>1970</v>
      </c>
      <c r="Q66" s="13" t="s">
        <v>4306</v>
      </c>
      <c r="R66" s="137"/>
      <c r="S66" s="15"/>
      <c r="T66" s="9">
        <v>5000</v>
      </c>
      <c r="U66" s="15" t="s">
        <v>4464</v>
      </c>
      <c r="V66" s="9">
        <v>2040</v>
      </c>
      <c r="W66" s="15" t="s">
        <v>4538</v>
      </c>
      <c r="X66" s="9"/>
      <c r="Y66" s="15"/>
      <c r="Z66" s="9">
        <v>1169</v>
      </c>
      <c r="AA66" s="26" t="s">
        <v>4590</v>
      </c>
      <c r="AB66" s="72">
        <v>6057.37</v>
      </c>
      <c r="AC66" s="15" t="s">
        <v>4628</v>
      </c>
      <c r="AD66" s="176">
        <v>1000</v>
      </c>
      <c r="AE66" s="15" t="s">
        <v>4691</v>
      </c>
      <c r="AF66" s="9">
        <v>5470</v>
      </c>
      <c r="AG66" s="15" t="s">
        <v>4768</v>
      </c>
      <c r="AH66" s="72">
        <v>9666.9599999999991</v>
      </c>
      <c r="AI66" s="15" t="s">
        <v>4816</v>
      </c>
      <c r="AJ66" s="9">
        <v>1401.01</v>
      </c>
      <c r="AK66" s="15" t="s">
        <v>4889</v>
      </c>
      <c r="AL66" s="113">
        <v>3018.02</v>
      </c>
      <c r="AM66" s="13" t="s">
        <v>4927</v>
      </c>
      <c r="AN66" s="9"/>
      <c r="AO66" s="15"/>
      <c r="AP66" s="9">
        <v>40000</v>
      </c>
      <c r="AQ66" s="15" t="s">
        <v>5003</v>
      </c>
      <c r="AR66" s="9">
        <v>3069.99</v>
      </c>
      <c r="AS66" s="15" t="s">
        <v>5059</v>
      </c>
      <c r="AT66" s="9">
        <v>1169</v>
      </c>
      <c r="AU66" s="26" t="s">
        <v>5173</v>
      </c>
      <c r="AV66" s="9">
        <v>1939</v>
      </c>
      <c r="AW66" s="26" t="s">
        <v>5109</v>
      </c>
      <c r="AX66" s="9"/>
      <c r="AY66" s="15"/>
      <c r="AZ66" s="9"/>
      <c r="BA66" s="15"/>
      <c r="BB66" s="9"/>
      <c r="BC66" s="15"/>
      <c r="BD66" s="11"/>
      <c r="BE66" s="13"/>
      <c r="BF66" s="15"/>
      <c r="BG66" s="13"/>
      <c r="BH66" s="112"/>
      <c r="BI66" s="15"/>
      <c r="BJ66" s="112"/>
      <c r="BK66" s="15"/>
      <c r="BL66" s="9"/>
      <c r="BM66" s="15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</row>
    <row r="67" spans="1:92" x14ac:dyDescent="0.25">
      <c r="A67" s="43"/>
      <c r="B67" s="112">
        <v>1505.87</v>
      </c>
      <c r="C67" s="26" t="s">
        <v>4000</v>
      </c>
      <c r="D67" s="11">
        <v>1099</v>
      </c>
      <c r="E67" s="13" t="s">
        <v>4057</v>
      </c>
      <c r="F67" s="11">
        <v>1099.01</v>
      </c>
      <c r="G67" s="13" t="s">
        <v>4093</v>
      </c>
      <c r="H67" s="11">
        <v>5000</v>
      </c>
      <c r="I67" s="13" t="s">
        <v>4133</v>
      </c>
      <c r="J67" s="157">
        <v>6645.01</v>
      </c>
      <c r="K67" s="13" t="s">
        <v>4213</v>
      </c>
      <c r="L67" s="9">
        <f>1099.01-148</f>
        <v>951.01</v>
      </c>
      <c r="M67" s="26" t="s">
        <v>4264</v>
      </c>
      <c r="N67" s="7">
        <f>1171.01-1100</f>
        <v>71.009999999999991</v>
      </c>
      <c r="O67" s="26" t="s">
        <v>4352</v>
      </c>
      <c r="P67" s="9">
        <v>3319.99</v>
      </c>
      <c r="Q67" s="15" t="s">
        <v>4307</v>
      </c>
      <c r="R67" s="11">
        <v>11974.32</v>
      </c>
      <c r="S67" s="13" t="s">
        <v>4405</v>
      </c>
      <c r="T67" s="11">
        <v>11060.7</v>
      </c>
      <c r="U67" s="13" t="s">
        <v>4465</v>
      </c>
      <c r="V67" s="9">
        <v>2540.9899999999998</v>
      </c>
      <c r="W67" s="15" t="s">
        <v>4539</v>
      </c>
      <c r="X67" s="11"/>
      <c r="Y67" s="13"/>
      <c r="Z67" s="11">
        <v>3320</v>
      </c>
      <c r="AA67" s="13" t="s">
        <v>4591</v>
      </c>
      <c r="AB67" s="72">
        <v>2040</v>
      </c>
      <c r="AC67" s="13" t="s">
        <v>4630</v>
      </c>
      <c r="AD67" s="177">
        <v>461.23</v>
      </c>
      <c r="AE67" s="13" t="s">
        <v>4692</v>
      </c>
      <c r="AF67" s="11">
        <v>3319.99</v>
      </c>
      <c r="AG67" s="13" t="s">
        <v>4771</v>
      </c>
      <c r="AH67" s="72">
        <v>2040</v>
      </c>
      <c r="AI67" s="13" t="s">
        <v>4820</v>
      </c>
      <c r="AJ67" s="11">
        <v>78.849999999999994</v>
      </c>
      <c r="AK67" s="13" t="s">
        <v>4894</v>
      </c>
      <c r="AL67" s="112">
        <v>3168.99</v>
      </c>
      <c r="AM67" s="15" t="s">
        <v>4935</v>
      </c>
      <c r="AN67" s="11"/>
      <c r="AO67" s="13"/>
      <c r="AP67" s="95">
        <f>+SUM(AP58:AP66)</f>
        <v>52595.51</v>
      </c>
      <c r="AQ67" s="15"/>
      <c r="AR67" s="11">
        <v>4238.99</v>
      </c>
      <c r="AS67" s="13" t="s">
        <v>5060</v>
      </c>
      <c r="AT67" s="9">
        <v>4465</v>
      </c>
      <c r="AU67" s="15" t="s">
        <v>5175</v>
      </c>
      <c r="AV67" s="9">
        <v>1169</v>
      </c>
      <c r="AW67" s="15" t="s">
        <v>5112</v>
      </c>
      <c r="AX67" s="11"/>
      <c r="AY67" s="13"/>
      <c r="AZ67" s="9"/>
      <c r="BA67" s="15"/>
      <c r="BB67" s="11"/>
      <c r="BC67" s="13"/>
      <c r="BD67" s="7"/>
      <c r="BE67" s="26"/>
      <c r="BF67" s="9"/>
      <c r="BG67" s="26"/>
      <c r="BH67" s="113"/>
      <c r="BI67" s="13"/>
      <c r="BJ67" s="112"/>
      <c r="BK67" s="26"/>
      <c r="BL67" s="11"/>
      <c r="BM67" s="13"/>
      <c r="BN67" s="11"/>
      <c r="BO67" s="13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</row>
    <row r="68" spans="1:92" x14ac:dyDescent="0.25">
      <c r="A68" s="41"/>
      <c r="B68" s="112">
        <v>403.42</v>
      </c>
      <c r="C68" s="15" t="s">
        <v>4001</v>
      </c>
      <c r="D68" s="72">
        <v>1099.01</v>
      </c>
      <c r="E68" s="15" t="s">
        <v>4061</v>
      </c>
      <c r="F68" s="7">
        <v>1970</v>
      </c>
      <c r="G68" s="26" t="s">
        <v>4094</v>
      </c>
      <c r="H68" s="7">
        <v>7117.34</v>
      </c>
      <c r="I68" s="26" t="s">
        <v>4136</v>
      </c>
      <c r="J68" s="157">
        <v>1099.01</v>
      </c>
      <c r="K68" s="15" t="s">
        <v>4215</v>
      </c>
      <c r="L68" s="9">
        <v>2039.01</v>
      </c>
      <c r="M68" s="15" t="s">
        <v>4265</v>
      </c>
      <c r="N68" s="9">
        <v>635</v>
      </c>
      <c r="O68" s="15" t="s">
        <v>4353</v>
      </c>
      <c r="P68" s="72">
        <v>2037.01</v>
      </c>
      <c r="Q68" s="15" t="s">
        <v>4309</v>
      </c>
      <c r="R68" s="112">
        <v>915.05</v>
      </c>
      <c r="S68" s="26" t="s">
        <v>4408</v>
      </c>
      <c r="T68" s="9">
        <v>1067.1300000000001</v>
      </c>
      <c r="U68" s="26" t="s">
        <v>4468</v>
      </c>
      <c r="V68" s="15">
        <v>2360</v>
      </c>
      <c r="W68" s="15" t="s">
        <v>4540</v>
      </c>
      <c r="X68" s="9"/>
      <c r="Y68" s="26"/>
      <c r="Z68" s="7">
        <v>3320</v>
      </c>
      <c r="AA68" s="26" t="s">
        <v>4593</v>
      </c>
      <c r="AB68" s="87">
        <v>5192.9399999999996</v>
      </c>
      <c r="AC68" s="26" t="s">
        <v>4632</v>
      </c>
      <c r="AD68" s="176">
        <v>622.32000000000005</v>
      </c>
      <c r="AE68" s="26" t="s">
        <v>4693</v>
      </c>
      <c r="AF68" s="9">
        <v>3319.99</v>
      </c>
      <c r="AG68" s="26" t="s">
        <v>4772</v>
      </c>
      <c r="AH68" s="72">
        <v>1099.01</v>
      </c>
      <c r="AI68" s="85" t="s">
        <v>4823</v>
      </c>
      <c r="AJ68" s="95">
        <f>+SUM(AJ59:AJ67)</f>
        <v>24901.629999999994</v>
      </c>
      <c r="AK68" s="26"/>
      <c r="AL68" s="95">
        <f>+SUM(AL58:AL67)</f>
        <v>72399.300000000017</v>
      </c>
      <c r="AM68" s="15"/>
      <c r="AN68" s="7"/>
      <c r="AO68" s="26"/>
      <c r="AP68" s="26"/>
      <c r="AQ68" s="26"/>
      <c r="AR68" s="9">
        <v>1099.01</v>
      </c>
      <c r="AS68" s="15" t="s">
        <v>5019</v>
      </c>
      <c r="AT68" s="9">
        <v>1099</v>
      </c>
      <c r="AU68" s="15" t="s">
        <v>5177</v>
      </c>
      <c r="AV68" s="9">
        <v>1168.99</v>
      </c>
      <c r="AW68" s="15" t="s">
        <v>5114</v>
      </c>
      <c r="AX68" s="15"/>
      <c r="AY68" s="26"/>
      <c r="AZ68" s="15"/>
      <c r="BA68" s="15"/>
      <c r="BB68" s="7"/>
      <c r="BC68" s="26"/>
      <c r="BD68" s="9"/>
      <c r="BE68" s="15"/>
      <c r="BF68" s="9"/>
      <c r="BG68" s="15"/>
      <c r="BH68" s="112"/>
      <c r="BI68" s="26"/>
      <c r="BJ68" s="112"/>
      <c r="BK68" s="15"/>
      <c r="BL68" s="7"/>
      <c r="BM68" s="26"/>
      <c r="BN68" s="9"/>
      <c r="BO68" s="26"/>
      <c r="BP68" s="7"/>
      <c r="BQ68" s="26"/>
      <c r="BR68" s="7"/>
      <c r="BS68" s="26"/>
      <c r="BT68" s="7"/>
      <c r="BU68" s="26"/>
      <c r="BV68" s="7"/>
      <c r="BW68" s="26"/>
      <c r="BX68" s="7"/>
      <c r="BY68" s="26"/>
      <c r="BZ68" s="7"/>
      <c r="CA68" s="26"/>
      <c r="CB68" s="7"/>
      <c r="CC68" s="26"/>
      <c r="CD68" s="7"/>
      <c r="CE68" s="26"/>
      <c r="CF68" s="7"/>
      <c r="CG68" s="26"/>
      <c r="CH68" s="7"/>
      <c r="CI68" s="26"/>
      <c r="CJ68" s="7"/>
      <c r="CK68" s="26"/>
      <c r="CL68" s="7"/>
      <c r="CM68" s="26"/>
      <c r="CN68" s="7"/>
    </row>
    <row r="69" spans="1:92" x14ac:dyDescent="0.25">
      <c r="A69" s="41"/>
      <c r="B69" s="112">
        <v>1245.94</v>
      </c>
      <c r="C69" s="15" t="s">
        <v>4003</v>
      </c>
      <c r="D69" s="9">
        <v>150</v>
      </c>
      <c r="E69" s="15" t="s">
        <v>4065</v>
      </c>
      <c r="F69" s="9">
        <v>1969.99</v>
      </c>
      <c r="G69" s="15" t="s">
        <v>4098</v>
      </c>
      <c r="H69" s="9">
        <v>4334.7</v>
      </c>
      <c r="I69" s="15" t="s">
        <v>4139</v>
      </c>
      <c r="J69" s="157">
        <v>3250.01</v>
      </c>
      <c r="K69" s="15" t="s">
        <v>4210</v>
      </c>
      <c r="L69" s="9">
        <v>1099.01</v>
      </c>
      <c r="M69" s="15" t="s">
        <v>4267</v>
      </c>
      <c r="N69" s="9">
        <v>2935.99</v>
      </c>
      <c r="O69" s="15" t="s">
        <v>4355</v>
      </c>
      <c r="P69" s="72">
        <f>3074-P68</f>
        <v>1036.99</v>
      </c>
      <c r="Q69" s="15" t="s">
        <v>4308</v>
      </c>
      <c r="R69" s="112">
        <v>3319.99</v>
      </c>
      <c r="S69" s="15" t="s">
        <v>4416</v>
      </c>
      <c r="T69" s="9">
        <v>1995</v>
      </c>
      <c r="U69" s="15" t="s">
        <v>4485</v>
      </c>
      <c r="V69" s="15">
        <v>1169</v>
      </c>
      <c r="W69" s="15" t="s">
        <v>4541</v>
      </c>
      <c r="X69" s="9"/>
      <c r="Y69" s="15"/>
      <c r="Z69" s="9">
        <v>2321.1</v>
      </c>
      <c r="AA69" s="15" t="s">
        <v>4595</v>
      </c>
      <c r="AB69" s="72">
        <v>1169</v>
      </c>
      <c r="AC69" s="15" t="s">
        <v>4633</v>
      </c>
      <c r="AD69" s="176">
        <v>1970</v>
      </c>
      <c r="AE69" s="15" t="s">
        <v>4705</v>
      </c>
      <c r="AF69" s="9">
        <v>3319.99</v>
      </c>
      <c r="AG69" s="15" t="s">
        <v>4775</v>
      </c>
      <c r="AH69" s="72">
        <v>2460</v>
      </c>
      <c r="AI69" s="15" t="s">
        <v>4828</v>
      </c>
      <c r="AJ69" s="9"/>
      <c r="AK69" s="15"/>
      <c r="AL69" s="95"/>
      <c r="AM69" s="15"/>
      <c r="AN69" s="9"/>
      <c r="AO69" s="15"/>
      <c r="AP69" s="15"/>
      <c r="AQ69" s="15"/>
      <c r="AR69" s="9">
        <v>765.99</v>
      </c>
      <c r="AS69" s="15" t="s">
        <v>5063</v>
      </c>
      <c r="AT69" s="9">
        <v>2528</v>
      </c>
      <c r="AU69" s="15" t="s">
        <v>5179</v>
      </c>
      <c r="AV69" s="9">
        <v>3238.99</v>
      </c>
      <c r="AW69" s="15" t="s">
        <v>5116</v>
      </c>
      <c r="AX69" s="9"/>
      <c r="AY69" s="15"/>
      <c r="AZ69" s="15"/>
      <c r="BA69" s="15"/>
      <c r="BB69" s="9"/>
      <c r="BC69" s="15"/>
      <c r="BD69" s="9"/>
      <c r="BE69" s="15"/>
      <c r="BF69" s="9"/>
      <c r="BG69" s="15"/>
      <c r="BH69" s="112"/>
      <c r="BI69" s="15"/>
      <c r="BJ69" s="112"/>
      <c r="BK69" s="15"/>
      <c r="BL69" s="15"/>
      <c r="BM69" s="15"/>
      <c r="BN69" s="9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</row>
    <row r="70" spans="1:92" x14ac:dyDescent="0.25">
      <c r="A70" s="41"/>
      <c r="B70" s="99">
        <f>+SUM(B59:B69)</f>
        <v>33567.409999999996</v>
      </c>
      <c r="C70" s="15"/>
      <c r="D70" s="95">
        <f>+SUM(D66:D69)</f>
        <v>2348.0100000000002</v>
      </c>
      <c r="E70" s="15"/>
      <c r="F70" s="9">
        <v>635</v>
      </c>
      <c r="G70" s="15" t="s">
        <v>4102</v>
      </c>
      <c r="H70" s="9">
        <v>1248.03</v>
      </c>
      <c r="I70" s="15" t="s">
        <v>4141</v>
      </c>
      <c r="J70" s="157">
        <v>1099.01</v>
      </c>
      <c r="K70" s="15" t="s">
        <v>4222</v>
      </c>
      <c r="L70" s="9">
        <v>1099.01</v>
      </c>
      <c r="M70" s="15" t="s">
        <v>4272</v>
      </c>
      <c r="N70" s="9">
        <v>3250</v>
      </c>
      <c r="O70" s="15" t="s">
        <v>4358</v>
      </c>
      <c r="P70" s="9">
        <v>1168.99</v>
      </c>
      <c r="Q70" s="15" t="s">
        <v>4313</v>
      </c>
      <c r="R70" s="112">
        <v>1169</v>
      </c>
      <c r="S70" s="26" t="s">
        <v>4417</v>
      </c>
      <c r="T70" s="9">
        <v>4465</v>
      </c>
      <c r="U70" s="15" t="s">
        <v>4487</v>
      </c>
      <c r="V70" s="9">
        <v>1169</v>
      </c>
      <c r="W70" s="15" t="s">
        <v>4544</v>
      </c>
      <c r="X70" s="9"/>
      <c r="Y70" s="15"/>
      <c r="Z70" s="9">
        <v>1099.02</v>
      </c>
      <c r="AA70" s="15" t="s">
        <v>4596</v>
      </c>
      <c r="AB70" s="72">
        <v>4465</v>
      </c>
      <c r="AC70" s="85" t="s">
        <v>4636</v>
      </c>
      <c r="AD70" s="176">
        <v>2927.42</v>
      </c>
      <c r="AE70" s="15" t="s">
        <v>4708</v>
      </c>
      <c r="AF70" s="72">
        <v>3320</v>
      </c>
      <c r="AG70" s="24" t="s">
        <v>4781</v>
      </c>
      <c r="AH70" s="9">
        <v>2040</v>
      </c>
      <c r="AI70" s="15" t="s">
        <v>4833</v>
      </c>
      <c r="AJ70" s="9"/>
      <c r="AK70" s="15"/>
      <c r="AL70" s="9"/>
      <c r="AM70" s="15"/>
      <c r="AN70" s="9"/>
      <c r="AO70" s="15"/>
      <c r="AP70" s="9"/>
      <c r="AQ70" s="15"/>
      <c r="AR70" s="9">
        <v>1775</v>
      </c>
      <c r="AS70" s="15" t="s">
        <v>5064</v>
      </c>
      <c r="AT70" s="72">
        <v>2455</v>
      </c>
      <c r="AU70" s="15" t="s">
        <v>5186</v>
      </c>
      <c r="AV70" s="72">
        <v>1168.99</v>
      </c>
      <c r="AW70" s="15" t="s">
        <v>5117</v>
      </c>
      <c r="AX70" s="9"/>
      <c r="AY70" s="15"/>
      <c r="AZ70" s="9"/>
      <c r="BA70" s="15"/>
      <c r="BB70" s="9"/>
      <c r="BC70" s="15"/>
      <c r="BD70" s="9"/>
      <c r="BE70" s="15"/>
      <c r="BF70" s="72"/>
      <c r="BG70" s="15"/>
      <c r="BH70" s="112"/>
      <c r="BI70" s="15"/>
      <c r="BJ70" s="112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</row>
    <row r="71" spans="1:92" x14ac:dyDescent="0.25">
      <c r="A71" s="41"/>
      <c r="B71" s="24"/>
      <c r="C71" s="15"/>
      <c r="D71" s="95"/>
      <c r="E71" s="15"/>
      <c r="F71" s="9">
        <v>505.01</v>
      </c>
      <c r="G71" s="15" t="s">
        <v>4104</v>
      </c>
      <c r="H71" s="9">
        <v>3250</v>
      </c>
      <c r="I71" s="15" t="s">
        <v>4143</v>
      </c>
      <c r="J71" s="157">
        <v>3751.8</v>
      </c>
      <c r="K71" s="15" t="s">
        <v>4225</v>
      </c>
      <c r="L71" s="72">
        <v>1970</v>
      </c>
      <c r="M71" s="15" t="s">
        <v>4279</v>
      </c>
      <c r="N71" s="72">
        <v>1169</v>
      </c>
      <c r="O71" s="15" t="s">
        <v>4362</v>
      </c>
      <c r="P71" s="9">
        <v>1169</v>
      </c>
      <c r="Q71" s="15" t="s">
        <v>4318</v>
      </c>
      <c r="R71" s="112">
        <v>5969.01</v>
      </c>
      <c r="S71" s="15" t="s">
        <v>4420</v>
      </c>
      <c r="T71" s="9">
        <v>3319.99</v>
      </c>
      <c r="U71" s="15" t="s">
        <v>4488</v>
      </c>
      <c r="V71" s="9">
        <v>5208.53</v>
      </c>
      <c r="W71" s="15" t="s">
        <v>4547</v>
      </c>
      <c r="X71" s="9"/>
      <c r="Y71" s="9"/>
      <c r="Z71" s="9">
        <v>1099.01</v>
      </c>
      <c r="AA71" s="15" t="s">
        <v>4598</v>
      </c>
      <c r="AB71" s="72">
        <v>2835.2</v>
      </c>
      <c r="AC71" s="15" t="s">
        <v>4638</v>
      </c>
      <c r="AD71" s="176">
        <v>1169</v>
      </c>
      <c r="AE71" s="15" t="s">
        <v>4712</v>
      </c>
      <c r="AF71" s="9">
        <v>11759.55</v>
      </c>
      <c r="AG71" s="15" t="s">
        <v>4785</v>
      </c>
      <c r="AH71" s="72">
        <v>8755.39</v>
      </c>
      <c r="AI71" s="15" t="s">
        <v>4841</v>
      </c>
      <c r="AJ71" s="9"/>
      <c r="AK71" s="15"/>
      <c r="AL71" s="9"/>
      <c r="AM71" s="15"/>
      <c r="AN71" s="9"/>
      <c r="AO71" s="15"/>
      <c r="AP71" s="9"/>
      <c r="AQ71" s="15"/>
      <c r="AR71" s="9">
        <v>3558.98</v>
      </c>
      <c r="AS71" s="15" t="s">
        <v>5065</v>
      </c>
      <c r="AT71" s="9">
        <v>1168.99</v>
      </c>
      <c r="AU71" s="15" t="s">
        <v>5187</v>
      </c>
      <c r="AV71" s="9">
        <v>4465</v>
      </c>
      <c r="AW71" s="15" t="s">
        <v>5118</v>
      </c>
      <c r="AX71" s="9"/>
      <c r="AY71" s="15"/>
      <c r="AZ71" s="9"/>
      <c r="BA71" s="15"/>
      <c r="BB71" s="137"/>
      <c r="BC71" s="15"/>
      <c r="BD71" s="9"/>
      <c r="BE71" s="15"/>
      <c r="BF71" s="72"/>
      <c r="BG71" s="15"/>
      <c r="BH71" s="112"/>
      <c r="BI71" s="15"/>
      <c r="BJ71" s="112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</row>
    <row r="72" spans="1:92" x14ac:dyDescent="0.25">
      <c r="A72" s="41"/>
      <c r="B72" s="15">
        <v>30274.68</v>
      </c>
      <c r="C72" s="15"/>
      <c r="D72" s="15"/>
      <c r="E72" s="15"/>
      <c r="F72" s="9">
        <v>3714.01</v>
      </c>
      <c r="G72" s="15" t="s">
        <v>4106</v>
      </c>
      <c r="H72" s="72">
        <v>6115.87</v>
      </c>
      <c r="I72" s="24" t="s">
        <v>4144</v>
      </c>
      <c r="J72" s="157">
        <v>1970</v>
      </c>
      <c r="K72" s="15" t="s">
        <v>4226</v>
      </c>
      <c r="L72" s="95">
        <f>+SUM(L59:L71)</f>
        <v>47966.220000000008</v>
      </c>
      <c r="M72" s="15"/>
      <c r="N72" s="72">
        <v>1969.99</v>
      </c>
      <c r="O72" s="15" t="s">
        <v>4364</v>
      </c>
      <c r="P72" s="9">
        <v>4238.99</v>
      </c>
      <c r="Q72" s="15" t="s">
        <v>4321</v>
      </c>
      <c r="R72" s="112">
        <v>3250.01</v>
      </c>
      <c r="S72" s="15" t="s">
        <v>4422</v>
      </c>
      <c r="T72" s="9">
        <v>2040</v>
      </c>
      <c r="U72" s="15" t="s">
        <v>4489</v>
      </c>
      <c r="V72" s="9">
        <v>1099.01</v>
      </c>
      <c r="W72" s="15" t="s">
        <v>4548</v>
      </c>
      <c r="X72" s="9"/>
      <c r="Y72" s="15"/>
      <c r="Z72" s="9">
        <v>211.03</v>
      </c>
      <c r="AA72" s="15" t="s">
        <v>4599</v>
      </c>
      <c r="AB72" s="9">
        <v>3168.99</v>
      </c>
      <c r="AC72" s="15" t="s">
        <v>4642</v>
      </c>
      <c r="AD72" s="176">
        <v>3319.99</v>
      </c>
      <c r="AE72" s="15" t="s">
        <v>4713</v>
      </c>
      <c r="AF72" s="9">
        <v>839.23</v>
      </c>
      <c r="AG72" s="15" t="s">
        <v>4786</v>
      </c>
      <c r="AH72" s="72">
        <v>1128.0999999999999</v>
      </c>
      <c r="AI72" s="15" t="s">
        <v>4848</v>
      </c>
      <c r="AJ72" s="9"/>
      <c r="AK72" s="15"/>
      <c r="AL72" s="9"/>
      <c r="AM72" s="15"/>
      <c r="AN72" s="9"/>
      <c r="AO72" s="15"/>
      <c r="AP72" s="9"/>
      <c r="AQ72" s="15"/>
      <c r="AR72" s="9">
        <v>1391.99</v>
      </c>
      <c r="AS72" s="15" t="s">
        <v>5066</v>
      </c>
      <c r="AT72" s="9">
        <v>1168.99</v>
      </c>
      <c r="AU72" s="15" t="s">
        <v>5188</v>
      </c>
      <c r="AV72" s="9">
        <v>4464.99</v>
      </c>
      <c r="AW72" s="15" t="s">
        <v>5124</v>
      </c>
      <c r="AX72" s="9"/>
      <c r="AY72" s="15"/>
      <c r="AZ72" s="9"/>
      <c r="BA72" s="15"/>
      <c r="BB72" s="133"/>
      <c r="BC72" s="15"/>
      <c r="BD72" s="9"/>
      <c r="BE72" s="15"/>
      <c r="BF72" s="9"/>
      <c r="BG72" s="15"/>
      <c r="BH72" s="15"/>
      <c r="BI72" s="15"/>
      <c r="BJ72" s="112"/>
      <c r="BK72" s="15"/>
      <c r="BL72" s="15"/>
      <c r="BM72" s="15"/>
      <c r="BN72" s="9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</row>
    <row r="73" spans="1:92" x14ac:dyDescent="0.25">
      <c r="A73" s="41"/>
      <c r="B73" s="9">
        <f>+B70-B72</f>
        <v>3292.7299999999959</v>
      </c>
      <c r="C73" s="15"/>
      <c r="D73" s="9"/>
      <c r="E73" s="15"/>
      <c r="F73" s="95">
        <f>+SUM(F63:F72)</f>
        <v>17121.400000000001</v>
      </c>
      <c r="G73" s="15"/>
      <c r="H73" s="9">
        <v>10281.780000000001</v>
      </c>
      <c r="I73" s="15" t="s">
        <v>4145</v>
      </c>
      <c r="J73" s="157">
        <v>260.33</v>
      </c>
      <c r="K73" s="15" t="s">
        <v>4230</v>
      </c>
      <c r="L73" s="9"/>
      <c r="M73" s="15"/>
      <c r="N73" s="72">
        <v>1168.99</v>
      </c>
      <c r="O73" s="15" t="s">
        <v>4366</v>
      </c>
      <c r="P73" s="9">
        <v>1169</v>
      </c>
      <c r="Q73" s="15" t="s">
        <v>4323</v>
      </c>
      <c r="R73" s="112">
        <v>1169</v>
      </c>
      <c r="S73" s="15" t="s">
        <v>4425</v>
      </c>
      <c r="T73" s="9">
        <v>2040</v>
      </c>
      <c r="U73" s="15" t="s">
        <v>4494</v>
      </c>
      <c r="V73" s="9">
        <v>3683.52</v>
      </c>
      <c r="W73" s="15" t="s">
        <v>4529</v>
      </c>
      <c r="X73" s="9"/>
      <c r="Y73" s="15"/>
      <c r="Z73" s="51">
        <f>+SUM(Z59:Z72)</f>
        <v>41466.549999999996</v>
      </c>
      <c r="AA73" s="15"/>
      <c r="AB73" s="9">
        <v>6825.01</v>
      </c>
      <c r="AC73" s="15" t="s">
        <v>4644</v>
      </c>
      <c r="AD73" s="176">
        <v>3320</v>
      </c>
      <c r="AE73" s="15" t="s">
        <v>4715</v>
      </c>
      <c r="AF73" s="95">
        <f>+SUM(AF59:AF72)</f>
        <v>56321.859999999993</v>
      </c>
      <c r="AG73" s="15"/>
      <c r="AH73" s="95">
        <f>+SUM(AH59:AH72)</f>
        <v>84320.44</v>
      </c>
      <c r="AI73" s="15"/>
      <c r="AJ73" s="9"/>
      <c r="AK73" s="15"/>
      <c r="AL73" s="9"/>
      <c r="AM73" s="15"/>
      <c r="AN73" s="9"/>
      <c r="AO73" s="15"/>
      <c r="AP73" s="15"/>
      <c r="AQ73" s="15"/>
      <c r="AR73" s="9">
        <v>400</v>
      </c>
      <c r="AS73" s="15" t="s">
        <v>5072</v>
      </c>
      <c r="AT73" s="9">
        <v>2040</v>
      </c>
      <c r="AU73" s="15" t="s">
        <v>5190</v>
      </c>
      <c r="AV73" s="9">
        <v>1995.01</v>
      </c>
      <c r="AW73" s="15" t="s">
        <v>5127</v>
      </c>
      <c r="AX73" s="24"/>
      <c r="AY73" s="15"/>
      <c r="AZ73" s="9"/>
      <c r="BA73" s="15"/>
      <c r="BB73" s="9"/>
      <c r="BC73" s="15"/>
      <c r="BD73" s="9"/>
      <c r="BE73" s="15"/>
      <c r="BF73" s="9"/>
      <c r="BG73" s="15"/>
      <c r="BH73" s="15"/>
      <c r="BI73" s="15"/>
      <c r="BJ73" s="112"/>
      <c r="BK73" s="26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</row>
    <row r="74" spans="1:92" x14ac:dyDescent="0.25">
      <c r="A74" s="41"/>
      <c r="B74" s="9"/>
      <c r="C74" s="15"/>
      <c r="D74" s="9"/>
      <c r="E74" s="15"/>
      <c r="F74" s="9"/>
      <c r="G74" s="15"/>
      <c r="H74" s="9">
        <v>3250.01</v>
      </c>
      <c r="I74" s="15" t="s">
        <v>4146</v>
      </c>
      <c r="J74" s="9">
        <v>4168.99</v>
      </c>
      <c r="K74" s="15" t="s">
        <v>4211</v>
      </c>
      <c r="L74" s="15"/>
      <c r="M74" s="15"/>
      <c r="N74" s="9">
        <v>1099.01</v>
      </c>
      <c r="O74" s="15" t="s">
        <v>4368</v>
      </c>
      <c r="P74" s="95">
        <f>+SUM(P59:P73)</f>
        <v>70581.14</v>
      </c>
      <c r="Q74" s="15"/>
      <c r="R74" s="112">
        <v>635</v>
      </c>
      <c r="S74" s="15" t="s">
        <v>4427</v>
      </c>
      <c r="T74" s="9">
        <v>1970</v>
      </c>
      <c r="U74" s="15" t="s">
        <v>4495</v>
      </c>
      <c r="V74" s="9">
        <v>464.02</v>
      </c>
      <c r="W74" s="15" t="s">
        <v>4546</v>
      </c>
      <c r="X74" s="15"/>
      <c r="Y74" s="15"/>
      <c r="Z74" s="15"/>
      <c r="AA74" s="15"/>
      <c r="AB74" s="9">
        <v>1062.54</v>
      </c>
      <c r="AC74" s="15" t="s">
        <v>4655</v>
      </c>
      <c r="AD74" s="176">
        <v>696</v>
      </c>
      <c r="AE74" s="15" t="s">
        <v>4716</v>
      </c>
      <c r="AF74" s="9"/>
      <c r="AG74" s="15"/>
      <c r="AH74" s="72"/>
      <c r="AI74" s="15"/>
      <c r="AJ74" s="9"/>
      <c r="AK74" s="15"/>
      <c r="AL74" s="9"/>
      <c r="AM74" s="15"/>
      <c r="AN74" s="9"/>
      <c r="AO74" s="15"/>
      <c r="AP74" s="9"/>
      <c r="AQ74" s="15"/>
      <c r="AR74" s="9">
        <v>6417.02</v>
      </c>
      <c r="AS74" s="15" t="s">
        <v>5084</v>
      </c>
      <c r="AT74" s="95">
        <f>+SUM(AT59:AT73)</f>
        <v>95233.040000000008</v>
      </c>
      <c r="AU74" s="15"/>
      <c r="AV74" s="9">
        <v>729.15</v>
      </c>
      <c r="AW74" s="15" t="s">
        <v>5132</v>
      </c>
      <c r="AX74" s="9"/>
      <c r="AY74" s="15"/>
      <c r="AZ74" s="9"/>
      <c r="BA74" s="15"/>
      <c r="BB74" s="9"/>
      <c r="BC74" s="15"/>
      <c r="BD74" s="9"/>
      <c r="BE74" s="15"/>
      <c r="BF74" s="9"/>
      <c r="BG74" s="15"/>
      <c r="BH74" s="9"/>
      <c r="BI74" s="15"/>
      <c r="BJ74" s="112"/>
      <c r="BK74" s="15"/>
      <c r="BL74" s="9"/>
      <c r="BM74" s="15"/>
      <c r="BN74" s="15"/>
      <c r="BO74" s="15"/>
      <c r="BP74" s="9"/>
      <c r="BQ74" s="15"/>
      <c r="BR74" s="9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</row>
    <row r="75" spans="1:92" x14ac:dyDescent="0.25">
      <c r="A75" s="41"/>
      <c r="B75" s="9"/>
      <c r="C75" s="15"/>
      <c r="D75" s="9"/>
      <c r="E75" s="15"/>
      <c r="F75" s="9"/>
      <c r="G75" s="15"/>
      <c r="H75" s="9">
        <v>464</v>
      </c>
      <c r="I75" s="15" t="s">
        <v>4152</v>
      </c>
      <c r="J75" s="95">
        <f>+SUM(J61:J74)</f>
        <v>40459.269999999997</v>
      </c>
      <c r="K75" s="15"/>
      <c r="L75" s="9"/>
      <c r="M75" s="15"/>
      <c r="N75" s="9">
        <v>1970</v>
      </c>
      <c r="O75" s="15" t="s">
        <v>4369</v>
      </c>
      <c r="P75" s="15"/>
      <c r="Q75" s="15"/>
      <c r="R75" s="112">
        <v>1169</v>
      </c>
      <c r="S75" s="15" t="s">
        <v>4430</v>
      </c>
      <c r="T75" s="9">
        <v>1168.99</v>
      </c>
      <c r="U75" s="15" t="s">
        <v>4498</v>
      </c>
      <c r="V75" s="123">
        <f>SUM(V59:V74)</f>
        <v>65723.97</v>
      </c>
      <c r="X75" s="9"/>
      <c r="Y75" s="9"/>
      <c r="Z75" s="9"/>
      <c r="AA75" s="15"/>
      <c r="AB75" s="9">
        <v>1118.76</v>
      </c>
      <c r="AC75" s="15" t="s">
        <v>4657</v>
      </c>
      <c r="AD75" s="176">
        <v>464</v>
      </c>
      <c r="AE75" s="15" t="s">
        <v>4718</v>
      </c>
      <c r="AF75" s="9"/>
      <c r="AG75" s="15"/>
      <c r="AH75" s="72"/>
      <c r="AI75" s="15"/>
      <c r="AJ75" s="7"/>
      <c r="AK75" s="26"/>
      <c r="AL75" s="15"/>
      <c r="AM75" s="15"/>
      <c r="AN75" s="9"/>
      <c r="AO75" s="15"/>
      <c r="AP75" s="24"/>
      <c r="AQ75" s="15"/>
      <c r="AR75" s="95">
        <f>+SUM(AR59:AR74)</f>
        <v>53011.039999999994</v>
      </c>
      <c r="AS75" s="15"/>
      <c r="AT75" s="95"/>
      <c r="AU75" s="15"/>
      <c r="AV75" s="95">
        <f>+SUM(AV59:AV74)</f>
        <v>79245.58</v>
      </c>
      <c r="AW75" s="15"/>
      <c r="AX75" s="9"/>
      <c r="AY75" s="15"/>
      <c r="AZ75" s="9"/>
      <c r="BA75" s="15"/>
      <c r="BB75" s="9"/>
      <c r="BC75" s="15"/>
      <c r="BD75" s="7"/>
      <c r="BE75" s="26"/>
      <c r="BF75" s="9"/>
      <c r="BG75" s="15"/>
      <c r="BH75" s="9"/>
      <c r="BI75" s="15"/>
      <c r="BJ75" s="112"/>
      <c r="BK75" s="15"/>
      <c r="BL75" s="9"/>
      <c r="BM75" s="15"/>
      <c r="BN75" s="15"/>
      <c r="BO75" s="15"/>
      <c r="BP75" s="9"/>
      <c r="BQ75" s="15"/>
      <c r="BR75" s="9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</row>
    <row r="76" spans="1:92" x14ac:dyDescent="0.25">
      <c r="A76" s="41"/>
      <c r="B76" s="9"/>
      <c r="C76" s="15"/>
      <c r="D76" s="9"/>
      <c r="E76" s="15"/>
      <c r="F76" s="9"/>
      <c r="G76" s="15"/>
      <c r="H76" s="9">
        <v>3714.02</v>
      </c>
      <c r="I76" s="15" t="s">
        <v>4157</v>
      </c>
      <c r="J76" s="15"/>
      <c r="K76" s="9"/>
      <c r="L76" s="9"/>
      <c r="M76" s="15"/>
      <c r="N76" s="95">
        <f>+SUM(N59:N75)</f>
        <v>37968.06</v>
      </c>
      <c r="O76" s="15"/>
      <c r="P76" s="9">
        <v>2039.99</v>
      </c>
      <c r="Q76" s="15" t="s">
        <v>4375</v>
      </c>
      <c r="R76" s="112">
        <v>232</v>
      </c>
      <c r="S76" s="15" t="s">
        <v>4434</v>
      </c>
      <c r="T76" s="9">
        <v>2420</v>
      </c>
      <c r="U76" s="15" t="s">
        <v>4499</v>
      </c>
      <c r="X76" s="9"/>
      <c r="Y76" s="15"/>
      <c r="Z76" s="9"/>
      <c r="AA76" s="15"/>
      <c r="AB76" s="9">
        <v>568.48</v>
      </c>
      <c r="AC76" s="15" t="s">
        <v>4665</v>
      </c>
      <c r="AD76" s="176">
        <v>1970</v>
      </c>
      <c r="AE76" s="15" t="s">
        <v>4721</v>
      </c>
      <c r="AF76" s="9"/>
      <c r="AG76" s="15"/>
      <c r="AH76" s="72"/>
      <c r="AI76" s="15"/>
      <c r="AJ76" s="9"/>
      <c r="AK76" s="15"/>
      <c r="AL76" s="9"/>
      <c r="AM76" s="15"/>
      <c r="AN76" s="15"/>
      <c r="AO76" s="15"/>
      <c r="AP76" s="9"/>
      <c r="AQ76" s="15"/>
      <c r="AR76" s="9"/>
      <c r="AS76" s="15"/>
      <c r="AT76" s="9"/>
      <c r="AU76" s="15"/>
      <c r="AV76" s="9"/>
      <c r="AW76" s="15"/>
      <c r="AX76" s="9"/>
      <c r="AY76" s="15"/>
      <c r="AZ76" s="9"/>
      <c r="BA76" s="26"/>
      <c r="BB76" s="15"/>
      <c r="BC76" s="15"/>
      <c r="BD76" s="24"/>
      <c r="BE76" s="15"/>
      <c r="BF76" s="9"/>
      <c r="BG76" s="15"/>
      <c r="BH76" s="9"/>
      <c r="BI76" s="15"/>
      <c r="BJ76" s="162"/>
      <c r="BK76" s="15"/>
      <c r="BL76" s="9"/>
      <c r="BM76" s="15"/>
      <c r="BN76" s="9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</row>
    <row r="77" spans="1:92" x14ac:dyDescent="0.25">
      <c r="A77" s="41"/>
      <c r="B77" s="9"/>
      <c r="C77" s="15"/>
      <c r="D77" s="9"/>
      <c r="E77" s="15"/>
      <c r="F77" s="9"/>
      <c r="G77" s="15"/>
      <c r="H77" s="9">
        <v>2065</v>
      </c>
      <c r="I77" s="15" t="s">
        <v>4163</v>
      </c>
      <c r="J77" s="9"/>
      <c r="K77" s="9"/>
      <c r="L77" s="9"/>
      <c r="M77" s="15"/>
      <c r="N77" s="9"/>
      <c r="O77" s="15"/>
      <c r="P77" s="9">
        <v>1712</v>
      </c>
      <c r="Q77" s="15" t="s">
        <v>4378</v>
      </c>
      <c r="R77" s="112">
        <v>2013.01</v>
      </c>
      <c r="S77" s="15" t="s">
        <v>4435</v>
      </c>
      <c r="T77" s="9">
        <v>1769</v>
      </c>
      <c r="U77" s="15" t="s">
        <v>4500</v>
      </c>
      <c r="X77" s="9"/>
      <c r="Y77" s="15"/>
      <c r="Z77" s="9"/>
      <c r="AA77" s="15"/>
      <c r="AB77" s="9"/>
      <c r="AC77" s="15"/>
      <c r="AD77" s="176">
        <v>254.92</v>
      </c>
      <c r="AE77" s="15" t="s">
        <v>4667</v>
      </c>
      <c r="AF77" s="9"/>
      <c r="AG77" s="15"/>
      <c r="AH77" s="72"/>
      <c r="AI77" s="15"/>
      <c r="AJ77" s="72"/>
      <c r="AK77" s="15"/>
      <c r="AL77" s="9"/>
      <c r="AM77" s="15"/>
      <c r="AN77" s="15"/>
      <c r="AO77" s="15"/>
      <c r="AP77" s="9"/>
      <c r="AQ77" s="15"/>
      <c r="AR77" s="24"/>
      <c r="AS77" s="15"/>
      <c r="AT77" s="9"/>
      <c r="AU77" s="15"/>
      <c r="AV77" s="9"/>
      <c r="AW77" s="15"/>
      <c r="AX77" s="9"/>
      <c r="AY77" s="15"/>
      <c r="AZ77" s="15"/>
      <c r="BA77" s="15"/>
      <c r="BB77" s="9"/>
      <c r="BC77" s="15"/>
      <c r="BD77" s="24"/>
      <c r="BE77" s="15"/>
      <c r="BF77" s="9"/>
      <c r="BG77" s="15"/>
      <c r="BH77" s="9"/>
      <c r="BI77" s="15"/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</row>
    <row r="78" spans="1:92" x14ac:dyDescent="0.25">
      <c r="A78" s="41"/>
      <c r="B78" s="9"/>
      <c r="C78" s="15"/>
      <c r="D78" s="9"/>
      <c r="E78" s="15"/>
      <c r="F78" s="9"/>
      <c r="G78" s="15"/>
      <c r="H78" s="9">
        <v>1099.01</v>
      </c>
      <c r="I78" s="15" t="s">
        <v>4165</v>
      </c>
      <c r="J78" s="9"/>
      <c r="K78" s="15"/>
      <c r="L78" s="9"/>
      <c r="M78" s="15"/>
      <c r="N78" s="24"/>
      <c r="O78" s="15"/>
      <c r="P78" s="95">
        <f>+SUM(P76:P77)</f>
        <v>3751.99</v>
      </c>
      <c r="Q78" s="15"/>
      <c r="R78" s="112">
        <v>232</v>
      </c>
      <c r="S78" s="15" t="s">
        <v>4436</v>
      </c>
      <c r="T78" s="9">
        <v>2096.9899999999998</v>
      </c>
      <c r="U78" s="15" t="s">
        <v>4502</v>
      </c>
      <c r="V78" s="9"/>
      <c r="W78" s="15"/>
      <c r="X78" s="9"/>
      <c r="Y78" s="15"/>
      <c r="Z78" s="9"/>
      <c r="AA78" s="15"/>
      <c r="AB78" s="9"/>
      <c r="AC78" s="15"/>
      <c r="AD78" s="176">
        <v>1097.1500000000001</v>
      </c>
      <c r="AE78" s="15" t="s">
        <v>4669</v>
      </c>
      <c r="AF78" s="9"/>
      <c r="AG78" s="15"/>
      <c r="AH78" s="72"/>
      <c r="AI78" s="15"/>
      <c r="AJ78" s="9"/>
      <c r="AK78" s="15"/>
      <c r="AL78" s="9"/>
      <c r="AM78" s="15"/>
      <c r="AN78" s="9"/>
      <c r="AO78" s="15"/>
      <c r="AP78" s="9"/>
      <c r="AQ78" s="15"/>
      <c r="AR78" s="9"/>
      <c r="AS78" s="15"/>
      <c r="AT78" s="133"/>
      <c r="AU78" s="15"/>
      <c r="AV78" s="133"/>
      <c r="AW78" s="15"/>
      <c r="AX78" s="9"/>
      <c r="AY78" s="15"/>
      <c r="AZ78" s="133"/>
      <c r="BA78" s="15"/>
      <c r="BB78" s="9"/>
      <c r="BC78" s="15"/>
      <c r="BD78" s="9"/>
      <c r="BE78" s="15"/>
      <c r="BF78" s="9"/>
      <c r="BG78" s="15"/>
      <c r="BH78" s="9"/>
      <c r="BI78" s="15"/>
      <c r="BJ78" s="9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</row>
    <row r="79" spans="1:92" x14ac:dyDescent="0.25">
      <c r="A79" s="41"/>
      <c r="B79" s="9"/>
      <c r="C79" s="15"/>
      <c r="D79" s="9"/>
      <c r="E79" s="15"/>
      <c r="F79" s="9"/>
      <c r="G79" s="15"/>
      <c r="H79" s="9">
        <v>1995</v>
      </c>
      <c r="I79" s="15" t="s">
        <v>4167</v>
      </c>
      <c r="J79" s="9"/>
      <c r="K79" s="15"/>
      <c r="L79" s="9"/>
      <c r="M79" s="15"/>
      <c r="N79" s="9"/>
      <c r="O79" s="15"/>
      <c r="P79" s="9"/>
      <c r="Q79" s="15"/>
      <c r="R79" s="112">
        <v>4395.01</v>
      </c>
      <c r="S79" s="15" t="s">
        <v>4439</v>
      </c>
      <c r="T79" s="9">
        <v>3320</v>
      </c>
      <c r="U79" s="15" t="s">
        <v>4506</v>
      </c>
      <c r="V79" s="9"/>
      <c r="W79" s="15"/>
      <c r="X79" s="9"/>
      <c r="Y79" s="15"/>
      <c r="Z79" s="9"/>
      <c r="AA79" s="15"/>
      <c r="AB79" s="9"/>
      <c r="AC79" s="15"/>
      <c r="AD79" s="176">
        <v>6212.12</v>
      </c>
      <c r="AE79" s="15" t="s">
        <v>4670</v>
      </c>
      <c r="AF79" s="15"/>
      <c r="AG79" s="15"/>
      <c r="AH79" s="72"/>
      <c r="AI79" s="15"/>
      <c r="AJ79" s="15"/>
      <c r="AK79" s="15"/>
      <c r="AL79" s="9"/>
      <c r="AM79" s="15"/>
      <c r="AN79" s="9"/>
      <c r="AO79" s="15"/>
      <c r="AP79" s="9"/>
      <c r="AQ79" s="15"/>
      <c r="AR79" s="120"/>
      <c r="AS79" s="120"/>
      <c r="AT79" s="9"/>
      <c r="AU79" s="15"/>
      <c r="AV79" s="9"/>
      <c r="AW79" s="15"/>
      <c r="AX79" s="9"/>
      <c r="AY79" s="15"/>
      <c r="AZ79" s="24"/>
      <c r="BA79" s="15"/>
      <c r="BB79" s="9"/>
      <c r="BC79" s="15"/>
      <c r="BD79" s="9"/>
      <c r="BE79" s="15"/>
      <c r="BF79" s="15"/>
      <c r="BG79" s="15"/>
      <c r="BH79" s="9"/>
      <c r="BI79" s="15"/>
      <c r="BJ79" s="9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</row>
    <row r="80" spans="1:92" x14ac:dyDescent="0.25">
      <c r="A80" s="41"/>
      <c r="B80" s="9"/>
      <c r="C80" s="15"/>
      <c r="D80" s="9"/>
      <c r="E80" s="15"/>
      <c r="F80" s="24"/>
      <c r="G80" s="15"/>
      <c r="H80" s="9">
        <v>1169</v>
      </c>
      <c r="I80" s="15" t="s">
        <v>4168</v>
      </c>
      <c r="J80" s="9"/>
      <c r="K80" s="15"/>
      <c r="L80" s="9"/>
      <c r="M80" s="15"/>
      <c r="N80" s="9"/>
      <c r="O80" s="15"/>
      <c r="P80" s="9"/>
      <c r="Q80" s="15"/>
      <c r="R80" s="112">
        <v>1099.01</v>
      </c>
      <c r="S80" s="15" t="s">
        <v>4440</v>
      </c>
      <c r="T80" s="9">
        <v>3549.01</v>
      </c>
      <c r="U80" s="15" t="s">
        <v>4507</v>
      </c>
      <c r="V80" s="9"/>
      <c r="W80" s="15"/>
      <c r="X80" s="120"/>
      <c r="Y80" s="15"/>
      <c r="Z80" s="9"/>
      <c r="AA80" s="15"/>
      <c r="AB80" s="95">
        <f>+SUM(AB59:AB79)</f>
        <v>109085.81999999998</v>
      </c>
      <c r="AC80" s="15"/>
      <c r="AD80" s="9"/>
      <c r="AE80" s="15"/>
      <c r="AF80" s="120"/>
      <c r="AG80" s="15"/>
      <c r="AH80" s="72"/>
      <c r="AI80" s="15"/>
      <c r="AJ80" s="9"/>
      <c r="AK80" s="15"/>
      <c r="AL80" s="9"/>
      <c r="AM80" s="15"/>
      <c r="AN80" s="9"/>
      <c r="AO80" s="15"/>
      <c r="AP80" s="9"/>
      <c r="AQ80" s="15"/>
      <c r="AR80" s="9"/>
      <c r="AS80" s="15"/>
      <c r="AT80" s="133"/>
      <c r="AU80" s="15"/>
      <c r="AV80" s="133"/>
      <c r="AW80" s="15"/>
      <c r="AX80" s="9"/>
      <c r="AY80" s="15"/>
      <c r="AZ80" s="9"/>
      <c r="BA80" s="9"/>
      <c r="BB80" s="9"/>
      <c r="BC80" s="15"/>
      <c r="BD80" s="9"/>
      <c r="BE80" s="15"/>
      <c r="BF80" s="9"/>
      <c r="BG80" s="15"/>
      <c r="BH80" s="9"/>
      <c r="BI80" s="15"/>
      <c r="BJ80" s="9"/>
      <c r="BK80" s="15"/>
      <c r="BL80" s="9"/>
      <c r="BM80" s="15"/>
      <c r="BN80" s="15"/>
      <c r="BO80" s="15"/>
      <c r="BP80" s="9"/>
      <c r="BQ80" s="15"/>
      <c r="BR80" s="9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</row>
    <row r="81" spans="1:92" x14ac:dyDescent="0.25">
      <c r="A81" s="41"/>
      <c r="B81" s="9"/>
      <c r="C81" s="15"/>
      <c r="D81" s="9"/>
      <c r="E81" s="15"/>
      <c r="F81" s="9"/>
      <c r="G81" s="15"/>
      <c r="H81" s="9">
        <v>1099.02</v>
      </c>
      <c r="I81" s="15" t="s">
        <v>4169</v>
      </c>
      <c r="J81" s="9"/>
      <c r="K81" s="15"/>
      <c r="L81" s="9"/>
      <c r="M81" s="15"/>
      <c r="N81" s="9"/>
      <c r="O81" s="15"/>
      <c r="P81" s="9"/>
      <c r="Q81" s="15"/>
      <c r="R81" s="112">
        <v>2040</v>
      </c>
      <c r="S81" s="15" t="s">
        <v>4441</v>
      </c>
      <c r="T81" s="9">
        <v>2040</v>
      </c>
      <c r="U81" s="15" t="s">
        <v>4509</v>
      </c>
      <c r="V81" s="9"/>
      <c r="W81" s="15"/>
      <c r="X81" s="15"/>
      <c r="Y81" s="15"/>
      <c r="Z81" s="9"/>
      <c r="AA81" s="15"/>
      <c r="AB81" s="9"/>
      <c r="AC81" s="15"/>
      <c r="AD81" s="95">
        <f>+SUM(AD59:AD80)</f>
        <v>90658.709999999992</v>
      </c>
      <c r="AE81" s="15"/>
      <c r="AF81" s="9"/>
      <c r="AG81" s="15"/>
      <c r="AH81" s="72"/>
      <c r="AI81" s="15"/>
      <c r="AJ81" s="9"/>
      <c r="AK81" s="15"/>
      <c r="AL81" s="9"/>
      <c r="AM81" s="15"/>
      <c r="AN81" s="9"/>
      <c r="AO81" s="15"/>
      <c r="AP81" s="9"/>
      <c r="AQ81" s="15"/>
      <c r="AR81" s="9"/>
      <c r="AS81" s="15"/>
      <c r="AT81" s="9"/>
      <c r="AU81" s="15"/>
      <c r="AV81" s="9"/>
      <c r="AW81" s="15"/>
      <c r="AX81" s="9"/>
      <c r="AY81" s="15"/>
      <c r="AZ81" s="9"/>
      <c r="BA81" s="15"/>
      <c r="BB81" s="9"/>
      <c r="BC81" s="15"/>
      <c r="BD81" s="9"/>
      <c r="BE81" s="15"/>
      <c r="BF81" s="9"/>
      <c r="BG81" s="15"/>
      <c r="BH81" s="9"/>
      <c r="BI81" s="15"/>
      <c r="BJ81" s="9"/>
      <c r="BK81" s="15"/>
      <c r="BL81" s="9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</row>
    <row r="82" spans="1:92" x14ac:dyDescent="0.25">
      <c r="A82" s="42"/>
      <c r="B82" s="23"/>
      <c r="C82" s="23"/>
      <c r="D82" s="23"/>
      <c r="E82" s="23"/>
      <c r="F82" s="23"/>
      <c r="G82" s="23"/>
      <c r="H82" s="14">
        <v>1970.02</v>
      </c>
      <c r="I82" s="23" t="s">
        <v>4172</v>
      </c>
      <c r="J82" s="23"/>
      <c r="K82" s="23"/>
      <c r="L82" s="23"/>
      <c r="M82" s="23"/>
      <c r="N82" s="23"/>
      <c r="O82" s="23"/>
      <c r="P82" s="23"/>
      <c r="Q82" s="23"/>
      <c r="R82" s="111">
        <f>+SUM(R67:R81)</f>
        <v>39581.410000000003</v>
      </c>
      <c r="S82" s="23"/>
      <c r="T82" s="14">
        <v>1099</v>
      </c>
      <c r="U82" s="23" t="s">
        <v>4510</v>
      </c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4"/>
      <c r="AI82" s="23"/>
      <c r="AJ82" s="23"/>
      <c r="AK82" s="23"/>
      <c r="AL82" s="14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</row>
    <row r="83" spans="1:92" x14ac:dyDescent="0.25">
      <c r="A83" s="41"/>
      <c r="B83" s="9"/>
      <c r="C83" s="15"/>
      <c r="D83" s="9"/>
      <c r="E83" s="15"/>
      <c r="F83" s="9"/>
      <c r="G83" s="15"/>
      <c r="H83" s="95">
        <f>+SUM(H66:H82)</f>
        <v>58591.799999999996</v>
      </c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>
        <v>2040</v>
      </c>
      <c r="U83" s="15" t="s">
        <v>4511</v>
      </c>
      <c r="V83" s="9"/>
      <c r="W83" s="15"/>
      <c r="X83" s="9"/>
      <c r="Y83" s="15"/>
      <c r="Z83" s="9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24"/>
      <c r="AM83" s="15"/>
      <c r="AN83" s="9"/>
      <c r="AO83" s="15"/>
      <c r="AP83" s="9"/>
      <c r="AQ83" s="15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</row>
    <row r="84" spans="1:92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9"/>
      <c r="Q84" s="15"/>
      <c r="R84" s="9"/>
      <c r="S84" s="15"/>
      <c r="T84" s="9">
        <v>1299.46</v>
      </c>
      <c r="U84" s="15" t="s">
        <v>4515</v>
      </c>
      <c r="V84" s="9"/>
      <c r="W84" s="15"/>
      <c r="X84" s="9"/>
      <c r="Y84" s="15"/>
      <c r="Z84" s="9"/>
      <c r="AA84" s="15"/>
      <c r="AB84" s="120"/>
      <c r="AC84" s="120"/>
      <c r="AD84" s="9"/>
      <c r="AE84" s="15"/>
      <c r="AF84" s="9"/>
      <c r="AG84" s="15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</row>
    <row r="85" spans="1:92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9"/>
      <c r="M85" s="15"/>
      <c r="N85" s="9"/>
      <c r="O85" s="15"/>
      <c r="P85" s="9"/>
      <c r="Q85" s="15"/>
      <c r="R85" s="9"/>
      <c r="S85" s="15"/>
      <c r="T85" s="95">
        <f>+SUM(T66:T84)</f>
        <v>53760.27</v>
      </c>
      <c r="U85" s="15"/>
      <c r="V85" s="9"/>
      <c r="W85" s="15"/>
      <c r="X85" s="9"/>
      <c r="Y85" s="15"/>
      <c r="Z85" s="9"/>
      <c r="AA85" s="15"/>
      <c r="AB85" s="120"/>
      <c r="AC85" s="120"/>
      <c r="AD85" s="9"/>
      <c r="AE85" s="15"/>
      <c r="AF85" s="9"/>
      <c r="AG85" s="15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</row>
    <row r="86" spans="1:92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9"/>
      <c r="AA86" s="15"/>
      <c r="AB86" s="120"/>
      <c r="AC86" s="120"/>
      <c r="AD86" s="9"/>
      <c r="AE86" s="15"/>
      <c r="AF86" s="9"/>
      <c r="AG86" s="15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</row>
    <row r="87" spans="1:92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1"/>
      <c r="AA87" s="13"/>
      <c r="AB87" s="120"/>
      <c r="AC87" s="120"/>
      <c r="AD87" s="11"/>
      <c r="AE87" s="13"/>
      <c r="AF87" s="11"/>
      <c r="AG87" s="13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</row>
    <row r="88" spans="1:92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23"/>
      <c r="Y88" s="13"/>
      <c r="Z88" s="13"/>
      <c r="AA88" s="13"/>
      <c r="AB88" s="120"/>
      <c r="AC88" s="120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</row>
    <row r="89" spans="1:92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</row>
    <row r="90" spans="1:92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</row>
    <row r="91" spans="1:92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</row>
    <row r="92" spans="1:92" x14ac:dyDescent="0.25">
      <c r="A92" s="41" t="s">
        <v>6</v>
      </c>
      <c r="B92" s="9">
        <v>19916.310000000001</v>
      </c>
      <c r="C92" s="15" t="s">
        <v>3922</v>
      </c>
      <c r="D92" s="9">
        <v>3218.81</v>
      </c>
      <c r="E92" s="15" t="s">
        <v>4027</v>
      </c>
      <c r="F92" s="9">
        <v>12213.14</v>
      </c>
      <c r="G92" s="15" t="s">
        <v>4038</v>
      </c>
      <c r="H92" s="9">
        <v>6737</v>
      </c>
      <c r="I92" s="15" t="s">
        <v>4147</v>
      </c>
      <c r="J92" s="9">
        <v>200.02</v>
      </c>
      <c r="K92" s="15" t="s">
        <v>4182</v>
      </c>
      <c r="L92" s="9">
        <v>1970</v>
      </c>
      <c r="M92" s="15" t="s">
        <v>4257</v>
      </c>
      <c r="N92" s="9">
        <v>225.52</v>
      </c>
      <c r="O92" s="15" t="s">
        <v>4333</v>
      </c>
      <c r="P92" s="9">
        <v>1168.99</v>
      </c>
      <c r="Q92" s="15" t="s">
        <v>4299</v>
      </c>
      <c r="R92" s="9">
        <v>6855.01</v>
      </c>
      <c r="S92" s="15" t="s">
        <v>4388</v>
      </c>
      <c r="T92" s="9">
        <v>5000.07</v>
      </c>
      <c r="U92" s="15" t="s">
        <v>4444</v>
      </c>
      <c r="V92" s="9">
        <v>5000</v>
      </c>
      <c r="W92" s="15" t="s">
        <v>4524</v>
      </c>
      <c r="X92" s="9">
        <v>5000</v>
      </c>
      <c r="Y92" s="15" t="s">
        <v>4516</v>
      </c>
      <c r="Z92" s="9">
        <v>628.51</v>
      </c>
      <c r="AA92" s="15" t="s">
        <v>4561</v>
      </c>
      <c r="AB92" s="9">
        <v>3148.38</v>
      </c>
      <c r="AC92" s="15" t="s">
        <v>4621</v>
      </c>
      <c r="AD92" s="9">
        <v>360.38</v>
      </c>
      <c r="AE92" s="15" t="s">
        <v>4684</v>
      </c>
      <c r="AF92" s="9">
        <v>808.21</v>
      </c>
      <c r="AG92" s="15" t="s">
        <v>4736</v>
      </c>
      <c r="AH92" s="9">
        <v>7573.79</v>
      </c>
      <c r="AI92" s="15" t="s">
        <v>4797</v>
      </c>
      <c r="AJ92" s="9">
        <v>12920</v>
      </c>
      <c r="AK92" s="15" t="s">
        <v>4853</v>
      </c>
      <c r="AL92" s="9">
        <v>10780</v>
      </c>
      <c r="AM92" s="15" t="s">
        <v>4896</v>
      </c>
      <c r="AN92" s="9">
        <v>12224.47</v>
      </c>
      <c r="AO92" s="15" t="s">
        <v>4963</v>
      </c>
      <c r="AP92" s="9"/>
      <c r="AQ92" s="15"/>
      <c r="AR92" s="9">
        <v>500</v>
      </c>
      <c r="AS92" s="15" t="s">
        <v>5068</v>
      </c>
      <c r="AT92" s="9">
        <v>20000</v>
      </c>
      <c r="AU92" s="15" t="s">
        <v>5141</v>
      </c>
      <c r="AV92" s="9">
        <v>8890.82</v>
      </c>
      <c r="AW92" s="15" t="s">
        <v>5095</v>
      </c>
      <c r="AX92" s="9">
        <v>2600</v>
      </c>
      <c r="AY92" s="15" t="s">
        <v>5202</v>
      </c>
      <c r="AZ92" s="9"/>
      <c r="BA92" s="15"/>
      <c r="BB92" s="9"/>
      <c r="BC92" s="15"/>
      <c r="BD92" s="9"/>
      <c r="BE92" s="15"/>
      <c r="BF92" s="9"/>
      <c r="BG92" s="15"/>
      <c r="BH92" s="9"/>
      <c r="BI92" s="15"/>
      <c r="BJ92" s="9"/>
      <c r="BK92" s="15"/>
      <c r="BL92" s="9"/>
      <c r="BM92" s="15"/>
      <c r="BN92" s="157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</row>
    <row r="93" spans="1:92" x14ac:dyDescent="0.25">
      <c r="A93" s="41"/>
      <c r="B93" s="9">
        <v>3250.01</v>
      </c>
      <c r="C93" s="15" t="s">
        <v>3933</v>
      </c>
      <c r="D93" s="121">
        <v>1970</v>
      </c>
      <c r="E93" s="15" t="s">
        <v>4026</v>
      </c>
      <c r="F93" s="9">
        <v>2093.1</v>
      </c>
      <c r="G93" s="15" t="s">
        <v>4043</v>
      </c>
      <c r="H93" s="9">
        <v>4565.01</v>
      </c>
      <c r="I93" s="15" t="s">
        <v>4164</v>
      </c>
      <c r="J93" s="9"/>
      <c r="K93" s="15"/>
      <c r="L93" s="9">
        <v>1099</v>
      </c>
      <c r="M93" s="15" t="s">
        <v>4259</v>
      </c>
      <c r="N93" s="9">
        <v>1099</v>
      </c>
      <c r="O93" s="15" t="s">
        <v>4338</v>
      </c>
      <c r="P93" s="9">
        <v>1099</v>
      </c>
      <c r="Q93" s="15" t="s">
        <v>4303</v>
      </c>
      <c r="R93" s="9">
        <v>594.41999999999996</v>
      </c>
      <c r="S93" s="15" t="s">
        <v>4393</v>
      </c>
      <c r="T93" s="9">
        <v>1099</v>
      </c>
      <c r="U93" s="15" t="s">
        <v>4451</v>
      </c>
      <c r="V93" s="9">
        <v>4239.01</v>
      </c>
      <c r="W93" s="15" t="s">
        <v>4534</v>
      </c>
      <c r="X93" s="9"/>
      <c r="Y93" s="15"/>
      <c r="Z93" s="9">
        <v>2040</v>
      </c>
      <c r="AA93" s="15" t="s">
        <v>4588</v>
      </c>
      <c r="AB93" s="72">
        <v>2040</v>
      </c>
      <c r="AC93" s="15" t="s">
        <v>4641</v>
      </c>
      <c r="AD93" s="9">
        <v>1965</v>
      </c>
      <c r="AE93" s="15" t="s">
        <v>4696</v>
      </c>
      <c r="AF93" s="9">
        <v>2040</v>
      </c>
      <c r="AG93" s="15" t="s">
        <v>4747</v>
      </c>
      <c r="AH93" s="9">
        <v>5000</v>
      </c>
      <c r="AI93" s="15" t="s">
        <v>4798</v>
      </c>
      <c r="AJ93" s="9">
        <v>10641.29</v>
      </c>
      <c r="AK93" s="15" t="s">
        <v>4854</v>
      </c>
      <c r="AL93" s="9">
        <v>6340.37</v>
      </c>
      <c r="AM93" s="15" t="s">
        <v>4898</v>
      </c>
      <c r="AN93" s="9">
        <v>9261.99</v>
      </c>
      <c r="AO93" s="15" t="s">
        <v>4967</v>
      </c>
      <c r="AP93" s="9">
        <v>1970</v>
      </c>
      <c r="AQ93" s="15" t="s">
        <v>5022</v>
      </c>
      <c r="AR93" s="9">
        <v>1099.02</v>
      </c>
      <c r="AS93" s="15" t="s">
        <v>5071</v>
      </c>
      <c r="AT93" s="9">
        <v>20000</v>
      </c>
      <c r="AU93" s="15" t="s">
        <v>5161</v>
      </c>
      <c r="AV93" s="9">
        <v>2065</v>
      </c>
      <c r="AW93" s="15" t="s">
        <v>5107</v>
      </c>
      <c r="AX93" s="10">
        <v>1000</v>
      </c>
      <c r="AY93" s="12" t="s">
        <v>5203</v>
      </c>
      <c r="AZ93" s="9"/>
      <c r="BA93" s="15"/>
      <c r="BB93" s="9"/>
      <c r="BC93" s="15"/>
      <c r="BD93" s="9"/>
      <c r="BE93" s="15"/>
      <c r="BF93" s="9"/>
      <c r="BG93" s="15"/>
      <c r="BH93" s="9"/>
      <c r="BI93" s="15"/>
      <c r="BJ93" s="9"/>
      <c r="BK93" s="15"/>
      <c r="BL93" s="9"/>
      <c r="BM93" s="15"/>
      <c r="BN93" s="157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</row>
    <row r="94" spans="1:92" x14ac:dyDescent="0.25">
      <c r="A94" s="41"/>
      <c r="B94" s="9">
        <v>1000</v>
      </c>
      <c r="C94" s="15" t="s">
        <v>3991</v>
      </c>
      <c r="D94" s="167">
        <f>+D92+D93</f>
        <v>5188.8099999999995</v>
      </c>
      <c r="E94" s="15"/>
      <c r="F94" s="9">
        <v>1158.99</v>
      </c>
      <c r="G94" s="15" t="s">
        <v>4047</v>
      </c>
      <c r="H94" s="95">
        <f>+H93+H92</f>
        <v>11302.01</v>
      </c>
      <c r="I94" s="15"/>
      <c r="J94" s="9">
        <v>5000</v>
      </c>
      <c r="K94" s="15" t="s">
        <v>4187</v>
      </c>
      <c r="L94" s="9">
        <v>505.01</v>
      </c>
      <c r="M94" s="15" t="s">
        <v>4270</v>
      </c>
      <c r="N94" s="9">
        <v>2429.9899999999998</v>
      </c>
      <c r="O94" s="15" t="s">
        <v>4339</v>
      </c>
      <c r="P94" s="9">
        <v>1400.99</v>
      </c>
      <c r="Q94" s="15" t="s">
        <v>4311</v>
      </c>
      <c r="R94" s="95">
        <f>+R93+R92</f>
        <v>7449.43</v>
      </c>
      <c r="S94" s="15"/>
      <c r="T94" s="51">
        <f>SUM(T92:T93)</f>
        <v>6099.07</v>
      </c>
      <c r="U94" s="15"/>
      <c r="V94" s="15">
        <v>1448.99</v>
      </c>
      <c r="W94" s="15" t="s">
        <v>4536</v>
      </c>
      <c r="X94" s="9"/>
      <c r="Y94" s="15"/>
      <c r="Z94" s="95">
        <f>+Z93+Z92</f>
        <v>2668.51</v>
      </c>
      <c r="AA94" s="15"/>
      <c r="AB94" s="9">
        <v>2040</v>
      </c>
      <c r="AC94" s="15" t="s">
        <v>4646</v>
      </c>
      <c r="AD94" s="9">
        <v>2645</v>
      </c>
      <c r="AE94" s="15" t="s">
        <v>4697</v>
      </c>
      <c r="AF94" s="9">
        <v>2039.99</v>
      </c>
      <c r="AG94" s="15" t="s">
        <v>4749</v>
      </c>
      <c r="AH94" s="9">
        <v>1168.99</v>
      </c>
      <c r="AI94" s="15" t="s">
        <v>4813</v>
      </c>
      <c r="AJ94" s="9">
        <v>5000</v>
      </c>
      <c r="AK94" s="15" t="s">
        <v>4859</v>
      </c>
      <c r="AL94" s="9">
        <v>1797.51</v>
      </c>
      <c r="AM94" s="15" t="s">
        <v>4919</v>
      </c>
      <c r="AN94" s="120">
        <v>3529.01</v>
      </c>
      <c r="AO94" s="120" t="s">
        <v>4970</v>
      </c>
      <c r="AP94" s="9"/>
      <c r="AQ94" s="15"/>
      <c r="AR94" s="95">
        <f>+AR92+AR93</f>
        <v>1599.02</v>
      </c>
      <c r="AS94" s="15"/>
      <c r="AT94" s="9">
        <v>3000</v>
      </c>
      <c r="AU94" s="15" t="s">
        <v>5167</v>
      </c>
      <c r="AV94" s="9">
        <v>3250.01</v>
      </c>
      <c r="AW94" s="15" t="s">
        <v>5115</v>
      </c>
      <c r="AX94" s="95">
        <f>+AX92+AX93</f>
        <v>3600</v>
      </c>
      <c r="AY94" s="15"/>
      <c r="AZ94" s="15"/>
      <c r="BA94" s="15"/>
      <c r="BB94" s="15"/>
      <c r="BC94" s="15"/>
      <c r="BD94" s="9"/>
      <c r="BE94" s="15"/>
      <c r="BF94" s="9"/>
      <c r="BG94" s="15"/>
      <c r="BH94" s="15"/>
      <c r="BI94" s="15"/>
      <c r="BJ94" s="9"/>
      <c r="BK94" s="15"/>
      <c r="BL94" s="15"/>
      <c r="BM94" s="15"/>
      <c r="BN94" s="157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</row>
    <row r="95" spans="1:92" x14ac:dyDescent="0.25">
      <c r="A95" s="41"/>
      <c r="B95" s="9">
        <v>3379.01</v>
      </c>
      <c r="C95" s="15" t="s">
        <v>3992</v>
      </c>
      <c r="D95" s="121"/>
      <c r="E95" s="15"/>
      <c r="F95" s="9">
        <v>582.20000000000005</v>
      </c>
      <c r="G95" s="15" t="s">
        <v>4048</v>
      </c>
      <c r="H95" s="15"/>
      <c r="I95" s="15"/>
      <c r="J95" s="9">
        <v>430.42</v>
      </c>
      <c r="K95" s="15" t="s">
        <v>4193</v>
      </c>
      <c r="L95" s="95">
        <f>+SUM(L92:L94)</f>
        <v>3574.01</v>
      </c>
      <c r="M95" s="15"/>
      <c r="N95" s="9">
        <v>1169</v>
      </c>
      <c r="O95" s="15" t="s">
        <v>4346</v>
      </c>
      <c r="P95" s="9">
        <v>1099</v>
      </c>
      <c r="Q95" s="15" t="s">
        <v>4319</v>
      </c>
      <c r="R95" s="9"/>
      <c r="S95" s="15"/>
      <c r="T95" s="9"/>
      <c r="U95" s="15"/>
      <c r="V95" s="9">
        <v>1169</v>
      </c>
      <c r="W95" s="15" t="s">
        <v>4545</v>
      </c>
      <c r="X95" s="9"/>
      <c r="Y95" s="15"/>
      <c r="Z95" s="9"/>
      <c r="AA95" s="15"/>
      <c r="AB95" s="9">
        <v>1970.02</v>
      </c>
      <c r="AC95" s="15" t="s">
        <v>4648</v>
      </c>
      <c r="AD95" s="9">
        <v>2040</v>
      </c>
      <c r="AE95" s="15" t="s">
        <v>4719</v>
      </c>
      <c r="AF95" s="9">
        <v>3250.01</v>
      </c>
      <c r="AG95" s="15" t="s">
        <v>4753</v>
      </c>
      <c r="AH95" s="9">
        <v>2405.86</v>
      </c>
      <c r="AI95" s="15" t="s">
        <v>4817</v>
      </c>
      <c r="AJ95" s="9">
        <v>2174.12</v>
      </c>
      <c r="AK95" s="15" t="s">
        <v>4866</v>
      </c>
      <c r="AL95" s="9">
        <v>1099</v>
      </c>
      <c r="AM95" s="15" t="s">
        <v>4921</v>
      </c>
      <c r="AN95" s="120">
        <v>1169</v>
      </c>
      <c r="AO95" s="120" t="s">
        <v>4977</v>
      </c>
      <c r="AP95" s="9"/>
      <c r="AQ95" s="15"/>
      <c r="AR95" s="9"/>
      <c r="AS95" s="15"/>
      <c r="AT95" s="137">
        <v>2065</v>
      </c>
      <c r="AU95" s="15" t="s">
        <v>5170</v>
      </c>
      <c r="AV95" s="137">
        <v>1970</v>
      </c>
      <c r="AW95" s="15" t="s">
        <v>5122</v>
      </c>
      <c r="AX95" s="9"/>
      <c r="AY95" s="15"/>
      <c r="AZ95" s="9"/>
      <c r="BA95" s="15"/>
      <c r="BB95" s="9"/>
      <c r="BC95" s="15"/>
      <c r="BD95" s="15"/>
      <c r="BE95" s="15"/>
      <c r="BF95" s="9"/>
      <c r="BG95" s="15"/>
      <c r="BH95" s="9"/>
      <c r="BI95" s="15"/>
      <c r="BJ95" s="15"/>
      <c r="BK95" s="15"/>
      <c r="BL95" s="9"/>
      <c r="BM95" s="15"/>
      <c r="BN95" s="157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</row>
    <row r="96" spans="1:92" x14ac:dyDescent="0.25">
      <c r="A96" s="41"/>
      <c r="B96" s="9">
        <v>1099</v>
      </c>
      <c r="C96" s="15" t="s">
        <v>3993</v>
      </c>
      <c r="D96" s="15">
        <v>3649</v>
      </c>
      <c r="E96" s="26" t="s">
        <v>4058</v>
      </c>
      <c r="F96" s="9">
        <v>688.3</v>
      </c>
      <c r="G96" s="15" t="s">
        <v>4052</v>
      </c>
      <c r="H96" s="15"/>
      <c r="I96" s="15"/>
      <c r="J96" s="9">
        <v>1158.78</v>
      </c>
      <c r="K96" s="15" t="s">
        <v>4195</v>
      </c>
      <c r="L96" s="9"/>
      <c r="M96" s="15"/>
      <c r="N96" s="7">
        <v>4168.99</v>
      </c>
      <c r="O96" s="26" t="s">
        <v>4351</v>
      </c>
      <c r="P96" s="95">
        <f>+SUM(P92:P95)</f>
        <v>4767.9799999999996</v>
      </c>
      <c r="Q96" s="15"/>
      <c r="R96" s="168">
        <v>20000</v>
      </c>
      <c r="S96" s="24" t="s">
        <v>4403</v>
      </c>
      <c r="T96" s="15">
        <v>1530</v>
      </c>
      <c r="U96" s="9" t="s">
        <v>4486</v>
      </c>
      <c r="V96" s="11">
        <v>12000</v>
      </c>
      <c r="W96" s="13" t="s">
        <v>4530</v>
      </c>
      <c r="X96" s="9"/>
      <c r="Y96" s="15"/>
      <c r="Z96" s="9"/>
      <c r="AA96" s="15"/>
      <c r="AB96" s="9">
        <v>1099.01</v>
      </c>
      <c r="AC96" s="13" t="s">
        <v>4649</v>
      </c>
      <c r="AD96" s="9">
        <v>3250.01</v>
      </c>
      <c r="AE96" s="15" t="s">
        <v>4723</v>
      </c>
      <c r="AF96" s="9">
        <v>2065.0100000000002</v>
      </c>
      <c r="AG96" s="15" t="s">
        <v>4754</v>
      </c>
      <c r="AH96" s="9">
        <v>3238.99</v>
      </c>
      <c r="AI96" s="15" t="s">
        <v>4818</v>
      </c>
      <c r="AJ96" s="9">
        <v>1099.01</v>
      </c>
      <c r="AK96" s="15" t="s">
        <v>4868</v>
      </c>
      <c r="AL96" s="9">
        <v>3424</v>
      </c>
      <c r="AM96" s="15" t="s">
        <v>4922</v>
      </c>
      <c r="AN96" s="9">
        <v>1169</v>
      </c>
      <c r="AO96" s="15" t="s">
        <v>4978</v>
      </c>
      <c r="AP96" s="133"/>
      <c r="AQ96" s="120"/>
      <c r="AR96" s="9"/>
      <c r="AS96" s="15"/>
      <c r="AT96" s="9">
        <v>1168.99</v>
      </c>
      <c r="AU96" s="15" t="s">
        <v>5174</v>
      </c>
      <c r="AV96" s="9">
        <v>2040</v>
      </c>
      <c r="AW96" s="15" t="s">
        <v>5123</v>
      </c>
      <c r="AX96" s="9"/>
      <c r="AY96" s="15"/>
      <c r="AZ96" s="9"/>
      <c r="BA96" s="15"/>
      <c r="BB96" s="9"/>
      <c r="BC96" s="15"/>
      <c r="BD96" s="9"/>
      <c r="BE96" s="15"/>
      <c r="BF96" s="15"/>
      <c r="BG96" s="15"/>
      <c r="BH96" s="9"/>
      <c r="BI96" s="15"/>
      <c r="BJ96" s="15"/>
      <c r="BK96" s="15"/>
      <c r="BL96" s="9"/>
      <c r="BM96" s="15"/>
      <c r="BN96" s="157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</row>
    <row r="97" spans="1:92" x14ac:dyDescent="0.25">
      <c r="A97" s="41"/>
      <c r="B97" s="9">
        <v>365.78</v>
      </c>
      <c r="C97" s="15" t="s">
        <v>3999</v>
      </c>
      <c r="D97" s="9"/>
      <c r="E97" s="15"/>
      <c r="F97" s="95">
        <f>+SUM(F92:F96)</f>
        <v>16735.73</v>
      </c>
      <c r="G97" s="15"/>
      <c r="H97" s="15"/>
      <c r="I97" s="15"/>
      <c r="J97" s="9">
        <v>4395</v>
      </c>
      <c r="K97" s="15" t="s">
        <v>4207</v>
      </c>
      <c r="L97" s="9"/>
      <c r="M97" s="15"/>
      <c r="N97" s="9">
        <v>1970</v>
      </c>
      <c r="O97" s="15" t="s">
        <v>4356</v>
      </c>
      <c r="P97" s="9"/>
      <c r="Q97" s="15"/>
      <c r="R97" s="112">
        <v>1669.48</v>
      </c>
      <c r="S97" s="15" t="s">
        <v>4418</v>
      </c>
      <c r="T97" s="9"/>
      <c r="U97" s="15"/>
      <c r="V97" s="123">
        <f>SUM(V92:V96)</f>
        <v>23857</v>
      </c>
      <c r="X97" s="9"/>
      <c r="Y97" s="15"/>
      <c r="Z97" s="9"/>
      <c r="AA97" s="15"/>
      <c r="AB97" s="11">
        <v>1479.01</v>
      </c>
      <c r="AC97" s="13" t="s">
        <v>4650</v>
      </c>
      <c r="AD97" s="95">
        <f>+SUM(AD92:AD96)</f>
        <v>10260.39</v>
      </c>
      <c r="AE97" s="15"/>
      <c r="AF97" s="133">
        <v>1099</v>
      </c>
      <c r="AG97" s="15" t="s">
        <v>4758</v>
      </c>
      <c r="AH97" s="9">
        <v>3919.01</v>
      </c>
      <c r="AI97" s="15" t="s">
        <v>4821</v>
      </c>
      <c r="AJ97" s="9">
        <v>2065</v>
      </c>
      <c r="AK97" s="15" t="s">
        <v>4873</v>
      </c>
      <c r="AL97" s="9">
        <v>4465</v>
      </c>
      <c r="AM97" s="15" t="s">
        <v>4928</v>
      </c>
      <c r="AN97" s="9">
        <v>29821.84</v>
      </c>
      <c r="AO97" s="15" t="s">
        <v>4987</v>
      </c>
      <c r="AP97" s="9"/>
      <c r="AQ97" s="15"/>
      <c r="AR97" s="15"/>
      <c r="AS97" s="15"/>
      <c r="AT97" s="9">
        <v>1168.99</v>
      </c>
      <c r="AU97" s="15" t="s">
        <v>5184</v>
      </c>
      <c r="AV97" s="9">
        <v>78.849999999999994</v>
      </c>
      <c r="AW97" s="15" t="s">
        <v>5131</v>
      </c>
      <c r="AX97" s="9"/>
      <c r="AY97" s="15"/>
      <c r="AZ97" s="9"/>
      <c r="BA97" s="15"/>
      <c r="BB97" s="9"/>
      <c r="BC97" s="15"/>
      <c r="BD97" s="15"/>
      <c r="BE97" s="15"/>
      <c r="BF97" s="9"/>
      <c r="BG97" s="15"/>
      <c r="BH97" s="9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</row>
    <row r="98" spans="1:92" x14ac:dyDescent="0.25">
      <c r="A98" s="41"/>
      <c r="B98" s="95">
        <f>+SUM(B91:B97)</f>
        <v>29010.11</v>
      </c>
      <c r="C98" s="15"/>
      <c r="D98" s="15"/>
      <c r="E98" s="15"/>
      <c r="F98" s="15"/>
      <c r="G98" s="15"/>
      <c r="H98" s="15"/>
      <c r="I98" s="15"/>
      <c r="J98" s="9">
        <v>600.01</v>
      </c>
      <c r="K98" s="15" t="s">
        <v>4216</v>
      </c>
      <c r="L98" s="9"/>
      <c r="M98" s="15"/>
      <c r="N98" s="9">
        <v>1099.01</v>
      </c>
      <c r="O98" s="15" t="s">
        <v>4357</v>
      </c>
      <c r="P98" s="15">
        <v>4500</v>
      </c>
      <c r="Q98" s="15" t="s">
        <v>4371</v>
      </c>
      <c r="R98" s="112">
        <v>2040</v>
      </c>
      <c r="S98" s="15" t="s">
        <v>4419</v>
      </c>
      <c r="T98" s="9"/>
      <c r="U98" s="15"/>
      <c r="V98" s="15"/>
      <c r="W98" s="15"/>
      <c r="X98" s="9"/>
      <c r="Y98" s="15"/>
      <c r="Z98" s="15"/>
      <c r="AA98" s="15"/>
      <c r="AB98" s="95">
        <f>+SUM(AB92:AB97)</f>
        <v>11776.42</v>
      </c>
      <c r="AC98" s="15"/>
      <c r="AD98" s="15"/>
      <c r="AE98" s="15"/>
      <c r="AF98" s="9">
        <v>1169</v>
      </c>
      <c r="AG98" s="15" t="s">
        <v>4765</v>
      </c>
      <c r="AH98" s="9">
        <v>3320</v>
      </c>
      <c r="AI98" s="15" t="s">
        <v>4832</v>
      </c>
      <c r="AJ98" s="9">
        <v>1169</v>
      </c>
      <c r="AK98" s="15" t="s">
        <v>4875</v>
      </c>
      <c r="AL98" s="9">
        <v>635</v>
      </c>
      <c r="AM98" s="15" t="s">
        <v>4936</v>
      </c>
      <c r="AN98" s="9">
        <v>505.01</v>
      </c>
      <c r="AO98" s="15" t="s">
        <v>4989</v>
      </c>
      <c r="AP98" s="9"/>
      <c r="AQ98" s="15"/>
      <c r="AR98" s="15"/>
      <c r="AS98" s="15"/>
      <c r="AT98" s="9">
        <v>2460</v>
      </c>
      <c r="AU98" s="15" t="s">
        <v>5189</v>
      </c>
      <c r="AV98" s="95">
        <f>+SUM(AV92:AV97)</f>
        <v>18294.68</v>
      </c>
      <c r="AW98" s="15"/>
      <c r="AX98" s="9"/>
      <c r="AY98" s="15"/>
      <c r="AZ98" s="9"/>
      <c r="BA98" s="15"/>
      <c r="BB98" s="9"/>
      <c r="BC98" s="15"/>
      <c r="BD98" s="15"/>
      <c r="BE98" s="15"/>
      <c r="BF98" s="15"/>
      <c r="BG98" s="15"/>
      <c r="BH98" s="9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</row>
    <row r="99" spans="1:92" x14ac:dyDescent="0.25">
      <c r="A99" s="41"/>
      <c r="B99" s="9"/>
      <c r="C99" s="15"/>
      <c r="D99" s="9"/>
      <c r="E99" s="15"/>
      <c r="F99" s="9">
        <v>1099.01</v>
      </c>
      <c r="G99" s="15" t="s">
        <v>4084</v>
      </c>
      <c r="H99" s="9"/>
      <c r="I99" s="15"/>
      <c r="J99" s="9">
        <v>555.87</v>
      </c>
      <c r="K99" s="15" t="s">
        <v>4229</v>
      </c>
      <c r="L99" s="15"/>
      <c r="M99" s="15"/>
      <c r="N99" s="95">
        <f>+SUM(N92:N98)</f>
        <v>12161.51</v>
      </c>
      <c r="O99" s="15"/>
      <c r="P99" s="9"/>
      <c r="Q99" s="15"/>
      <c r="R99" s="112">
        <v>3448.99</v>
      </c>
      <c r="S99" s="15" t="s">
        <v>4426</v>
      </c>
      <c r="T99" s="15"/>
      <c r="U99" s="15"/>
      <c r="V99" s="9"/>
      <c r="W99" s="15"/>
      <c r="X99" s="9"/>
      <c r="Y99" s="15"/>
      <c r="Z99" s="9"/>
      <c r="AA99" s="15"/>
      <c r="AB99" s="9"/>
      <c r="AC99" s="15"/>
      <c r="AD99" s="15"/>
      <c r="AE99" s="15"/>
      <c r="AF99" s="9">
        <v>236</v>
      </c>
      <c r="AG99" s="15" t="s">
        <v>4778</v>
      </c>
      <c r="AH99" s="9">
        <v>1168.99</v>
      </c>
      <c r="AI99" s="15" t="s">
        <v>4834</v>
      </c>
      <c r="AJ99" s="9">
        <v>1169</v>
      </c>
      <c r="AK99" s="15" t="s">
        <v>4877</v>
      </c>
      <c r="AL99" s="9">
        <v>776.99</v>
      </c>
      <c r="AM99" s="15" t="s">
        <v>4941</v>
      </c>
      <c r="AN99" s="9">
        <v>1099.01</v>
      </c>
      <c r="AO99" s="15" t="s">
        <v>4991</v>
      </c>
      <c r="AP99" s="9"/>
      <c r="AQ99" s="15"/>
      <c r="AR99" s="9"/>
      <c r="AS99" s="15"/>
      <c r="AT99" s="9">
        <v>1169</v>
      </c>
      <c r="AU99" s="15" t="s">
        <v>5191</v>
      </c>
      <c r="AV99" s="15"/>
      <c r="AW99" s="15"/>
      <c r="AX99" s="9"/>
      <c r="AY99" s="15"/>
      <c r="AZ99" s="15"/>
      <c r="BA99" s="15"/>
      <c r="BB99" s="127"/>
      <c r="BC99" s="24"/>
      <c r="BD99" s="9"/>
      <c r="BE99" s="15"/>
      <c r="BF99" s="9"/>
      <c r="BG99" s="15"/>
      <c r="BH99" s="9"/>
      <c r="BI99" s="15"/>
      <c r="BJ99" s="9"/>
      <c r="BK99" s="15"/>
      <c r="BL99" s="9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</row>
    <row r="100" spans="1:92" x14ac:dyDescent="0.25">
      <c r="A100" s="41"/>
      <c r="B100" s="15"/>
      <c r="C100" s="15"/>
      <c r="D100" s="9"/>
      <c r="E100" s="15"/>
      <c r="F100" s="9">
        <v>4395.01</v>
      </c>
      <c r="G100" s="15" t="s">
        <v>4089</v>
      </c>
      <c r="H100" s="9"/>
      <c r="I100" s="15"/>
      <c r="J100" s="51">
        <f>+SUM(J93:J99)</f>
        <v>12140.080000000002</v>
      </c>
      <c r="K100" s="15"/>
      <c r="L100" s="9"/>
      <c r="M100" s="15"/>
      <c r="N100" s="9"/>
      <c r="O100" s="15"/>
      <c r="P100" s="9"/>
      <c r="Q100" s="15"/>
      <c r="R100" s="112">
        <v>2460</v>
      </c>
      <c r="S100" s="15" t="s">
        <v>4429</v>
      </c>
      <c r="T100" s="15"/>
      <c r="U100" s="15"/>
      <c r="V100" s="9"/>
      <c r="W100" s="15"/>
      <c r="X100" s="15"/>
      <c r="Y100" s="15"/>
      <c r="Z100" s="9"/>
      <c r="AA100" s="15"/>
      <c r="AB100" s="9"/>
      <c r="AC100" s="15"/>
      <c r="AD100" s="9"/>
      <c r="AE100" s="15"/>
      <c r="AF100" s="95">
        <f>+SUM(AF92:AF99)</f>
        <v>12707.220000000001</v>
      </c>
      <c r="AG100" s="15"/>
      <c r="AH100" s="9">
        <v>1099.01</v>
      </c>
      <c r="AI100" s="15" t="s">
        <v>4837</v>
      </c>
      <c r="AJ100" s="9">
        <v>1099</v>
      </c>
      <c r="AK100" s="15" t="s">
        <v>4878</v>
      </c>
      <c r="AL100" s="95">
        <f>+SUM(AL91:AL99)</f>
        <v>29317.87</v>
      </c>
      <c r="AM100" s="15"/>
      <c r="AN100" s="9">
        <v>3484.01</v>
      </c>
      <c r="AO100" s="15" t="s">
        <v>4993</v>
      </c>
      <c r="AP100" s="9"/>
      <c r="AQ100" s="15"/>
      <c r="AR100" s="9"/>
      <c r="AS100" s="15"/>
      <c r="AT100" s="9">
        <v>100</v>
      </c>
      <c r="AU100" s="15" t="s">
        <v>5199</v>
      </c>
      <c r="AV100" s="9"/>
      <c r="AW100" s="15"/>
      <c r="AX100" s="15"/>
      <c r="AY100" s="15"/>
      <c r="AZ100" s="9"/>
      <c r="BA100" s="15"/>
      <c r="BB100" s="15"/>
      <c r="BC100" s="15"/>
      <c r="BD100" s="9"/>
      <c r="BE100" s="15"/>
      <c r="BF100" s="15"/>
      <c r="BG100" s="15"/>
      <c r="BH100" s="15"/>
      <c r="BI100" s="15"/>
      <c r="BJ100" s="9"/>
      <c r="BK100" s="15"/>
      <c r="BL100" s="9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</row>
    <row r="101" spans="1:92" x14ac:dyDescent="0.25">
      <c r="A101" s="41"/>
      <c r="B101" s="9"/>
      <c r="C101" s="15"/>
      <c r="D101" s="9"/>
      <c r="E101" s="15"/>
      <c r="F101" s="9">
        <v>2353.7800000000002</v>
      </c>
      <c r="G101" s="15" t="s">
        <v>4091</v>
      </c>
      <c r="H101" s="15"/>
      <c r="I101" s="15"/>
      <c r="J101" s="95"/>
      <c r="K101" s="15"/>
      <c r="L101" s="9"/>
      <c r="M101" s="15"/>
      <c r="N101" s="9"/>
      <c r="O101" s="15"/>
      <c r="P101" s="9"/>
      <c r="Q101" s="15"/>
      <c r="R101" s="95">
        <f>+SUM(R95:R100)</f>
        <v>29618.47</v>
      </c>
      <c r="S101" s="15"/>
      <c r="T101" s="9"/>
      <c r="U101" s="15"/>
      <c r="V101" s="9"/>
      <c r="W101" s="15"/>
      <c r="X101" s="9"/>
      <c r="Y101" s="15"/>
      <c r="Z101" s="9"/>
      <c r="AA101" s="15"/>
      <c r="AB101" s="9"/>
      <c r="AC101" s="15"/>
      <c r="AD101" s="9"/>
      <c r="AE101" s="15"/>
      <c r="AF101" s="9"/>
      <c r="AG101" s="15"/>
      <c r="AH101" s="9">
        <v>3675.99</v>
      </c>
      <c r="AI101" s="15" t="s">
        <v>4840</v>
      </c>
      <c r="AJ101" s="9">
        <v>1099</v>
      </c>
      <c r="AK101" s="15" t="s">
        <v>4879</v>
      </c>
      <c r="AL101" s="95"/>
      <c r="AM101" s="15"/>
      <c r="AN101" s="9">
        <v>143.72</v>
      </c>
      <c r="AO101" s="15" t="s">
        <v>4995</v>
      </c>
      <c r="AP101" s="9"/>
      <c r="AQ101" s="15"/>
      <c r="AR101" s="9"/>
      <c r="AS101" s="15"/>
      <c r="AT101" s="95">
        <f>+SUM(AT92:AT100)</f>
        <v>51131.979999999996</v>
      </c>
      <c r="AU101" s="15"/>
      <c r="AV101" s="9"/>
      <c r="AW101" s="15"/>
      <c r="AX101" s="9"/>
      <c r="AY101" s="15"/>
      <c r="AZ101" s="15"/>
      <c r="BA101" s="15"/>
      <c r="BB101" s="9"/>
      <c r="BC101" s="15"/>
      <c r="BD101" s="9"/>
      <c r="BE101" s="15"/>
      <c r="BF101" s="9"/>
      <c r="BG101" s="15"/>
      <c r="BH101" s="9"/>
      <c r="BI101" s="15"/>
      <c r="BJ101" s="9"/>
      <c r="BK101" s="1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</row>
    <row r="102" spans="1:92" x14ac:dyDescent="0.25">
      <c r="A102" s="41"/>
      <c r="B102" s="9"/>
      <c r="C102" s="15"/>
      <c r="D102" s="9"/>
      <c r="E102" s="15"/>
      <c r="F102" s="9">
        <v>1099.01</v>
      </c>
      <c r="G102" s="15" t="s">
        <v>4092</v>
      </c>
      <c r="H102" s="9"/>
      <c r="I102" s="15"/>
      <c r="J102" s="9"/>
      <c r="K102" s="15"/>
      <c r="L102" s="9"/>
      <c r="M102" s="15"/>
      <c r="N102" s="9"/>
      <c r="O102" s="15"/>
      <c r="P102" s="9"/>
      <c r="Q102" s="15"/>
      <c r="R102" s="95"/>
      <c r="S102" s="15"/>
      <c r="T102" s="9"/>
      <c r="U102" s="15"/>
      <c r="V102" s="9"/>
      <c r="W102" s="15"/>
      <c r="X102" s="9"/>
      <c r="Y102" s="15"/>
      <c r="Z102" s="9"/>
      <c r="AA102" s="15"/>
      <c r="AB102" s="9"/>
      <c r="AC102" s="15"/>
      <c r="AD102" s="9"/>
      <c r="AE102" s="15"/>
      <c r="AF102" s="9"/>
      <c r="AG102" s="15"/>
      <c r="AH102" s="9">
        <v>3629</v>
      </c>
      <c r="AI102" s="15" t="s">
        <v>4842</v>
      </c>
      <c r="AJ102" s="9">
        <v>1549.01</v>
      </c>
      <c r="AK102" s="15" t="s">
        <v>4880</v>
      </c>
      <c r="AL102" s="9"/>
      <c r="AM102" s="15"/>
      <c r="AN102" s="95">
        <f>+SUM(AN92:AN101)</f>
        <v>62407.060000000005</v>
      </c>
      <c r="AO102" s="15"/>
      <c r="AP102" s="9"/>
      <c r="AQ102" s="15"/>
      <c r="AR102" s="9"/>
      <c r="AS102" s="15"/>
      <c r="AT102" s="9"/>
      <c r="AU102" s="15"/>
      <c r="AV102" s="9"/>
      <c r="AW102" s="15"/>
      <c r="AX102" s="9"/>
      <c r="AY102" s="15"/>
      <c r="AZ102" s="9"/>
      <c r="BA102" s="15"/>
      <c r="BB102" s="9"/>
      <c r="BC102" s="15"/>
      <c r="BD102" s="9"/>
      <c r="BE102" s="15"/>
      <c r="BF102" s="9"/>
      <c r="BG102" s="15"/>
      <c r="BH102" s="9"/>
      <c r="BI102" s="15"/>
      <c r="BJ102" s="9"/>
      <c r="BK102" s="1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</row>
    <row r="103" spans="1:92" x14ac:dyDescent="0.25">
      <c r="A103" s="41"/>
      <c r="B103" s="9"/>
      <c r="C103" s="15"/>
      <c r="D103" s="9"/>
      <c r="E103" s="15"/>
      <c r="F103" s="9">
        <v>1099.01</v>
      </c>
      <c r="G103" s="15" t="s">
        <v>4096</v>
      </c>
      <c r="H103" s="9"/>
      <c r="I103" s="15"/>
      <c r="J103" s="9"/>
      <c r="K103" s="15"/>
      <c r="L103" s="9"/>
      <c r="M103" s="15"/>
      <c r="N103" s="9"/>
      <c r="O103" s="15"/>
      <c r="P103" s="15"/>
      <c r="Q103" s="15"/>
      <c r="R103" s="9"/>
      <c r="S103" s="15"/>
      <c r="T103" s="9"/>
      <c r="U103" s="15"/>
      <c r="V103" s="9"/>
      <c r="W103" s="15"/>
      <c r="X103" s="9"/>
      <c r="Y103" s="15"/>
      <c r="Z103" s="9"/>
      <c r="AA103" s="15"/>
      <c r="AB103" s="9"/>
      <c r="AC103" s="15"/>
      <c r="AD103" s="15"/>
      <c r="AE103" s="15"/>
      <c r="AF103" s="9"/>
      <c r="AG103" s="15"/>
      <c r="AH103" s="95">
        <f>+SUM(AH92:AH102)</f>
        <v>36199.629999999997</v>
      </c>
      <c r="AI103" s="15"/>
      <c r="AJ103" s="9">
        <v>3319.99</v>
      </c>
      <c r="AK103" s="15" t="s">
        <v>4881</v>
      </c>
      <c r="AL103" s="9"/>
      <c r="AM103" s="15"/>
      <c r="AN103" s="9"/>
      <c r="AO103" s="15"/>
      <c r="AP103" s="9"/>
      <c r="AQ103" s="15"/>
      <c r="AR103" s="9"/>
      <c r="AS103" s="15"/>
      <c r="AT103" s="9"/>
      <c r="AU103" s="15"/>
      <c r="AV103" s="9"/>
      <c r="AW103" s="15"/>
      <c r="AX103" s="9"/>
      <c r="AY103" s="15"/>
      <c r="AZ103" s="9"/>
      <c r="BA103" s="15"/>
      <c r="BB103" s="9"/>
      <c r="BC103" s="15"/>
      <c r="BD103" s="9"/>
      <c r="BE103" s="15"/>
      <c r="BF103" s="9"/>
      <c r="BG103" s="15"/>
      <c r="BH103" s="9"/>
      <c r="BI103" s="15"/>
      <c r="BJ103" s="9"/>
      <c r="BK103" s="1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</row>
    <row r="104" spans="1:92" x14ac:dyDescent="0.25">
      <c r="A104" s="41"/>
      <c r="B104" s="9"/>
      <c r="C104" s="15"/>
      <c r="D104" s="9"/>
      <c r="E104" s="15"/>
      <c r="F104" s="95">
        <f>+SUM(F99:F103)</f>
        <v>10045.820000000002</v>
      </c>
      <c r="G104" s="15"/>
      <c r="H104" s="9"/>
      <c r="I104" s="15"/>
      <c r="J104" s="9"/>
      <c r="K104" s="15"/>
      <c r="L104" s="9"/>
      <c r="M104" s="15"/>
      <c r="N104" s="9"/>
      <c r="O104" s="15"/>
      <c r="P104" s="9"/>
      <c r="Q104" s="15"/>
      <c r="R104" s="9"/>
      <c r="S104" s="15"/>
      <c r="T104" s="9"/>
      <c r="U104" s="15"/>
      <c r="V104" s="9"/>
      <c r="W104" s="15"/>
      <c r="X104" s="9"/>
      <c r="Y104" s="15"/>
      <c r="Z104" s="9"/>
      <c r="AA104" s="15"/>
      <c r="AB104" s="9"/>
      <c r="AC104" s="15"/>
      <c r="AD104" s="9"/>
      <c r="AE104" s="15"/>
      <c r="AF104" s="9"/>
      <c r="AG104" s="15"/>
      <c r="AH104" s="9"/>
      <c r="AI104" s="15"/>
      <c r="AJ104" s="9">
        <v>4465</v>
      </c>
      <c r="AK104" s="15" t="s">
        <v>4885</v>
      </c>
      <c r="AL104" s="9"/>
      <c r="AM104" s="15"/>
      <c r="AN104" s="9"/>
      <c r="AO104" s="15"/>
      <c r="AP104" s="9"/>
      <c r="AQ104" s="15"/>
      <c r="AR104" s="9"/>
      <c r="AS104" s="15"/>
      <c r="AT104" s="9"/>
      <c r="AU104" s="15"/>
      <c r="AV104" s="9"/>
      <c r="AW104" s="15"/>
      <c r="AX104" s="9"/>
      <c r="AY104" s="15"/>
      <c r="AZ104" s="9"/>
      <c r="BA104" s="15"/>
      <c r="BB104" s="9"/>
      <c r="BC104" s="15"/>
      <c r="BD104" s="9"/>
      <c r="BE104" s="15"/>
      <c r="BF104" s="9"/>
      <c r="BG104" s="15"/>
      <c r="BH104" s="9"/>
      <c r="BI104" s="15"/>
      <c r="BJ104" s="9"/>
      <c r="BK104" s="1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</row>
    <row r="105" spans="1:92" x14ac:dyDescent="0.25">
      <c r="A105" s="41"/>
      <c r="B105" s="9"/>
      <c r="C105" s="15"/>
      <c r="D105" s="9"/>
      <c r="E105" s="15"/>
      <c r="F105" s="9"/>
      <c r="G105" s="15"/>
      <c r="H105" s="9"/>
      <c r="I105" s="15"/>
      <c r="J105" s="9"/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9"/>
      <c r="AA105" s="15"/>
      <c r="AB105" s="9"/>
      <c r="AC105" s="15"/>
      <c r="AD105" s="9"/>
      <c r="AE105" s="15"/>
      <c r="AF105" s="9"/>
      <c r="AG105" s="15"/>
      <c r="AH105" s="9"/>
      <c r="AI105" s="15"/>
      <c r="AJ105" s="95">
        <f>+SUM(AJ92:AJ104)</f>
        <v>47769.42</v>
      </c>
      <c r="AK105" s="15"/>
      <c r="AL105" s="9"/>
      <c r="AM105" s="15"/>
      <c r="AN105" s="9"/>
      <c r="AO105" s="15"/>
      <c r="AP105" s="15"/>
      <c r="AQ105" s="15"/>
      <c r="AR105" s="15"/>
      <c r="AS105" s="15"/>
      <c r="AT105" s="9"/>
      <c r="AU105" s="15"/>
      <c r="AV105" s="9"/>
      <c r="AW105" s="15"/>
      <c r="AX105" s="9"/>
      <c r="AY105" s="15"/>
      <c r="AZ105" s="9"/>
      <c r="BA105" s="15"/>
      <c r="BB105" s="9"/>
      <c r="BC105" s="15"/>
      <c r="BD105" s="9"/>
      <c r="BE105" s="15"/>
      <c r="BF105" s="9"/>
      <c r="BG105" s="15"/>
      <c r="BH105" s="9"/>
      <c r="BI105" s="15"/>
      <c r="BJ105" s="9"/>
      <c r="BK105" s="1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</row>
    <row r="106" spans="1:92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9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9"/>
      <c r="AA106" s="15"/>
      <c r="AB106" s="9"/>
      <c r="AC106" s="15"/>
      <c r="AD106" s="9"/>
      <c r="AE106" s="15"/>
      <c r="AF106" s="9"/>
      <c r="AG106" s="15"/>
      <c r="AH106" s="9"/>
      <c r="AI106" s="15"/>
      <c r="AJ106" s="9"/>
      <c r="AK106" s="15"/>
      <c r="AL106" s="9"/>
      <c r="AM106" s="15"/>
      <c r="AN106" s="9"/>
      <c r="AO106" s="15"/>
      <c r="AP106" s="9"/>
      <c r="AQ106" s="15"/>
      <c r="AR106" s="9"/>
      <c r="AS106" s="15"/>
      <c r="AT106" s="9"/>
      <c r="AU106" s="15"/>
      <c r="AV106" s="9"/>
      <c r="AW106" s="15"/>
      <c r="AX106" s="9"/>
      <c r="AY106" s="15"/>
      <c r="AZ106" s="9"/>
      <c r="BA106" s="15"/>
      <c r="BB106" s="9"/>
      <c r="BC106" s="15"/>
      <c r="BD106" s="9"/>
      <c r="BE106" s="15"/>
      <c r="BF106" s="9"/>
      <c r="BG106" s="15"/>
      <c r="BH106" s="9"/>
      <c r="BI106" s="15"/>
      <c r="BJ106" s="9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</row>
    <row r="107" spans="1:92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9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9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9"/>
      <c r="AU107" s="15"/>
      <c r="AV107" s="9"/>
      <c r="AW107" s="15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9"/>
      <c r="BI107" s="15"/>
      <c r="BJ107" s="9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</row>
    <row r="108" spans="1:92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9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</row>
    <row r="109" spans="1:92" x14ac:dyDescent="0.25">
      <c r="A109" s="41"/>
      <c r="B109" s="9"/>
      <c r="C109" s="15"/>
      <c r="D109" s="9"/>
      <c r="E109" s="15"/>
      <c r="F109" s="9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9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</row>
    <row r="110" spans="1:92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1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</row>
    <row r="111" spans="1:92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1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11"/>
      <c r="AS111" s="13"/>
      <c r="AT111" s="11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</row>
    <row r="112" spans="1:92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1"/>
      <c r="AA112" s="13"/>
      <c r="AB112" s="11"/>
      <c r="AC112" s="13"/>
      <c r="AD112" s="11"/>
      <c r="AE112" s="1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1"/>
      <c r="AS112" s="13"/>
      <c r="AT112" s="11"/>
      <c r="AU112" s="13"/>
      <c r="AV112" s="11"/>
      <c r="AW112" s="13"/>
      <c r="AX112" s="11"/>
      <c r="AY112" s="13"/>
      <c r="AZ112" s="11"/>
      <c r="BA112" s="13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</row>
    <row r="113" spans="1:92" x14ac:dyDescent="0.25">
      <c r="A113" s="42" t="s">
        <v>7</v>
      </c>
      <c r="B113" s="14">
        <v>2399.8000000000002</v>
      </c>
      <c r="C113" s="23" t="s">
        <v>3919</v>
      </c>
      <c r="D113" s="14"/>
      <c r="E113" s="23"/>
      <c r="F113" s="23">
        <v>1099.01</v>
      </c>
      <c r="G113" s="23" t="s">
        <v>4086</v>
      </c>
      <c r="H113" s="23">
        <v>4464.99</v>
      </c>
      <c r="I113" s="23" t="s">
        <v>4170</v>
      </c>
      <c r="J113" s="14">
        <v>4395.01</v>
      </c>
      <c r="K113" s="23" t="s">
        <v>4178</v>
      </c>
      <c r="L113" s="23">
        <v>4395</v>
      </c>
      <c r="M113" s="23" t="s">
        <v>4278</v>
      </c>
      <c r="N113" s="14"/>
      <c r="O113" s="23"/>
      <c r="P113" s="14"/>
      <c r="Q113" s="23"/>
      <c r="R113" s="14"/>
      <c r="S113" s="23"/>
      <c r="T113" s="14"/>
      <c r="U113" s="23"/>
      <c r="V113" s="14"/>
      <c r="W113" s="23"/>
      <c r="X113" s="14"/>
      <c r="Y113" s="23"/>
      <c r="Z113" s="14"/>
      <c r="AA113" s="23"/>
      <c r="AB113" s="14"/>
      <c r="AC113" s="23"/>
      <c r="AD113" s="14"/>
      <c r="AE113" s="23"/>
      <c r="AF113" s="14"/>
      <c r="AG113" s="23"/>
      <c r="AH113" s="14"/>
      <c r="AI113" s="23"/>
      <c r="AJ113" s="14"/>
      <c r="AK113" s="23"/>
      <c r="AL113" s="14"/>
      <c r="AM113" s="23"/>
      <c r="AN113" s="23">
        <v>4645</v>
      </c>
      <c r="AO113" s="23" t="s">
        <v>4982</v>
      </c>
      <c r="AP113" s="14">
        <v>1970.02</v>
      </c>
      <c r="AQ113" s="23" t="s">
        <v>5023</v>
      </c>
      <c r="AR113" s="14"/>
      <c r="AS113" s="23"/>
      <c r="AT113" s="14">
        <v>1103.3499999999999</v>
      </c>
      <c r="AU113" s="23" t="s">
        <v>5159</v>
      </c>
      <c r="AV113" s="23">
        <v>17933.16</v>
      </c>
      <c r="AW113" s="23" t="s">
        <v>5102</v>
      </c>
      <c r="AX113" s="14"/>
      <c r="AY113" s="23"/>
      <c r="AZ113" s="14"/>
      <c r="BA113" s="23"/>
      <c r="BB113" s="14"/>
      <c r="BC113" s="23"/>
      <c r="BD113" s="14"/>
      <c r="BE113" s="23"/>
      <c r="BF113" s="14"/>
      <c r="BG113" s="23"/>
      <c r="BH113" s="14"/>
      <c r="BI113" s="23"/>
      <c r="BJ113" s="14"/>
      <c r="BK113" s="23"/>
      <c r="BL113" s="14"/>
      <c r="BM113" s="23"/>
      <c r="BN113" s="14"/>
      <c r="BO113" s="23"/>
      <c r="BP113" s="14"/>
      <c r="BQ113" s="23"/>
      <c r="BR113" s="14"/>
      <c r="BS113" s="23"/>
      <c r="BT113" s="14"/>
      <c r="BU113" s="23"/>
      <c r="BV113" s="14"/>
      <c r="BW113" s="23"/>
      <c r="BX113" s="14"/>
      <c r="BY113" s="23"/>
      <c r="BZ113" s="14"/>
      <c r="CA113" s="23"/>
      <c r="CB113" s="14"/>
      <c r="CC113" s="23"/>
      <c r="CD113" s="14"/>
      <c r="CE113" s="23"/>
      <c r="CF113" s="14"/>
      <c r="CG113" s="23"/>
      <c r="CH113" s="14"/>
      <c r="CI113" s="23"/>
      <c r="CJ113" s="14"/>
      <c r="CK113" s="23"/>
      <c r="CL113" s="14"/>
      <c r="CM113" s="23"/>
      <c r="CN113" s="14"/>
    </row>
    <row r="114" spans="1:92" x14ac:dyDescent="0.25">
      <c r="A114" s="42"/>
      <c r="B114" s="14"/>
      <c r="C114" s="23"/>
      <c r="D114" s="14"/>
      <c r="E114" s="23"/>
      <c r="F114" s="14"/>
      <c r="G114" s="23"/>
      <c r="H114" s="14"/>
      <c r="I114" s="23"/>
      <c r="J114" s="14"/>
      <c r="K114" s="23"/>
      <c r="L114" s="14"/>
      <c r="M114" s="23"/>
      <c r="N114" s="14"/>
      <c r="O114" s="23"/>
      <c r="P114" s="14"/>
      <c r="Q114" s="23"/>
      <c r="R114" s="14"/>
      <c r="S114" s="23"/>
      <c r="T114" s="14"/>
      <c r="U114" s="23"/>
      <c r="V114" s="14"/>
      <c r="W114" s="23"/>
      <c r="X114" s="14"/>
      <c r="Y114" s="23"/>
      <c r="Z114" s="14"/>
      <c r="AA114" s="23"/>
      <c r="AB114" s="14"/>
      <c r="AC114" s="23"/>
      <c r="AD114" s="14"/>
      <c r="AE114" s="23"/>
      <c r="AF114" s="14">
        <v>1099</v>
      </c>
      <c r="AG114" s="23" t="s">
        <v>4746</v>
      </c>
      <c r="AH114" s="14"/>
      <c r="AI114" s="23"/>
      <c r="AJ114" s="14"/>
      <c r="AK114" s="23"/>
      <c r="AL114" s="14"/>
      <c r="AM114" s="23"/>
      <c r="AN114" s="14"/>
      <c r="AO114" s="23"/>
      <c r="AP114" s="14">
        <v>4395</v>
      </c>
      <c r="AQ114" s="23" t="s">
        <v>5026</v>
      </c>
      <c r="AR114" s="14"/>
      <c r="AS114" s="23"/>
      <c r="AT114" s="14">
        <v>3169</v>
      </c>
      <c r="AU114" s="23" t="s">
        <v>5172</v>
      </c>
      <c r="AV114" s="14"/>
      <c r="AW114" s="23"/>
      <c r="AX114" s="14"/>
      <c r="AY114" s="23"/>
      <c r="AZ114" s="14"/>
      <c r="BA114" s="23"/>
      <c r="BB114" s="14"/>
      <c r="BC114" s="23"/>
      <c r="BD114" s="14"/>
      <c r="BE114" s="23"/>
      <c r="BF114" s="14"/>
      <c r="BG114" s="23"/>
      <c r="BH114" s="14"/>
      <c r="BI114" s="23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</row>
    <row r="115" spans="1:92" x14ac:dyDescent="0.25">
      <c r="A115" s="42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14"/>
      <c r="AE115" s="23"/>
      <c r="AF115" s="14">
        <v>8781.11</v>
      </c>
      <c r="AG115" s="23" t="s">
        <v>4751</v>
      </c>
      <c r="AH115" s="23"/>
      <c r="AI115" s="23"/>
      <c r="AJ115" s="23"/>
      <c r="AK115" s="23"/>
      <c r="AL115" s="23"/>
      <c r="AM115" s="23"/>
      <c r="AN115" s="23"/>
      <c r="AO115" s="23"/>
      <c r="AP115" s="111">
        <f>+AP113+AP114</f>
        <v>6365.02</v>
      </c>
      <c r="AQ115" s="23"/>
      <c r="AR115" s="23"/>
      <c r="AS115" s="23"/>
      <c r="AT115" s="111">
        <f>+AT113+AT114</f>
        <v>4272.3500000000004</v>
      </c>
      <c r="AU115" s="23"/>
      <c r="AV115" s="23"/>
      <c r="AW115" s="23"/>
      <c r="AX115" s="23"/>
      <c r="AY115" s="23"/>
      <c r="AZ115" s="23"/>
      <c r="BA115" s="23"/>
      <c r="BB115" s="14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</row>
    <row r="116" spans="1:92" x14ac:dyDescent="0.25">
      <c r="A116" s="43"/>
      <c r="B116" s="11"/>
      <c r="C116" s="13"/>
      <c r="D116" s="11"/>
      <c r="E116" s="13"/>
      <c r="F116" s="11"/>
      <c r="G116" s="13"/>
      <c r="H116" s="11"/>
      <c r="I116" s="13"/>
      <c r="J116" s="11"/>
      <c r="K116" s="13"/>
      <c r="L116" s="11"/>
      <c r="M116" s="13"/>
      <c r="N116" s="11"/>
      <c r="O116" s="13"/>
      <c r="P116" s="23"/>
      <c r="Q116" s="13"/>
      <c r="R116" s="23"/>
      <c r="S116" s="13"/>
      <c r="T116" s="11"/>
      <c r="U116" s="13"/>
      <c r="V116" s="11"/>
      <c r="W116" s="13"/>
      <c r="X116" s="11"/>
      <c r="Y116" s="13"/>
      <c r="Z116" s="11"/>
      <c r="AA116" s="13"/>
      <c r="AB116" s="11"/>
      <c r="AC116" s="13"/>
      <c r="AD116" s="15"/>
      <c r="AE116" s="13"/>
      <c r="AF116" s="11">
        <v>1169</v>
      </c>
      <c r="AG116" s="13" t="s">
        <v>4774</v>
      </c>
      <c r="AH116" s="11"/>
      <c r="AI116" s="13"/>
      <c r="AJ116" s="11"/>
      <c r="AK116" s="13"/>
      <c r="AL116" s="11"/>
      <c r="AM116" s="13"/>
      <c r="AN116" s="11"/>
      <c r="AO116" s="13"/>
      <c r="AP116" s="11"/>
      <c r="AQ116" s="13"/>
      <c r="AR116" s="11"/>
      <c r="AS116" s="13"/>
      <c r="AT116" s="11"/>
      <c r="AU116" s="13"/>
      <c r="AV116" s="11"/>
      <c r="AW116" s="13"/>
      <c r="AX116" s="11"/>
      <c r="AY116" s="13"/>
      <c r="AZ116" s="11"/>
      <c r="BA116" s="13"/>
      <c r="BB116" s="15"/>
      <c r="BC116" s="13"/>
      <c r="BD116" s="11"/>
      <c r="BE116" s="13"/>
      <c r="BF116" s="11"/>
      <c r="BG116" s="13"/>
      <c r="BH116" s="11"/>
      <c r="BI116" s="13"/>
      <c r="BJ116" s="11"/>
      <c r="BK116" s="13"/>
      <c r="BL116" s="11"/>
      <c r="BM116" s="13"/>
      <c r="BN116" s="11"/>
      <c r="BO116" s="13"/>
      <c r="BP116" s="11"/>
      <c r="BQ116" s="13"/>
      <c r="BR116" s="11"/>
      <c r="BS116" s="13"/>
      <c r="BT116" s="11"/>
      <c r="BU116" s="13"/>
      <c r="BV116" s="11"/>
      <c r="BW116" s="13"/>
      <c r="BX116" s="11"/>
      <c r="BY116" s="13"/>
      <c r="BZ116" s="11"/>
      <c r="CA116" s="13"/>
      <c r="CB116" s="11"/>
      <c r="CC116" s="13"/>
      <c r="CD116" s="11"/>
      <c r="CE116" s="13"/>
      <c r="CF116" s="11"/>
      <c r="CG116" s="13"/>
      <c r="CH116" s="11"/>
      <c r="CI116" s="13"/>
      <c r="CJ116" s="11"/>
      <c r="CK116" s="13"/>
      <c r="CL116" s="11"/>
      <c r="CM116" s="13"/>
      <c r="CN116" s="11"/>
    </row>
    <row r="117" spans="1:92" x14ac:dyDescent="0.25">
      <c r="A117" s="43"/>
      <c r="B117" s="11"/>
      <c r="C117" s="13"/>
      <c r="D117" s="11"/>
      <c r="E117" s="13"/>
      <c r="F117" s="11"/>
      <c r="G117" s="13"/>
      <c r="H117" s="11"/>
      <c r="I117" s="13"/>
      <c r="J117" s="11"/>
      <c r="K117" s="13"/>
      <c r="L117" s="11"/>
      <c r="M117" s="13"/>
      <c r="N117" s="11"/>
      <c r="O117" s="13"/>
      <c r="P117" s="11"/>
      <c r="Q117" s="13"/>
      <c r="R117" s="11"/>
      <c r="S117" s="13"/>
      <c r="T117" s="11"/>
      <c r="U117" s="13"/>
      <c r="V117" s="11"/>
      <c r="W117" s="13"/>
      <c r="X117" s="11"/>
      <c r="Y117" s="13"/>
      <c r="Z117" s="11"/>
      <c r="AA117" s="13"/>
      <c r="AB117" s="11"/>
      <c r="AC117" s="13"/>
      <c r="AD117" s="11"/>
      <c r="AE117" s="13"/>
      <c r="AF117" s="111">
        <f>+AF116+AF115+AF114</f>
        <v>11049.11</v>
      </c>
      <c r="AG117" s="13"/>
      <c r="AH117" s="11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"/>
      <c r="AS117" s="13"/>
      <c r="AT117" s="11"/>
      <c r="AU117" s="13"/>
      <c r="AV117" s="11"/>
      <c r="AW117" s="13"/>
      <c r="AX117" s="11"/>
      <c r="AY117" s="13"/>
      <c r="AZ117" s="11"/>
      <c r="BA117" s="13"/>
      <c r="BB117" s="11"/>
      <c r="BC117" s="13"/>
      <c r="BD117" s="11"/>
      <c r="BE117" s="13"/>
      <c r="BF117" s="11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</row>
    <row r="118" spans="1:92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11"/>
      <c r="S118" s="13"/>
      <c r="T118" s="11"/>
      <c r="U118" s="13"/>
      <c r="V118" s="11"/>
      <c r="W118" s="13"/>
      <c r="X118" s="11"/>
      <c r="Y118" s="13"/>
      <c r="Z118" s="11"/>
      <c r="AA118" s="13"/>
      <c r="AB118" s="11"/>
      <c r="AC118" s="13"/>
      <c r="AD118" s="11"/>
      <c r="AE118" s="13"/>
      <c r="AF118" s="11"/>
      <c r="AG118" s="13"/>
      <c r="AH118" s="11"/>
      <c r="AI118" s="13"/>
      <c r="AJ118" s="11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11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</row>
    <row r="119" spans="1:92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1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</row>
    <row r="120" spans="1:92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1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</row>
    <row r="121" spans="1:92" x14ac:dyDescent="0.25">
      <c r="A121" s="42" t="s">
        <v>5</v>
      </c>
      <c r="B121" s="14">
        <f>+B70</f>
        <v>33567.409999999996</v>
      </c>
      <c r="C121" s="23"/>
      <c r="D121" s="14">
        <f>+D65+D70</f>
        <v>20349.580000000002</v>
      </c>
      <c r="E121" s="23"/>
      <c r="F121" s="14">
        <f>+F61+F73</f>
        <v>22456.420000000002</v>
      </c>
      <c r="G121" s="23"/>
      <c r="H121" s="14">
        <f>+H64+H83</f>
        <v>71636.75</v>
      </c>
      <c r="I121" s="23"/>
      <c r="J121" s="14">
        <f>+J59+J75</f>
        <v>47358.27</v>
      </c>
      <c r="K121" s="23"/>
      <c r="L121" s="14">
        <f>+L72</f>
        <v>47966.220000000008</v>
      </c>
      <c r="M121" s="23"/>
      <c r="N121" s="14">
        <f>+N76</f>
        <v>37968.06</v>
      </c>
      <c r="O121" s="23"/>
      <c r="P121" s="14">
        <f>+P74+P78</f>
        <v>74333.13</v>
      </c>
      <c r="Q121" s="23"/>
      <c r="R121" s="14">
        <f>+R65+R82</f>
        <v>63884.65</v>
      </c>
      <c r="S121" s="23"/>
      <c r="T121" s="14">
        <f>+T85+T64</f>
        <v>62480.78</v>
      </c>
      <c r="U121" s="23"/>
      <c r="V121" s="14"/>
      <c r="W121" s="23"/>
      <c r="X121" s="14"/>
      <c r="Y121" s="23"/>
      <c r="Z121" s="14"/>
      <c r="AA121" s="23"/>
      <c r="AB121" s="14"/>
      <c r="AC121" s="23"/>
      <c r="AD121" s="14">
        <f>+AD81</f>
        <v>90658.709999999992</v>
      </c>
      <c r="AE121" s="23"/>
      <c r="AF121" s="14">
        <f>+AF73</f>
        <v>56321.859999999993</v>
      </c>
      <c r="AG121" s="23"/>
      <c r="AH121" s="14">
        <f>+AH73</f>
        <v>84320.44</v>
      </c>
      <c r="AI121" s="23"/>
      <c r="AJ121" s="14">
        <f>+AJ68</f>
        <v>24901.629999999994</v>
      </c>
      <c r="AK121" s="23"/>
      <c r="AL121" s="14">
        <f>+AL68</f>
        <v>72399.300000000017</v>
      </c>
      <c r="AM121" s="23"/>
      <c r="AN121" s="14">
        <f>+AN65</f>
        <v>17582.79</v>
      </c>
      <c r="AO121" s="23"/>
      <c r="AP121" s="14">
        <f>+AP67</f>
        <v>52595.51</v>
      </c>
      <c r="AQ121" s="23"/>
      <c r="AR121" s="14">
        <f>+AR75</f>
        <v>53011.039999999994</v>
      </c>
      <c r="AS121" s="23"/>
      <c r="AT121" s="14">
        <f>+AT74</f>
        <v>95233.040000000008</v>
      </c>
      <c r="AU121" s="23"/>
      <c r="AV121" s="14">
        <f>+AV75</f>
        <v>79245.58</v>
      </c>
      <c r="AW121" s="23"/>
      <c r="AX121" s="14"/>
      <c r="AY121" s="23"/>
      <c r="AZ121" s="14">
        <f>+AZ59</f>
        <v>20000</v>
      </c>
      <c r="BA121" s="23"/>
      <c r="BB121" s="14"/>
      <c r="BC121" s="23"/>
      <c r="BD121" s="14"/>
      <c r="BE121" s="23"/>
      <c r="BF121" s="14"/>
      <c r="BG121" s="23"/>
      <c r="BH121" s="14"/>
      <c r="BI121" s="23"/>
      <c r="BJ121" s="14"/>
      <c r="BK121" s="23"/>
      <c r="BL121" s="14"/>
      <c r="BM121" s="23"/>
      <c r="BN121" s="14"/>
      <c r="BO121" s="23"/>
      <c r="BP121" s="14"/>
      <c r="BQ121" s="23"/>
      <c r="BR121" s="14"/>
      <c r="BS121" s="23"/>
      <c r="BT121" s="14"/>
      <c r="BU121" s="23"/>
      <c r="BV121" s="14"/>
      <c r="BW121" s="23"/>
      <c r="BX121" s="14"/>
      <c r="BY121" s="23"/>
      <c r="BZ121" s="14"/>
      <c r="CA121" s="23"/>
      <c r="CB121" s="14"/>
      <c r="CC121" s="23"/>
      <c r="CD121" s="14"/>
      <c r="CE121" s="23"/>
      <c r="CF121" s="14"/>
      <c r="CG121" s="23"/>
      <c r="CH121" s="14"/>
      <c r="CI121" s="23"/>
      <c r="CJ121" s="14"/>
      <c r="CK121" s="23"/>
      <c r="CL121" s="14"/>
      <c r="CM121" s="23"/>
      <c r="CN121" s="14"/>
    </row>
    <row r="122" spans="1:92" x14ac:dyDescent="0.25">
      <c r="A122" s="42" t="s">
        <v>8</v>
      </c>
      <c r="B122" s="14">
        <f>+B98</f>
        <v>29010.11</v>
      </c>
      <c r="C122" s="23"/>
      <c r="D122" s="14">
        <f>+D94+D96</f>
        <v>8837.81</v>
      </c>
      <c r="E122" s="23"/>
      <c r="F122" s="14">
        <f>+F97+F104</f>
        <v>26781.550000000003</v>
      </c>
      <c r="G122" s="23"/>
      <c r="H122" s="14">
        <f>+H94</f>
        <v>11302.01</v>
      </c>
      <c r="I122" s="23"/>
      <c r="J122" s="14">
        <f>+J92+J100</f>
        <v>12340.100000000002</v>
      </c>
      <c r="K122" s="23"/>
      <c r="L122" s="14">
        <f>+L95</f>
        <v>3574.01</v>
      </c>
      <c r="M122" s="23"/>
      <c r="N122" s="14">
        <f>+N99</f>
        <v>12161.51</v>
      </c>
      <c r="O122" s="23"/>
      <c r="P122" s="14">
        <f>+P96+P98</f>
        <v>9267.98</v>
      </c>
      <c r="Q122" s="23"/>
      <c r="R122" s="14">
        <f>+R94+R101</f>
        <v>37067.9</v>
      </c>
      <c r="S122" s="23"/>
      <c r="T122" s="14">
        <f>+T94+T96</f>
        <v>7629.07</v>
      </c>
      <c r="U122" s="23"/>
      <c r="V122" s="14"/>
      <c r="W122" s="23"/>
      <c r="X122" s="14">
        <f>+X92</f>
        <v>5000</v>
      </c>
      <c r="Y122" s="23"/>
      <c r="Z122" s="14">
        <f>+Z73</f>
        <v>41466.549999999996</v>
      </c>
      <c r="AA122" s="23"/>
      <c r="AB122" s="14">
        <f>+AB80</f>
        <v>109085.81999999998</v>
      </c>
      <c r="AC122" s="23"/>
      <c r="AD122" s="14">
        <f>+AD97</f>
        <v>10260.39</v>
      </c>
      <c r="AE122" s="23"/>
      <c r="AF122" s="14">
        <f>+AF100</f>
        <v>12707.220000000001</v>
      </c>
      <c r="AG122" s="23"/>
      <c r="AH122" s="14">
        <f>+AH103</f>
        <v>36199.629999999997</v>
      </c>
      <c r="AI122" s="23"/>
      <c r="AJ122" s="14">
        <f>+AJ105</f>
        <v>47769.42</v>
      </c>
      <c r="AK122" s="23"/>
      <c r="AL122" s="14">
        <f>+AL100</f>
        <v>29317.87</v>
      </c>
      <c r="AM122" s="23"/>
      <c r="AN122" s="14">
        <f>+AN102</f>
        <v>62407.060000000005</v>
      </c>
      <c r="AO122" s="23"/>
      <c r="AP122" s="14">
        <f>+AP93</f>
        <v>1970</v>
      </c>
      <c r="AQ122" s="23"/>
      <c r="AR122" s="14">
        <f>+AR94</f>
        <v>1599.02</v>
      </c>
      <c r="AS122" s="23"/>
      <c r="AT122" s="14">
        <f>+AT101</f>
        <v>51131.979999999996</v>
      </c>
      <c r="AU122" s="23"/>
      <c r="AV122" s="14">
        <f>+AV98</f>
        <v>18294.68</v>
      </c>
      <c r="AW122" s="23"/>
      <c r="AX122" s="14">
        <f>+AX94</f>
        <v>3600</v>
      </c>
      <c r="AY122" s="23"/>
      <c r="AZ122" s="14"/>
      <c r="BA122" s="23" t="s">
        <v>3594</v>
      </c>
      <c r="BB122" s="14"/>
      <c r="BC122" s="23"/>
      <c r="BD122" s="14"/>
      <c r="BE122" s="23"/>
      <c r="BF122" s="14"/>
      <c r="BG122" s="23"/>
      <c r="BH122" s="14"/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</row>
    <row r="123" spans="1:92" x14ac:dyDescent="0.25">
      <c r="A123" s="42" t="s">
        <v>7</v>
      </c>
      <c r="B123" s="14">
        <f>+B113</f>
        <v>2399.8000000000002</v>
      </c>
      <c r="C123" s="23"/>
      <c r="D123" s="14"/>
      <c r="E123" s="23"/>
      <c r="F123" s="14">
        <f>+F113</f>
        <v>1099.01</v>
      </c>
      <c r="G123" s="23"/>
      <c r="H123" s="14">
        <f>+H113</f>
        <v>4464.99</v>
      </c>
      <c r="I123" s="23"/>
      <c r="J123" s="14">
        <f>+J113</f>
        <v>4395.01</v>
      </c>
      <c r="K123" s="23"/>
      <c r="L123" s="14">
        <f>+L113</f>
        <v>4395</v>
      </c>
      <c r="M123" s="23"/>
      <c r="N123" s="14"/>
      <c r="O123" s="23"/>
      <c r="P123" s="14"/>
      <c r="Q123" s="23"/>
      <c r="R123" s="14"/>
      <c r="S123" s="23"/>
      <c r="T123" s="14"/>
      <c r="U123" s="23"/>
      <c r="V123" s="14"/>
      <c r="W123" s="23"/>
      <c r="X123" s="14"/>
      <c r="Y123" s="23"/>
      <c r="Z123" s="14">
        <f>+Z94</f>
        <v>2668.51</v>
      </c>
      <c r="AA123" s="23"/>
      <c r="AB123" s="14">
        <f>+AB98</f>
        <v>11776.42</v>
      </c>
      <c r="AC123" s="23"/>
      <c r="AD123" s="14"/>
      <c r="AE123" s="23"/>
      <c r="AF123" s="14">
        <f>+AF117</f>
        <v>11049.11</v>
      </c>
      <c r="AG123" s="23"/>
      <c r="AH123" s="14"/>
      <c r="AI123" s="23"/>
      <c r="AJ123" s="14"/>
      <c r="AK123" s="23"/>
      <c r="AL123" s="14"/>
      <c r="AM123" s="23"/>
      <c r="AN123" s="14">
        <f>+AN113</f>
        <v>4645</v>
      </c>
      <c r="AO123" s="23"/>
      <c r="AP123" s="14">
        <f>+AP115</f>
        <v>6365.02</v>
      </c>
      <c r="AQ123" s="23"/>
      <c r="AR123" s="14"/>
      <c r="AS123" s="23"/>
      <c r="AT123" s="14">
        <f>+AT115</f>
        <v>4272.3500000000004</v>
      </c>
      <c r="AU123" s="23"/>
      <c r="AV123" s="14">
        <f>+AV113</f>
        <v>17933.16</v>
      </c>
      <c r="AW123" s="23"/>
      <c r="AX123" s="14"/>
      <c r="AY123" s="23"/>
      <c r="AZ123" s="14"/>
      <c r="BA123" s="23"/>
      <c r="BB123" s="14"/>
      <c r="BC123" s="23"/>
      <c r="BD123" s="14"/>
      <c r="BE123" s="23"/>
      <c r="BF123" s="14"/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</row>
    <row r="124" spans="1:92" x14ac:dyDescent="0.25">
      <c r="A124" s="44" t="s">
        <v>9</v>
      </c>
      <c r="B124" s="144">
        <f>+B121+B122+B123</f>
        <v>64977.32</v>
      </c>
      <c r="C124" s="144"/>
      <c r="D124" s="144">
        <f>+D121+D122+D123</f>
        <v>29187.39</v>
      </c>
      <c r="E124" s="144"/>
      <c r="F124" s="144">
        <f>+F121+F122+F123</f>
        <v>50336.98</v>
      </c>
      <c r="G124" s="144"/>
      <c r="H124" s="144">
        <f>+H121+H122+H123</f>
        <v>87403.75</v>
      </c>
      <c r="I124" s="144"/>
      <c r="J124" s="144">
        <f>+J121+J122+J123</f>
        <v>64093.38</v>
      </c>
      <c r="K124" s="144"/>
      <c r="L124" s="144">
        <f>+L121+L122+L123</f>
        <v>55935.23000000001</v>
      </c>
      <c r="M124" s="144"/>
      <c r="N124" s="144">
        <f>+N121+N122+N123</f>
        <v>50129.57</v>
      </c>
      <c r="O124" s="144"/>
      <c r="P124" s="144">
        <f>+P121+P122+P123</f>
        <v>83601.11</v>
      </c>
      <c r="Q124" s="144"/>
      <c r="R124" s="144">
        <f>+R121+R122+R123</f>
        <v>100952.55</v>
      </c>
      <c r="S124" s="144"/>
      <c r="T124" s="144">
        <f>+T121+T122+T123</f>
        <v>70109.850000000006</v>
      </c>
      <c r="U124" s="144"/>
      <c r="V124" s="144"/>
      <c r="W124" s="144"/>
      <c r="X124" s="144">
        <f>+X121+X122+X123</f>
        <v>5000</v>
      </c>
      <c r="Y124" s="144"/>
      <c r="Z124" s="144">
        <f>+Z121+Z122+Z123</f>
        <v>44135.06</v>
      </c>
      <c r="AA124" s="144"/>
      <c r="AB124" s="144">
        <f>+AB121+AB122+AB123</f>
        <v>120862.23999999998</v>
      </c>
      <c r="AC124" s="144"/>
      <c r="AD124" s="144">
        <f>+AD121+AD122+AD123</f>
        <v>100919.09999999999</v>
      </c>
      <c r="AE124" s="144"/>
      <c r="AF124" s="144">
        <f>+AF121+AF122+AF123</f>
        <v>80078.189999999988</v>
      </c>
      <c r="AG124" s="144"/>
      <c r="AH124" s="144">
        <f>+AH121+AH122+AH123</f>
        <v>120520.07</v>
      </c>
      <c r="AI124" s="144"/>
      <c r="AJ124" s="144">
        <f>+AJ121+AJ122+AJ123</f>
        <v>72671.049999999988</v>
      </c>
      <c r="AK124" s="144"/>
      <c r="AL124" s="144">
        <f>+AL121+AL122+AL123</f>
        <v>101717.17000000001</v>
      </c>
      <c r="AM124" s="144"/>
      <c r="AN124" s="144">
        <f>+AN121+AN122+AN123</f>
        <v>84634.85</v>
      </c>
      <c r="AO124" s="144"/>
      <c r="AP124" s="144">
        <f>+AP121+AP122+AP123</f>
        <v>60930.53</v>
      </c>
      <c r="AQ124" s="144"/>
      <c r="AR124" s="144">
        <f>+AR121+AR122+AR123</f>
        <v>54610.05999999999</v>
      </c>
      <c r="AS124" s="144"/>
      <c r="AT124" s="144">
        <f>+AT121+AT122+AT123</f>
        <v>150637.37000000002</v>
      </c>
      <c r="AU124" s="144"/>
      <c r="AV124" s="144">
        <f>+AV121+AV122+AV123</f>
        <v>115473.42000000001</v>
      </c>
      <c r="AW124" s="144"/>
      <c r="AX124" s="144">
        <f>+AX121+AX122+AX123</f>
        <v>3600</v>
      </c>
      <c r="AY124" s="144"/>
      <c r="AZ124" s="144">
        <f>+AZ121+AZ122+AZ123</f>
        <v>20000</v>
      </c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</row>
    <row r="125" spans="1:92" x14ac:dyDescent="0.25">
      <c r="A125" s="44"/>
      <c r="B125" s="144">
        <f>33567.41+29010.11+2399.5</f>
        <v>64977.020000000004</v>
      </c>
      <c r="C125" s="144"/>
      <c r="D125" s="144">
        <f>18001.57+5188.81+2348.01+3649</f>
        <v>29187.39</v>
      </c>
      <c r="E125" s="144"/>
      <c r="F125" s="144">
        <f>5335.01+16735.73+17121.4+10045.82+1099.01</f>
        <v>50336.97</v>
      </c>
      <c r="G125" s="144"/>
      <c r="H125" s="144">
        <f>13044.95+58591.8+11302.01+4464.99</f>
        <v>87403.75</v>
      </c>
      <c r="I125" s="144"/>
      <c r="J125" s="144">
        <f>6899+200.02+4395.01+40459.18+12140.08</f>
        <v>64093.29</v>
      </c>
      <c r="K125" s="144"/>
      <c r="L125" s="144">
        <f>47966.24+3574.02+4395</f>
        <v>55935.259999999995</v>
      </c>
      <c r="M125" s="144"/>
      <c r="N125" s="144">
        <f>37968.07+12161.51</f>
        <v>50129.58</v>
      </c>
      <c r="O125" s="144"/>
      <c r="P125" s="144">
        <f>70581.13+4767.98+3751.99+4500</f>
        <v>83601.100000000006</v>
      </c>
      <c r="Q125" s="144"/>
      <c r="R125" s="144">
        <f>24303.24+7449.43+39581.41+29618.47</f>
        <v>100952.55</v>
      </c>
      <c r="S125" s="144"/>
      <c r="T125" s="144">
        <f>8720.51+6099.08+53760.27+1530</f>
        <v>70109.86</v>
      </c>
      <c r="U125" s="144"/>
      <c r="V125" s="144"/>
      <c r="W125" s="144"/>
      <c r="X125" s="144">
        <v>5000</v>
      </c>
      <c r="Y125" s="144"/>
      <c r="Z125" s="144">
        <f>41466.47+2668.51</f>
        <v>44134.98</v>
      </c>
      <c r="AA125" s="144"/>
      <c r="AB125" s="144">
        <f>109085.66+11776.42</f>
        <v>120862.08</v>
      </c>
      <c r="AC125" s="144"/>
      <c r="AD125" s="144">
        <f>90658.71+10260.39</f>
        <v>100919.1</v>
      </c>
      <c r="AE125" s="144"/>
      <c r="AF125" s="144">
        <f>56321.77+12707.23+11049.11</f>
        <v>80078.11</v>
      </c>
      <c r="AG125" s="144"/>
      <c r="AH125" s="144">
        <f>84320.44+36199.64</f>
        <v>120520.08</v>
      </c>
      <c r="AI125" s="144"/>
      <c r="AJ125" s="144">
        <f>24901.63+47769.44</f>
        <v>72671.070000000007</v>
      </c>
      <c r="AK125" s="144"/>
      <c r="AL125" s="144">
        <f>72399.31+29317.87</f>
        <v>101717.18</v>
      </c>
      <c r="AM125" s="144"/>
      <c r="AN125" s="144">
        <f>17585.8+62407.06+4645</f>
        <v>84637.86</v>
      </c>
      <c r="AO125" s="144"/>
      <c r="AP125" s="144">
        <f>52595.54+1970+6365.02</f>
        <v>60930.559999999998</v>
      </c>
      <c r="AQ125" s="144"/>
      <c r="AR125" s="144">
        <f>53011.04+1599.02</f>
        <v>54610.06</v>
      </c>
      <c r="AS125" s="144"/>
      <c r="AT125" s="144">
        <f>95233.04+51131.99+4272.35</f>
        <v>150637.38</v>
      </c>
      <c r="AU125" s="144"/>
      <c r="AV125" s="144">
        <f>79245.56+18294.68+17933.16</f>
        <v>115473.4</v>
      </c>
      <c r="AW125" s="144"/>
      <c r="AX125" s="144">
        <v>3600</v>
      </c>
      <c r="AY125" s="144"/>
      <c r="AZ125" s="144">
        <v>20000</v>
      </c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</row>
    <row r="126" spans="1:92" x14ac:dyDescent="0.25">
      <c r="A126" s="44" t="s">
        <v>3</v>
      </c>
      <c r="B126" s="145">
        <f>+B124-B125</f>
        <v>0.29999999999563443</v>
      </c>
      <c r="C126" s="145"/>
      <c r="D126" s="145">
        <f>+D124-D125</f>
        <v>0</v>
      </c>
      <c r="E126" s="145"/>
      <c r="F126" s="145">
        <f>+F124-F125</f>
        <v>1.0000000002037268E-2</v>
      </c>
      <c r="G126" s="145"/>
      <c r="H126" s="145">
        <f>+H124-H125</f>
        <v>0</v>
      </c>
      <c r="I126" s="145"/>
      <c r="J126" s="145">
        <f>+J124-J125</f>
        <v>8.999999999650754E-2</v>
      </c>
      <c r="K126" s="145"/>
      <c r="L126" s="145">
        <f>+L124-L125</f>
        <v>-2.9999999984283932E-2</v>
      </c>
      <c r="M126" s="145"/>
      <c r="N126" s="145">
        <f>+N124-N125</f>
        <v>-1.0000000002037268E-2</v>
      </c>
      <c r="O126" s="145"/>
      <c r="P126" s="145">
        <f>+P124-P125</f>
        <v>9.9999999947613105E-3</v>
      </c>
      <c r="Q126" s="145"/>
      <c r="R126" s="145">
        <f>+R124-R125</f>
        <v>0</v>
      </c>
      <c r="S126" s="145"/>
      <c r="T126" s="145">
        <f>+T124-T125</f>
        <v>-9.9999999947613105E-3</v>
      </c>
      <c r="U126" s="145"/>
      <c r="V126" s="145"/>
      <c r="W126" s="145"/>
      <c r="X126" s="145">
        <f>+X124-X125</f>
        <v>0</v>
      </c>
      <c r="Y126" s="145"/>
      <c r="Z126" s="145">
        <f>+Z124-Z125</f>
        <v>7.9999999994470272E-2</v>
      </c>
      <c r="AA126" s="145"/>
      <c r="AB126" s="145">
        <f>+AB124-AB125</f>
        <v>0.15999999997438863</v>
      </c>
      <c r="AC126" s="145"/>
      <c r="AD126" s="145">
        <f>+AD124-AD125</f>
        <v>0</v>
      </c>
      <c r="AE126" s="145"/>
      <c r="AF126" s="145">
        <f>+AF124-AF125</f>
        <v>7.9999999987194315E-2</v>
      </c>
      <c r="AG126" s="145"/>
      <c r="AH126" s="145">
        <f>+AH124-AH125</f>
        <v>-9.9999999947613105E-3</v>
      </c>
      <c r="AI126" s="145"/>
      <c r="AJ126" s="145">
        <f>+AJ124-AJ125</f>
        <v>-2.0000000018626451E-2</v>
      </c>
      <c r="AK126" s="145"/>
      <c r="AL126" s="145">
        <f>+AL124-AL125</f>
        <v>-9.9999999802093953E-3</v>
      </c>
      <c r="AM126" s="145"/>
      <c r="AN126" s="145">
        <f>+AN124-AN125</f>
        <v>-3.0099999999947613</v>
      </c>
      <c r="AO126" s="145"/>
      <c r="AP126" s="145">
        <f>+AP124-AP125</f>
        <v>-2.9999999998835847E-2</v>
      </c>
      <c r="AQ126" s="145"/>
      <c r="AR126" s="145">
        <f>+AR124-AR125</f>
        <v>0</v>
      </c>
      <c r="AS126" s="145"/>
      <c r="AT126" s="145">
        <f>+AT124-AT125</f>
        <v>-9.9999999802093953E-3</v>
      </c>
      <c r="AU126" s="145"/>
      <c r="AV126" s="145">
        <f>+AV124-AV125</f>
        <v>2.0000000018626451E-2</v>
      </c>
      <c r="AW126" s="145"/>
      <c r="AX126" s="145">
        <f>+AX124-AX125</f>
        <v>0</v>
      </c>
      <c r="AY126" s="145"/>
      <c r="AZ126" s="145">
        <f>+AZ124-AZ125</f>
        <v>0</v>
      </c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5"/>
      <c r="BX126" s="145"/>
      <c r="BY126" s="145"/>
      <c r="BZ126" s="145"/>
      <c r="CA126" s="145"/>
      <c r="CB126" s="145"/>
      <c r="CC126" s="145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</row>
    <row r="127" spans="1:92" x14ac:dyDescent="0.25">
      <c r="A127" s="48"/>
      <c r="B127" s="18"/>
      <c r="C127" s="59"/>
      <c r="D127" s="18"/>
      <c r="E127" s="59"/>
      <c r="F127" s="18"/>
      <c r="G127" s="59"/>
      <c r="H127" s="18"/>
      <c r="I127" s="59"/>
      <c r="J127" s="18"/>
      <c r="K127" s="59"/>
      <c r="L127" s="145"/>
      <c r="M127" s="59"/>
      <c r="N127" s="18"/>
      <c r="O127" s="59"/>
      <c r="P127" s="18"/>
      <c r="Q127" s="59"/>
      <c r="R127" s="18"/>
      <c r="S127" s="59"/>
      <c r="T127" s="18"/>
      <c r="U127" s="59"/>
      <c r="V127" s="18"/>
      <c r="W127" s="59"/>
      <c r="X127" s="18"/>
      <c r="Y127" s="59"/>
      <c r="Z127" s="18"/>
      <c r="AA127" s="59"/>
      <c r="AB127" s="18"/>
      <c r="AC127" s="59"/>
      <c r="AD127" s="18"/>
      <c r="AE127" s="59"/>
      <c r="AF127" s="18"/>
      <c r="AG127" s="59"/>
      <c r="AH127" s="18"/>
      <c r="AI127" s="59"/>
      <c r="AJ127" s="18"/>
      <c r="AK127" s="59"/>
      <c r="AL127" s="18"/>
      <c r="AM127" s="59"/>
      <c r="AN127" s="18"/>
      <c r="AO127" s="59"/>
      <c r="AP127" s="18"/>
      <c r="AQ127" s="59"/>
      <c r="AR127" s="18"/>
      <c r="AS127" s="59"/>
      <c r="AT127" s="18"/>
      <c r="AU127" s="59"/>
      <c r="AV127" s="18"/>
      <c r="AW127" s="59"/>
      <c r="AX127" s="18"/>
      <c r="AY127" s="59"/>
      <c r="AZ127" s="18"/>
      <c r="BA127" s="59"/>
      <c r="BB127" s="18"/>
      <c r="BC127" s="59"/>
      <c r="BD127" s="18"/>
      <c r="BE127" s="59"/>
      <c r="BF127" s="18"/>
      <c r="BG127" s="59"/>
      <c r="BH127" s="18"/>
      <c r="BI127" s="59"/>
      <c r="BJ127" s="18"/>
      <c r="BK127" s="59"/>
      <c r="BL127" s="18"/>
      <c r="BM127" s="59"/>
      <c r="BN127" s="18"/>
      <c r="BO127" s="59"/>
      <c r="BP127" s="18"/>
      <c r="BQ127" s="59"/>
      <c r="BR127" s="18"/>
      <c r="BS127" s="59"/>
      <c r="BT127" s="18"/>
      <c r="BU127" s="59"/>
      <c r="BV127" s="18"/>
      <c r="BW127" s="59"/>
      <c r="BX127" s="18"/>
      <c r="BY127" s="59"/>
      <c r="BZ127" s="18"/>
      <c r="CA127" s="59"/>
      <c r="CB127" s="18"/>
      <c r="CC127" s="59"/>
      <c r="CD127" s="6"/>
      <c r="CE127" s="56"/>
      <c r="CF127" s="6"/>
      <c r="CG127" s="56"/>
      <c r="CH127" s="6"/>
      <c r="CI127" s="56"/>
      <c r="CJ127" s="6"/>
      <c r="CK127" s="56"/>
      <c r="CL127" s="6"/>
      <c r="CM127" s="56"/>
      <c r="CN127" s="6"/>
    </row>
    <row r="128" spans="1:92" x14ac:dyDescent="0.25">
      <c r="A128" s="48"/>
      <c r="B128" s="18"/>
      <c r="C128" s="59"/>
      <c r="D128" s="18"/>
      <c r="E128" s="59"/>
      <c r="F128" s="18"/>
      <c r="G128" s="59"/>
      <c r="H128" s="18"/>
      <c r="I128" s="59"/>
      <c r="J128" s="18"/>
      <c r="K128" s="59"/>
      <c r="L128" s="18"/>
      <c r="M128" s="59"/>
      <c r="N128" s="18"/>
      <c r="O128" s="59"/>
      <c r="P128" s="18"/>
      <c r="Q128" s="59"/>
      <c r="R128" s="18"/>
      <c r="S128" s="59"/>
      <c r="T128" s="18"/>
      <c r="U128" s="59"/>
      <c r="V128" s="18"/>
      <c r="W128" s="59"/>
      <c r="X128" s="18"/>
      <c r="Y128" s="59"/>
      <c r="Z128" s="18"/>
      <c r="AA128" s="59"/>
      <c r="AB128" s="18"/>
      <c r="AC128" s="59"/>
      <c r="AD128" s="18"/>
      <c r="AE128" s="59"/>
      <c r="AF128" s="18"/>
      <c r="AG128" s="59"/>
      <c r="AH128" s="18"/>
      <c r="AI128" s="59"/>
      <c r="AJ128" s="18"/>
      <c r="AK128" s="59"/>
      <c r="AL128" s="18"/>
      <c r="AM128" s="59"/>
      <c r="AN128" s="18"/>
      <c r="AO128" s="59"/>
      <c r="AP128" s="18"/>
      <c r="AQ128" s="59"/>
      <c r="AR128" s="18"/>
      <c r="AS128" s="59"/>
      <c r="AT128" s="18"/>
      <c r="AU128" s="59"/>
      <c r="AV128" s="18"/>
      <c r="AW128" s="59"/>
      <c r="AX128" s="18"/>
      <c r="AY128" s="59"/>
      <c r="AZ128" s="18"/>
      <c r="BA128" s="59"/>
      <c r="BB128" s="18"/>
      <c r="BC128" s="59"/>
      <c r="BD128" s="18"/>
      <c r="BE128" s="59"/>
      <c r="BF128" s="18"/>
      <c r="BG128" s="59"/>
      <c r="BH128" s="18"/>
      <c r="BI128" s="59"/>
      <c r="BJ128" s="18"/>
      <c r="BK128" s="59"/>
      <c r="BL128" s="18"/>
      <c r="BM128" s="59"/>
      <c r="BN128" s="18"/>
      <c r="BO128" s="59"/>
      <c r="BP128" s="18"/>
      <c r="BQ128" s="59"/>
      <c r="BR128" s="18"/>
      <c r="BS128" s="59"/>
      <c r="BT128" s="18"/>
      <c r="BU128" s="59"/>
      <c r="BV128" s="18"/>
      <c r="BW128" s="59"/>
      <c r="BX128" s="18"/>
      <c r="BY128" s="59"/>
      <c r="BZ128" s="18"/>
      <c r="CA128" s="59"/>
      <c r="CB128" s="18"/>
      <c r="CC128" s="59"/>
      <c r="CD128" s="6"/>
      <c r="CE128" s="56"/>
      <c r="CF128" s="6"/>
      <c r="CG128" s="56"/>
      <c r="CH128" s="6"/>
      <c r="CI128" s="56"/>
      <c r="CJ128" s="6"/>
      <c r="CK128" s="56"/>
      <c r="CL128" s="6"/>
      <c r="CM128" s="56"/>
      <c r="CN128" s="6"/>
    </row>
    <row r="129" spans="1:92" x14ac:dyDescent="0.25">
      <c r="A129" s="37" t="s">
        <v>10</v>
      </c>
      <c r="B129" s="164">
        <v>42826</v>
      </c>
      <c r="C129" s="118"/>
      <c r="D129" s="164">
        <v>42828</v>
      </c>
      <c r="E129" s="118"/>
      <c r="F129" s="164">
        <v>42829</v>
      </c>
      <c r="G129" s="118"/>
      <c r="H129" s="164">
        <v>42830</v>
      </c>
      <c r="I129" s="118"/>
      <c r="J129" s="164">
        <v>42831</v>
      </c>
      <c r="K129" s="118"/>
      <c r="L129" s="164">
        <v>42832</v>
      </c>
      <c r="M129" s="118"/>
      <c r="N129" s="164">
        <v>42833</v>
      </c>
      <c r="O129" s="118"/>
      <c r="P129" s="164">
        <v>42835</v>
      </c>
      <c r="Q129" s="118"/>
      <c r="R129" s="164">
        <v>42836</v>
      </c>
      <c r="S129" s="118"/>
      <c r="T129" s="22">
        <v>42837</v>
      </c>
      <c r="U129" s="118"/>
      <c r="V129" s="22">
        <v>42779</v>
      </c>
      <c r="W129" s="118"/>
      <c r="X129" s="164">
        <v>42840</v>
      </c>
      <c r="Y129" s="118"/>
      <c r="Z129" s="175">
        <v>42811</v>
      </c>
      <c r="AA129" s="118"/>
      <c r="AB129" s="164">
        <v>42843</v>
      </c>
      <c r="AC129" s="118"/>
      <c r="AD129" s="164">
        <v>42844</v>
      </c>
      <c r="AE129" s="118"/>
      <c r="AF129" s="164">
        <v>42845</v>
      </c>
      <c r="AG129" s="119"/>
      <c r="AH129" s="164">
        <v>42846</v>
      </c>
      <c r="AI129" s="118"/>
      <c r="AJ129" s="164">
        <v>42847</v>
      </c>
      <c r="AK129" s="118"/>
      <c r="AL129" s="164">
        <v>42849</v>
      </c>
      <c r="AM129" s="118"/>
      <c r="AN129" s="164">
        <v>42850</v>
      </c>
      <c r="AO129" s="118"/>
      <c r="AP129" s="164">
        <v>42851</v>
      </c>
      <c r="AQ129" s="118"/>
      <c r="AR129" s="164">
        <v>42852</v>
      </c>
      <c r="AS129" s="118"/>
      <c r="AT129" s="164">
        <v>42853</v>
      </c>
      <c r="AU129" s="118"/>
      <c r="AV129" s="164">
        <v>42854</v>
      </c>
      <c r="AW129" s="118"/>
      <c r="AX129" s="164">
        <v>42855</v>
      </c>
      <c r="AY129" s="118"/>
      <c r="AZ129" s="118" t="s">
        <v>5252</v>
      </c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18"/>
      <c r="BX129" s="118"/>
      <c r="BY129" s="118"/>
      <c r="BZ129" s="118"/>
      <c r="CA129" s="118"/>
      <c r="CB129" s="118"/>
      <c r="CC129" s="118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</row>
    <row r="130" spans="1:92" x14ac:dyDescent="0.25">
      <c r="A130" s="40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9"/>
      <c r="X130" s="22"/>
      <c r="Y130" s="22"/>
      <c r="Z130" s="22"/>
      <c r="AA130" s="22"/>
      <c r="AB130" s="22"/>
      <c r="AC130" s="22"/>
      <c r="AD130" s="22"/>
      <c r="AE130" s="22"/>
      <c r="AF130" s="22"/>
      <c r="AG130" s="20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</row>
    <row r="131" spans="1:92" x14ac:dyDescent="0.25">
      <c r="A131" s="45"/>
      <c r="B131" s="29">
        <v>14351.45</v>
      </c>
      <c r="C131" s="166" t="s">
        <v>3918</v>
      </c>
      <c r="D131" s="29">
        <v>72400</v>
      </c>
      <c r="E131" s="166" t="s">
        <v>4005</v>
      </c>
      <c r="F131" s="29">
        <v>2458</v>
      </c>
      <c r="G131" s="24" t="s">
        <v>4039</v>
      </c>
      <c r="H131" s="29">
        <v>320000</v>
      </c>
      <c r="I131" s="24" t="s">
        <v>4111</v>
      </c>
      <c r="J131" s="29">
        <v>343500</v>
      </c>
      <c r="K131" s="24" t="s">
        <v>4174</v>
      </c>
      <c r="L131" s="29">
        <v>100000</v>
      </c>
      <c r="M131" s="24" t="s">
        <v>4234</v>
      </c>
      <c r="N131" s="29">
        <v>261332.65</v>
      </c>
      <c r="O131" s="24" t="s">
        <v>4334</v>
      </c>
      <c r="P131" s="29">
        <v>25000</v>
      </c>
      <c r="Q131" s="24" t="s">
        <v>4287</v>
      </c>
      <c r="R131" s="29">
        <v>20000</v>
      </c>
      <c r="S131" s="24" t="s">
        <v>4395</v>
      </c>
      <c r="T131" s="29">
        <v>5000</v>
      </c>
      <c r="U131" s="24" t="s">
        <v>4443</v>
      </c>
      <c r="V131" s="29">
        <v>20000</v>
      </c>
      <c r="W131" s="15" t="s">
        <v>4528</v>
      </c>
      <c r="X131" s="94">
        <v>11678.96</v>
      </c>
      <c r="Y131" s="24" t="s">
        <v>4517</v>
      </c>
      <c r="Z131" s="29">
        <v>10000</v>
      </c>
      <c r="AA131" s="24" t="s">
        <v>4555</v>
      </c>
      <c r="AB131" s="29">
        <v>100000</v>
      </c>
      <c r="AC131" s="85" t="s">
        <v>4603</v>
      </c>
      <c r="AD131" s="29">
        <v>66000</v>
      </c>
      <c r="AE131" s="85" t="s">
        <v>4675</v>
      </c>
      <c r="AF131" s="29">
        <v>90000</v>
      </c>
      <c r="AG131" s="180" t="s">
        <v>4728</v>
      </c>
      <c r="AH131" s="29">
        <v>60000</v>
      </c>
      <c r="AI131" s="85" t="s">
        <v>4793</v>
      </c>
      <c r="AJ131" s="29">
        <v>30712.25</v>
      </c>
      <c r="AK131" s="24" t="s">
        <v>4850</v>
      </c>
      <c r="AL131" s="29">
        <v>178684.09</v>
      </c>
      <c r="AM131" s="24" t="s">
        <v>4899</v>
      </c>
      <c r="AN131" s="29">
        <v>7828.78</v>
      </c>
      <c r="AO131" s="184" t="s">
        <v>4944</v>
      </c>
      <c r="AP131" s="29">
        <v>20000</v>
      </c>
      <c r="AQ131" s="24" t="s">
        <v>5000</v>
      </c>
      <c r="AR131" s="104">
        <v>110000</v>
      </c>
      <c r="AS131" s="72" t="s">
        <v>5037</v>
      </c>
      <c r="AT131" s="29">
        <v>95000</v>
      </c>
      <c r="AU131" s="24" t="s">
        <v>5145</v>
      </c>
      <c r="AV131" s="29">
        <v>20000</v>
      </c>
      <c r="AW131" s="24" t="s">
        <v>5092</v>
      </c>
      <c r="AX131" s="29"/>
      <c r="AY131" s="24"/>
      <c r="AZ131" s="29">
        <v>5000</v>
      </c>
      <c r="BA131" s="24" t="s">
        <v>5253</v>
      </c>
      <c r="BB131" s="29"/>
      <c r="BC131" s="24"/>
      <c r="BD131" s="29"/>
      <c r="BE131" s="24"/>
      <c r="BF131" s="29"/>
      <c r="BG131" s="24"/>
      <c r="BH131" s="29"/>
      <c r="BI131" s="24"/>
      <c r="BJ131" s="29"/>
      <c r="BK131" s="24"/>
      <c r="BL131" s="29"/>
      <c r="BM131" s="24"/>
      <c r="BN131" s="29"/>
      <c r="BO131" s="158"/>
      <c r="BP131" s="29"/>
      <c r="BQ131" s="24"/>
      <c r="BR131" s="29"/>
      <c r="BS131" s="24"/>
      <c r="BT131" s="29"/>
      <c r="BU131" s="24"/>
      <c r="BV131" s="29"/>
      <c r="BW131" s="24"/>
      <c r="BX131" s="29"/>
      <c r="BY131" s="24"/>
      <c r="BZ131" s="29"/>
      <c r="CA131" s="24"/>
      <c r="CB131" s="29"/>
      <c r="CC131" s="24"/>
      <c r="CD131" s="29"/>
      <c r="CE131" s="24"/>
      <c r="CF131" s="29"/>
      <c r="CG131" s="24"/>
      <c r="CH131" s="29"/>
      <c r="CI131" s="24"/>
      <c r="CJ131" s="29"/>
      <c r="CK131" s="24"/>
      <c r="CL131" s="29"/>
      <c r="CM131" s="24"/>
      <c r="CN131" s="29"/>
    </row>
    <row r="132" spans="1:92" x14ac:dyDescent="0.25">
      <c r="A132" s="45"/>
      <c r="B132" s="29">
        <v>8742.1200000000008</v>
      </c>
      <c r="C132" s="166" t="s">
        <v>3926</v>
      </c>
      <c r="D132" s="29">
        <v>15000</v>
      </c>
      <c r="E132" s="166" t="s">
        <v>4004</v>
      </c>
      <c r="F132" s="29">
        <v>7798.61</v>
      </c>
      <c r="G132" s="24" t="s">
        <v>4049</v>
      </c>
      <c r="H132" s="29">
        <v>5000</v>
      </c>
      <c r="I132" s="24" t="s">
        <v>4117</v>
      </c>
      <c r="J132" s="29">
        <v>20000</v>
      </c>
      <c r="K132" s="24" t="s">
        <v>4175</v>
      </c>
      <c r="L132" s="29">
        <v>150000</v>
      </c>
      <c r="M132" s="24" t="s">
        <v>4235</v>
      </c>
      <c r="N132" s="29">
        <v>1970</v>
      </c>
      <c r="O132" s="24" t="s">
        <v>4342</v>
      </c>
      <c r="P132" s="29">
        <v>63455.839999999997</v>
      </c>
      <c r="Q132" s="24" t="s">
        <v>4288</v>
      </c>
      <c r="R132" s="29">
        <v>396400</v>
      </c>
      <c r="S132" s="24" t="s">
        <v>4400</v>
      </c>
      <c r="T132" s="29">
        <v>10000</v>
      </c>
      <c r="U132" s="24" t="s">
        <v>4446</v>
      </c>
      <c r="V132" s="29"/>
      <c r="W132" s="24"/>
      <c r="X132" s="29"/>
      <c r="Y132" s="24"/>
      <c r="Z132" s="29">
        <v>81016.800000000003</v>
      </c>
      <c r="AA132" s="24" t="s">
        <v>4556</v>
      </c>
      <c r="AB132" s="29">
        <f>4000+35000</f>
        <v>39000</v>
      </c>
      <c r="AC132" s="85" t="s">
        <v>4604</v>
      </c>
      <c r="AD132" s="29">
        <v>198000</v>
      </c>
      <c r="AE132" s="85" t="s">
        <v>4676</v>
      </c>
      <c r="AF132" s="29">
        <v>110195</v>
      </c>
      <c r="AG132" s="180" t="s">
        <v>4730</v>
      </c>
      <c r="AH132" s="29">
        <v>14211</v>
      </c>
      <c r="AI132" s="85" t="s">
        <v>4799</v>
      </c>
      <c r="AJ132" s="29">
        <v>20000</v>
      </c>
      <c r="AK132" s="24" t="s">
        <v>4851</v>
      </c>
      <c r="AL132" s="29">
        <v>150135.6</v>
      </c>
      <c r="AM132" s="24" t="s">
        <v>4901</v>
      </c>
      <c r="AN132" s="29">
        <v>64498.77</v>
      </c>
      <c r="AO132" s="184" t="s">
        <v>4945</v>
      </c>
      <c r="AP132" s="29">
        <v>50000</v>
      </c>
      <c r="AQ132" s="24" t="s">
        <v>5001</v>
      </c>
      <c r="AR132" s="104">
        <v>71080.149999999994</v>
      </c>
      <c r="AS132" s="72" t="s">
        <v>5036</v>
      </c>
      <c r="AT132" s="29">
        <v>343500</v>
      </c>
      <c r="AU132" s="24" t="s">
        <v>5146</v>
      </c>
      <c r="AV132" s="29">
        <v>20000</v>
      </c>
      <c r="AW132" s="24" t="s">
        <v>5093</v>
      </c>
      <c r="AX132" s="29"/>
      <c r="AY132" s="24"/>
      <c r="AZ132" s="96">
        <v>80500</v>
      </c>
      <c r="BA132" s="15" t="s">
        <v>5260</v>
      </c>
      <c r="BB132" s="29"/>
      <c r="BC132" s="24"/>
      <c r="BD132" s="29"/>
      <c r="BE132" s="24"/>
      <c r="BF132" s="29"/>
      <c r="BG132" s="24"/>
      <c r="BH132" s="29"/>
      <c r="BI132" s="24"/>
      <c r="BJ132" s="29"/>
      <c r="BK132" s="24"/>
      <c r="BL132" s="29"/>
      <c r="BM132" s="24"/>
      <c r="BN132" s="29"/>
      <c r="BO132" s="158"/>
      <c r="BP132" s="29"/>
      <c r="BQ132" s="24"/>
      <c r="BR132" s="29"/>
      <c r="BS132" s="24"/>
      <c r="BT132" s="29"/>
      <c r="BU132" s="24"/>
      <c r="BV132" s="29"/>
      <c r="BW132" s="24"/>
      <c r="BX132" s="29"/>
      <c r="BY132" s="24"/>
      <c r="BZ132" s="29"/>
      <c r="CA132" s="24"/>
      <c r="CB132" s="29"/>
      <c r="CC132" s="24"/>
      <c r="CD132" s="29"/>
      <c r="CE132" s="24"/>
      <c r="CF132" s="29"/>
      <c r="CG132" s="24"/>
      <c r="CH132" s="29"/>
      <c r="CI132" s="24"/>
      <c r="CJ132" s="29"/>
      <c r="CK132" s="24"/>
      <c r="CL132" s="29"/>
      <c r="CM132" s="24"/>
      <c r="CN132" s="29"/>
    </row>
    <row r="133" spans="1:92" x14ac:dyDescent="0.25">
      <c r="A133" s="45"/>
      <c r="B133" s="29">
        <v>3169</v>
      </c>
      <c r="C133" s="166" t="s">
        <v>3931</v>
      </c>
      <c r="D133" s="96">
        <v>40000</v>
      </c>
      <c r="E133" s="162" t="s">
        <v>4007</v>
      </c>
      <c r="F133" s="97">
        <f>+F131+F132</f>
        <v>10256.61</v>
      </c>
      <c r="G133" s="24"/>
      <c r="H133" s="29">
        <v>20000</v>
      </c>
      <c r="I133" s="24" t="s">
        <v>4119</v>
      </c>
      <c r="J133" s="29">
        <v>1171.01</v>
      </c>
      <c r="K133" s="24" t="s">
        <v>4177</v>
      </c>
      <c r="L133" s="29">
        <v>37200</v>
      </c>
      <c r="M133" s="171" t="s">
        <v>4236</v>
      </c>
      <c r="N133" s="29">
        <v>4146</v>
      </c>
      <c r="O133" s="24" t="s">
        <v>4350</v>
      </c>
      <c r="P133" s="29">
        <v>34460</v>
      </c>
      <c r="Q133" s="24" t="s">
        <v>4291</v>
      </c>
      <c r="R133" s="29">
        <v>643400</v>
      </c>
      <c r="S133" s="24" t="s">
        <v>4401</v>
      </c>
      <c r="T133" s="29">
        <v>243200</v>
      </c>
      <c r="U133" s="24" t="s">
        <v>4448</v>
      </c>
      <c r="V133" s="29"/>
      <c r="W133" s="24"/>
      <c r="X133" s="29"/>
      <c r="Y133" s="24"/>
      <c r="Z133" s="29">
        <v>240000</v>
      </c>
      <c r="AA133" s="24" t="s">
        <v>4557</v>
      </c>
      <c r="AB133" s="29">
        <v>1800</v>
      </c>
      <c r="AC133" s="85" t="s">
        <v>4605</v>
      </c>
      <c r="AD133" s="29">
        <v>192800</v>
      </c>
      <c r="AE133" s="85" t="s">
        <v>4679</v>
      </c>
      <c r="AF133" s="29">
        <v>10000</v>
      </c>
      <c r="AG133" s="180" t="s">
        <v>4731</v>
      </c>
      <c r="AH133" s="29">
        <v>95137</v>
      </c>
      <c r="AI133" s="85" t="s">
        <v>4800</v>
      </c>
      <c r="AJ133" s="29">
        <v>25891.439999999999</v>
      </c>
      <c r="AK133" s="24" t="s">
        <v>4860</v>
      </c>
      <c r="AL133" s="29">
        <v>170000</v>
      </c>
      <c r="AM133" s="24" t="s">
        <v>4902</v>
      </c>
      <c r="AN133" s="29">
        <v>64498.77</v>
      </c>
      <c r="AO133" s="184" t="s">
        <v>4946</v>
      </c>
      <c r="AP133" s="29">
        <v>30000</v>
      </c>
      <c r="AQ133" s="24" t="s">
        <v>5002</v>
      </c>
      <c r="AR133" s="29">
        <v>343500</v>
      </c>
      <c r="AS133" s="24" t="s">
        <v>5041</v>
      </c>
      <c r="AT133" s="29">
        <v>100000</v>
      </c>
      <c r="AU133" s="24" t="s">
        <v>5152</v>
      </c>
      <c r="AV133" s="29">
        <f>40000+109600</f>
        <v>149600</v>
      </c>
      <c r="AW133" s="24" t="s">
        <v>5094</v>
      </c>
      <c r="AX133" s="29"/>
      <c r="AY133" s="24"/>
      <c r="AZ133" s="97">
        <f>+AZ131+AZ132</f>
        <v>85500</v>
      </c>
      <c r="BA133" s="24"/>
      <c r="BB133" s="94"/>
      <c r="BC133" s="24"/>
      <c r="BD133" s="29"/>
      <c r="BE133" s="24"/>
      <c r="BF133" s="29"/>
      <c r="BG133" s="24"/>
      <c r="BH133" s="29"/>
      <c r="BI133" s="24"/>
      <c r="BJ133" s="29"/>
      <c r="BK133" s="24"/>
      <c r="BL133" s="29"/>
      <c r="BM133" s="24"/>
      <c r="BN133" s="29"/>
      <c r="BO133" s="158"/>
      <c r="BP133" s="29"/>
      <c r="BQ133" s="24"/>
      <c r="BR133" s="29"/>
      <c r="BS133" s="24"/>
      <c r="BT133" s="29"/>
      <c r="BU133" s="24"/>
      <c r="BV133" s="29"/>
      <c r="BW133" s="24"/>
      <c r="BX133" s="29"/>
      <c r="BY133" s="24"/>
      <c r="BZ133" s="29"/>
      <c r="CA133" s="24"/>
      <c r="CB133" s="29"/>
      <c r="CC133" s="24"/>
      <c r="CD133" s="29"/>
      <c r="CE133" s="24"/>
      <c r="CF133" s="29"/>
      <c r="CG133" s="24"/>
      <c r="CH133" s="29"/>
      <c r="CI133" s="24"/>
      <c r="CJ133" s="29"/>
      <c r="CK133" s="24"/>
      <c r="CL133" s="29"/>
      <c r="CM133" s="24"/>
      <c r="CN133" s="29"/>
    </row>
    <row r="134" spans="1:92" x14ac:dyDescent="0.25">
      <c r="A134" s="45"/>
      <c r="B134" s="29">
        <v>971.06</v>
      </c>
      <c r="C134" s="166" t="s">
        <v>3932</v>
      </c>
      <c r="D134" s="29">
        <v>5000</v>
      </c>
      <c r="E134" s="166" t="s">
        <v>4008</v>
      </c>
      <c r="F134" s="29"/>
      <c r="G134" s="24"/>
      <c r="H134" s="29">
        <v>20000</v>
      </c>
      <c r="I134" s="24" t="s">
        <v>4120</v>
      </c>
      <c r="J134" s="29">
        <v>3169</v>
      </c>
      <c r="K134" s="24" t="s">
        <v>4180</v>
      </c>
      <c r="L134" s="29">
        <v>93667.35</v>
      </c>
      <c r="M134" s="24" t="s">
        <v>4239</v>
      </c>
      <c r="N134" s="29">
        <v>3250</v>
      </c>
      <c r="O134" s="24" t="s">
        <v>4354</v>
      </c>
      <c r="P134" s="29">
        <v>120225</v>
      </c>
      <c r="Q134" s="24" t="s">
        <v>2251</v>
      </c>
      <c r="R134" s="29">
        <v>643400</v>
      </c>
      <c r="S134" s="24" t="s">
        <v>4402</v>
      </c>
      <c r="T134" s="29">
        <v>1099</v>
      </c>
      <c r="U134" s="24" t="s">
        <v>4457</v>
      </c>
      <c r="V134" s="29"/>
      <c r="W134" s="24"/>
      <c r="X134" s="29"/>
      <c r="Y134" s="24"/>
      <c r="Z134" s="29">
        <v>110000</v>
      </c>
      <c r="AA134" s="24" t="s">
        <v>4558</v>
      </c>
      <c r="AB134" s="29">
        <v>5000</v>
      </c>
      <c r="AC134" s="15" t="s">
        <v>4608</v>
      </c>
      <c r="AD134" s="29">
        <v>5000</v>
      </c>
      <c r="AE134" s="85" t="s">
        <v>4683</v>
      </c>
      <c r="AF134" s="29">
        <v>50000</v>
      </c>
      <c r="AG134" s="180" t="s">
        <v>4738</v>
      </c>
      <c r="AH134" s="29">
        <v>50515.92</v>
      </c>
      <c r="AI134" s="85" t="s">
        <v>4801</v>
      </c>
      <c r="AJ134" s="29">
        <v>8960.25</v>
      </c>
      <c r="AK134" s="24" t="s">
        <v>4861</v>
      </c>
      <c r="AL134" s="29">
        <v>257400</v>
      </c>
      <c r="AM134" s="24" t="s">
        <v>4903</v>
      </c>
      <c r="AN134" s="29">
        <v>64498.77</v>
      </c>
      <c r="AO134" s="184" t="s">
        <v>4947</v>
      </c>
      <c r="AP134" s="30">
        <v>45777.03</v>
      </c>
      <c r="AQ134" s="26" t="s">
        <v>5006</v>
      </c>
      <c r="AR134" s="29">
        <v>133200</v>
      </c>
      <c r="AS134" s="24" t="s">
        <v>5042</v>
      </c>
      <c r="AT134" s="29">
        <v>83000</v>
      </c>
      <c r="AU134" s="24" t="s">
        <v>5153</v>
      </c>
      <c r="AV134" s="29">
        <v>20000</v>
      </c>
      <c r="AW134" s="24" t="s">
        <v>5099</v>
      </c>
      <c r="AX134" s="29"/>
      <c r="AY134" s="24"/>
      <c r="AZ134" s="30"/>
      <c r="BA134" s="24"/>
      <c r="BB134" s="29"/>
      <c r="BC134" s="24"/>
      <c r="BD134" s="29"/>
      <c r="BE134" s="24"/>
      <c r="BF134" s="29"/>
      <c r="BG134" s="24"/>
      <c r="BH134" s="29"/>
      <c r="BI134" s="24"/>
      <c r="BJ134" s="29"/>
      <c r="BK134" s="24"/>
      <c r="BL134" s="29"/>
      <c r="BM134" s="24"/>
      <c r="BN134" s="29"/>
      <c r="BO134" s="158"/>
      <c r="BP134" s="29"/>
      <c r="BQ134" s="24"/>
      <c r="BR134" s="29"/>
      <c r="BS134" s="24"/>
      <c r="BT134" s="29"/>
      <c r="BU134" s="24"/>
      <c r="BV134" s="29"/>
      <c r="BW134" s="24"/>
      <c r="BX134" s="29"/>
      <c r="BY134" s="24"/>
      <c r="BZ134" s="29"/>
      <c r="CA134" s="24"/>
      <c r="CB134" s="29"/>
      <c r="CC134" s="24"/>
      <c r="CD134" s="29"/>
      <c r="CE134" s="24"/>
      <c r="CF134" s="29"/>
      <c r="CG134" s="24"/>
      <c r="CH134" s="29"/>
      <c r="CI134" s="24"/>
      <c r="CJ134" s="29"/>
      <c r="CK134" s="24"/>
      <c r="CL134" s="29"/>
      <c r="CM134" s="24"/>
      <c r="CN134" s="29"/>
    </row>
    <row r="135" spans="1:92" x14ac:dyDescent="0.25">
      <c r="A135" s="45"/>
      <c r="B135" s="29">
        <v>3087.74</v>
      </c>
      <c r="C135" s="166" t="s">
        <v>3981</v>
      </c>
      <c r="D135" s="29">
        <v>73105.37</v>
      </c>
      <c r="E135" s="166" t="s">
        <v>4013</v>
      </c>
      <c r="F135" s="29">
        <f>343500+8000</f>
        <v>351500</v>
      </c>
      <c r="G135" s="24" t="s">
        <v>4068</v>
      </c>
      <c r="H135" s="96">
        <v>6315</v>
      </c>
      <c r="I135" s="26" t="s">
        <v>4127</v>
      </c>
      <c r="J135" s="29">
        <v>9614.9500000000007</v>
      </c>
      <c r="K135" s="24" t="s">
        <v>4184</v>
      </c>
      <c r="L135" s="29">
        <v>9351.4500000000007</v>
      </c>
      <c r="M135" s="171" t="s">
        <v>4240</v>
      </c>
      <c r="N135" s="97">
        <f>+SUM(N131:N134)</f>
        <v>270698.65000000002</v>
      </c>
      <c r="O135" s="24"/>
      <c r="P135" s="29">
        <v>27722.51</v>
      </c>
      <c r="Q135" s="24" t="s">
        <v>4292</v>
      </c>
      <c r="R135" s="29">
        <v>54000</v>
      </c>
      <c r="S135" s="24" t="s">
        <v>4409</v>
      </c>
      <c r="T135" s="29">
        <v>254.92</v>
      </c>
      <c r="U135" s="24" t="s">
        <v>4460</v>
      </c>
      <c r="V135" s="29"/>
      <c r="W135" s="24"/>
      <c r="X135" s="29"/>
      <c r="Y135" s="24"/>
      <c r="Z135" s="29">
        <v>93500</v>
      </c>
      <c r="AA135" s="24" t="s">
        <v>4560</v>
      </c>
      <c r="AB135" s="29">
        <v>80379.64</v>
      </c>
      <c r="AC135" s="85" t="s">
        <v>4614</v>
      </c>
      <c r="AD135" s="29">
        <v>2000</v>
      </c>
      <c r="AE135" s="85" t="s">
        <v>4685</v>
      </c>
      <c r="AF135" s="29">
        <v>460200</v>
      </c>
      <c r="AG135" s="180" t="s">
        <v>4739</v>
      </c>
      <c r="AH135" s="29">
        <v>460000</v>
      </c>
      <c r="AI135" s="85" t="s">
        <v>4802</v>
      </c>
      <c r="AJ135" s="29">
        <v>1349</v>
      </c>
      <c r="AK135" s="24" t="s">
        <v>4882</v>
      </c>
      <c r="AL135" s="29">
        <v>3728.99</v>
      </c>
      <c r="AM135" s="24" t="s">
        <v>4906</v>
      </c>
      <c r="AN135" s="29">
        <v>85000</v>
      </c>
      <c r="AO135" s="184" t="s">
        <v>4950</v>
      </c>
      <c r="AP135" s="29">
        <v>1099</v>
      </c>
      <c r="AQ135" s="24" t="s">
        <v>5015</v>
      </c>
      <c r="AR135" s="29">
        <v>67676.42</v>
      </c>
      <c r="AS135" s="24" t="s">
        <v>5043</v>
      </c>
      <c r="AT135" s="29">
        <v>243501.09</v>
      </c>
      <c r="AU135" s="24" t="s">
        <v>5154</v>
      </c>
      <c r="AV135" s="29">
        <v>89500</v>
      </c>
      <c r="AW135" s="24" t="s">
        <v>5100</v>
      </c>
      <c r="AX135" s="29"/>
      <c r="AY135" s="24"/>
      <c r="AZ135" s="29"/>
      <c r="BA135" s="24"/>
      <c r="BB135" s="29"/>
      <c r="BC135" s="24"/>
      <c r="BD135" s="29"/>
      <c r="BE135" s="24"/>
      <c r="BF135" s="29"/>
      <c r="BG135" s="24"/>
      <c r="BH135" s="94"/>
      <c r="BI135" s="24"/>
      <c r="BJ135" s="29"/>
      <c r="BK135" s="24"/>
      <c r="BL135" s="94"/>
      <c r="BM135" s="24"/>
      <c r="BN135" s="29"/>
      <c r="BO135" s="158"/>
      <c r="BP135" s="29"/>
      <c r="BQ135" s="24"/>
      <c r="BR135" s="29"/>
      <c r="BS135" s="24"/>
      <c r="BT135" s="29"/>
      <c r="BU135" s="24"/>
      <c r="BV135" s="29"/>
      <c r="BW135" s="24"/>
      <c r="BX135" s="29"/>
      <c r="BY135" s="24"/>
      <c r="BZ135" s="29"/>
      <c r="CA135" s="24"/>
      <c r="CB135" s="29"/>
      <c r="CC135" s="24"/>
      <c r="CD135" s="29"/>
      <c r="CE135" s="24"/>
      <c r="CF135" s="29"/>
      <c r="CG135" s="24"/>
      <c r="CH135" s="29"/>
      <c r="CI135" s="24"/>
      <c r="CJ135" s="29"/>
      <c r="CK135" s="24"/>
      <c r="CL135" s="29"/>
      <c r="CM135" s="24"/>
      <c r="CN135" s="29"/>
    </row>
    <row r="136" spans="1:92" x14ac:dyDescent="0.25">
      <c r="A136" s="45"/>
      <c r="B136" s="29">
        <v>7395.72</v>
      </c>
      <c r="C136" s="166" t="s">
        <v>3986</v>
      </c>
      <c r="D136" s="29">
        <v>543400</v>
      </c>
      <c r="E136" s="166" t="s">
        <v>4017</v>
      </c>
      <c r="F136" s="29">
        <v>646400</v>
      </c>
      <c r="G136" s="24" t="s">
        <v>4069</v>
      </c>
      <c r="H136" s="97">
        <f>+SUM(H131:H135)</f>
        <v>371315</v>
      </c>
      <c r="I136" s="24"/>
      <c r="J136" s="97">
        <f>+SUM(J131:J135)</f>
        <v>377454.96</v>
      </c>
      <c r="K136" s="24"/>
      <c r="L136" s="29">
        <v>9351.4500000000007</v>
      </c>
      <c r="M136" s="171" t="s">
        <v>4241</v>
      </c>
      <c r="N136" s="96"/>
      <c r="O136" s="26"/>
      <c r="P136" s="29">
        <v>225036.91</v>
      </c>
      <c r="Q136" s="24" t="s">
        <v>4294</v>
      </c>
      <c r="R136" s="29">
        <v>2944.56</v>
      </c>
      <c r="S136" s="24" t="s">
        <v>4428</v>
      </c>
      <c r="T136" s="30">
        <v>1337.47</v>
      </c>
      <c r="U136" s="15" t="s">
        <v>4461</v>
      </c>
      <c r="V136" s="29"/>
      <c r="W136" s="24"/>
      <c r="X136" s="29"/>
      <c r="Y136" s="24"/>
      <c r="Z136" s="29">
        <v>13695.31</v>
      </c>
      <c r="AA136" s="24" t="s">
        <v>4564</v>
      </c>
      <c r="AB136" s="29">
        <v>440000</v>
      </c>
      <c r="AC136" s="85" t="s">
        <v>4615</v>
      </c>
      <c r="AD136" s="29">
        <v>3000</v>
      </c>
      <c r="AE136" s="85" t="s">
        <v>4688</v>
      </c>
      <c r="AF136" s="29">
        <v>170000</v>
      </c>
      <c r="AG136" s="180" t="s">
        <v>4740</v>
      </c>
      <c r="AH136" s="29">
        <v>256000</v>
      </c>
      <c r="AI136" s="85" t="s">
        <v>4803</v>
      </c>
      <c r="AJ136" s="30">
        <v>4098.8599999999997</v>
      </c>
      <c r="AK136" s="24" t="s">
        <v>4893</v>
      </c>
      <c r="AL136" s="29">
        <v>213000</v>
      </c>
      <c r="AM136" s="24" t="s">
        <v>4908</v>
      </c>
      <c r="AN136" s="29">
        <v>22391.68</v>
      </c>
      <c r="AO136" s="184" t="s">
        <v>4951</v>
      </c>
      <c r="AP136" s="29">
        <v>1099.0139999999999</v>
      </c>
      <c r="AQ136" s="24" t="s">
        <v>5018</v>
      </c>
      <c r="AR136" s="29">
        <v>58107.74</v>
      </c>
      <c r="AS136" s="24" t="s">
        <v>5045</v>
      </c>
      <c r="AT136" s="29">
        <v>272800</v>
      </c>
      <c r="AU136" s="24" t="s">
        <v>5155</v>
      </c>
      <c r="AV136" s="29">
        <v>150445.76999999999</v>
      </c>
      <c r="AW136" s="24" t="s">
        <v>5105</v>
      </c>
      <c r="AX136" s="29"/>
      <c r="AY136" s="24"/>
      <c r="AZ136" s="29"/>
      <c r="BA136" s="24"/>
      <c r="BB136" s="29"/>
      <c r="BC136" s="24"/>
      <c r="BD136" s="29"/>
      <c r="BE136" s="24"/>
      <c r="BF136" s="29"/>
      <c r="BG136" s="24"/>
      <c r="BH136" s="29"/>
      <c r="BI136" s="24"/>
      <c r="BJ136" s="29"/>
      <c r="BK136" s="24"/>
      <c r="BL136" s="29"/>
      <c r="BM136" s="24"/>
      <c r="BN136" s="29"/>
      <c r="BO136" s="158"/>
      <c r="BP136" s="29"/>
      <c r="BQ136" s="24"/>
      <c r="BR136" s="29"/>
      <c r="BS136" s="24"/>
      <c r="BT136" s="29"/>
      <c r="BU136" s="24"/>
      <c r="BV136" s="29"/>
      <c r="BW136" s="24"/>
      <c r="BX136" s="29"/>
      <c r="BY136" s="24"/>
      <c r="BZ136" s="29"/>
      <c r="CA136" s="24"/>
      <c r="CB136" s="29"/>
      <c r="CC136" s="24"/>
      <c r="CD136" s="29"/>
      <c r="CE136" s="24"/>
      <c r="CF136" s="29"/>
      <c r="CG136" s="24"/>
      <c r="CH136" s="29"/>
      <c r="CI136" s="24"/>
      <c r="CJ136" s="29"/>
      <c r="CK136" s="24"/>
      <c r="CL136" s="29"/>
      <c r="CM136" s="24"/>
      <c r="CN136" s="29"/>
    </row>
    <row r="137" spans="1:92" x14ac:dyDescent="0.25">
      <c r="A137" s="45"/>
      <c r="B137" s="29">
        <v>2912.26</v>
      </c>
      <c r="C137" s="166" t="s">
        <v>3997</v>
      </c>
      <c r="D137" s="29">
        <v>2458</v>
      </c>
      <c r="E137" s="166" t="s">
        <v>4021</v>
      </c>
      <c r="F137" s="29">
        <v>130000</v>
      </c>
      <c r="G137" s="24" t="s">
        <v>4072</v>
      </c>
      <c r="H137" s="29"/>
      <c r="I137" s="24"/>
      <c r="J137" s="29"/>
      <c r="K137" s="24"/>
      <c r="L137" s="29">
        <v>80000</v>
      </c>
      <c r="M137" s="171" t="s">
        <v>4242</v>
      </c>
      <c r="N137" s="122"/>
      <c r="O137" s="24"/>
      <c r="P137" s="29">
        <v>10249</v>
      </c>
      <c r="Q137" s="24" t="s">
        <v>4320</v>
      </c>
      <c r="R137" s="29">
        <v>1099.01</v>
      </c>
      <c r="S137" s="24" t="s">
        <v>4431</v>
      </c>
      <c r="T137" s="62">
        <f>SUM(T131:T136)</f>
        <v>260891.39</v>
      </c>
      <c r="U137" s="24"/>
      <c r="V137" s="122"/>
      <c r="W137" s="24"/>
      <c r="X137" s="29"/>
      <c r="Y137" s="24"/>
      <c r="Z137" s="29">
        <v>3542</v>
      </c>
      <c r="AA137" s="24" t="s">
        <v>4565</v>
      </c>
      <c r="AB137" s="29">
        <v>36255.230000000003</v>
      </c>
      <c r="AC137" s="85" t="s">
        <v>4618</v>
      </c>
      <c r="AD137" s="29">
        <f>32396.48+5000</f>
        <v>37396.479999999996</v>
      </c>
      <c r="AE137" s="85" t="s">
        <v>4695</v>
      </c>
      <c r="AF137" s="29">
        <v>25000</v>
      </c>
      <c r="AG137" s="180" t="s">
        <v>4741</v>
      </c>
      <c r="AH137" s="29">
        <v>11460.39</v>
      </c>
      <c r="AI137" s="85" t="s">
        <v>4804</v>
      </c>
      <c r="AJ137" s="94">
        <f>+SUM(AJ131:AJ136)</f>
        <v>91011.8</v>
      </c>
      <c r="AK137" s="24"/>
      <c r="AL137" s="29">
        <v>5000</v>
      </c>
      <c r="AM137" s="24" t="s">
        <v>4909</v>
      </c>
      <c r="AN137" s="29">
        <v>21709.56</v>
      </c>
      <c r="AO137" s="184" t="s">
        <v>4952</v>
      </c>
      <c r="AP137" s="29">
        <v>2040</v>
      </c>
      <c r="AQ137" s="24" t="s">
        <v>5019</v>
      </c>
      <c r="AR137" s="29">
        <v>332500</v>
      </c>
      <c r="AS137" s="24" t="s">
        <v>5046</v>
      </c>
      <c r="AT137" s="96">
        <v>7500</v>
      </c>
      <c r="AU137" s="15" t="s">
        <v>5156</v>
      </c>
      <c r="AV137" s="96">
        <v>1169</v>
      </c>
      <c r="AW137" s="15" t="s">
        <v>5110</v>
      </c>
      <c r="AX137" s="29"/>
      <c r="AY137" s="24"/>
      <c r="AZ137" s="29"/>
      <c r="BA137" s="24"/>
      <c r="BB137" s="29"/>
      <c r="BC137" s="24"/>
      <c r="BD137" s="98"/>
      <c r="BE137" s="24"/>
      <c r="BF137" s="29"/>
      <c r="BG137" s="24"/>
      <c r="BH137" s="29"/>
      <c r="BI137" s="24"/>
      <c r="BJ137" s="94"/>
      <c r="BK137" s="24"/>
      <c r="BL137" s="29"/>
      <c r="BM137" s="24"/>
      <c r="BN137" s="29"/>
      <c r="BO137" s="158"/>
      <c r="BP137" s="29"/>
      <c r="BQ137" s="24"/>
      <c r="BR137" s="29"/>
      <c r="BS137" s="24"/>
      <c r="BT137" s="29"/>
      <c r="BU137" s="24"/>
      <c r="BV137" s="29"/>
      <c r="BW137" s="24"/>
      <c r="BX137" s="29"/>
      <c r="BY137" s="24"/>
      <c r="BZ137" s="29"/>
      <c r="CA137" s="24"/>
      <c r="CB137" s="29"/>
      <c r="CC137" s="24"/>
      <c r="CD137" s="29"/>
      <c r="CE137" s="24"/>
      <c r="CF137" s="29"/>
      <c r="CG137" s="24"/>
      <c r="CH137" s="29"/>
      <c r="CI137" s="24"/>
      <c r="CJ137" s="29"/>
      <c r="CK137" s="24"/>
      <c r="CL137" s="29"/>
      <c r="CM137" s="24"/>
      <c r="CN137" s="29"/>
    </row>
    <row r="138" spans="1:92" x14ac:dyDescent="0.25">
      <c r="A138" s="45"/>
      <c r="B138" s="62">
        <f>+SUM(B131:B137)</f>
        <v>40629.350000000006</v>
      </c>
      <c r="C138" s="24"/>
      <c r="D138" s="104">
        <v>1970</v>
      </c>
      <c r="E138" s="166" t="s">
        <v>4024</v>
      </c>
      <c r="F138" s="29">
        <v>205800</v>
      </c>
      <c r="G138" s="24" t="s">
        <v>2087</v>
      </c>
      <c r="H138" s="29">
        <v>20000</v>
      </c>
      <c r="I138" s="166" t="s">
        <v>4135</v>
      </c>
      <c r="J138" s="29">
        <v>3000</v>
      </c>
      <c r="K138" s="24" t="s">
        <v>4189</v>
      </c>
      <c r="L138" s="29">
        <v>20000</v>
      </c>
      <c r="M138" s="171" t="s">
        <v>4243</v>
      </c>
      <c r="N138" s="122"/>
      <c r="O138" s="24"/>
      <c r="P138" s="29">
        <v>3121.97</v>
      </c>
      <c r="Q138" s="24" t="s">
        <v>4325</v>
      </c>
      <c r="R138" s="29">
        <v>3250</v>
      </c>
      <c r="S138" s="24" t="s">
        <v>4432</v>
      </c>
      <c r="T138" s="29"/>
      <c r="U138" s="24"/>
      <c r="V138" s="122"/>
      <c r="W138" s="24"/>
      <c r="X138" s="29"/>
      <c r="Y138" s="24"/>
      <c r="Z138" s="29">
        <v>270000</v>
      </c>
      <c r="AA138" s="24" t="s">
        <v>4567</v>
      </c>
      <c r="AB138" s="29">
        <v>290000</v>
      </c>
      <c r="AC138" s="85" t="s">
        <v>4619</v>
      </c>
      <c r="AD138" s="29">
        <v>1099</v>
      </c>
      <c r="AE138" s="85" t="s">
        <v>4702</v>
      </c>
      <c r="AF138" s="29">
        <v>48500</v>
      </c>
      <c r="AG138" s="180" t="s">
        <v>4742</v>
      </c>
      <c r="AH138" s="29">
        <v>100000</v>
      </c>
      <c r="AI138" s="85" t="s">
        <v>4808</v>
      </c>
      <c r="AJ138" s="29"/>
      <c r="AK138" s="24"/>
      <c r="AL138" s="29">
        <f>89000+76000</f>
        <v>165000</v>
      </c>
      <c r="AM138" s="24" t="s">
        <v>4910</v>
      </c>
      <c r="AN138" s="29">
        <v>100000</v>
      </c>
      <c r="AO138" s="184" t="s">
        <v>4954</v>
      </c>
      <c r="AP138" s="30">
        <v>2040</v>
      </c>
      <c r="AQ138" s="26" t="s">
        <v>5021</v>
      </c>
      <c r="AR138" s="29">
        <v>226400</v>
      </c>
      <c r="AS138" s="24" t="s">
        <v>5054</v>
      </c>
      <c r="AT138" s="105">
        <v>5000</v>
      </c>
      <c r="AU138" s="106" t="s">
        <v>5157</v>
      </c>
      <c r="AV138" s="105">
        <v>3169</v>
      </c>
      <c r="AW138" s="106" t="s">
        <v>5119</v>
      </c>
      <c r="AX138" s="29"/>
      <c r="AY138" s="24"/>
      <c r="AZ138" s="29"/>
      <c r="BA138" s="24"/>
      <c r="BB138" s="29"/>
      <c r="BC138" s="24"/>
      <c r="BD138" s="98"/>
      <c r="BE138" s="24"/>
      <c r="BF138" s="29"/>
      <c r="BG138" s="24"/>
      <c r="BH138" s="29"/>
      <c r="BI138" s="24"/>
      <c r="BJ138" s="29"/>
      <c r="BK138" s="24"/>
      <c r="BL138" s="29"/>
      <c r="BM138" s="24"/>
      <c r="BN138" s="29"/>
      <c r="BO138" s="158"/>
      <c r="BP138" s="29"/>
      <c r="BQ138" s="24"/>
      <c r="BR138" s="29"/>
      <c r="BS138" s="24"/>
      <c r="BT138" s="29"/>
      <c r="BU138" s="24"/>
      <c r="BV138" s="29"/>
      <c r="BW138" s="24"/>
      <c r="BX138" s="29"/>
      <c r="BY138" s="24"/>
      <c r="BZ138" s="29"/>
      <c r="CA138" s="24"/>
      <c r="CB138" s="29"/>
      <c r="CC138" s="24"/>
      <c r="CD138" s="29"/>
      <c r="CE138" s="24"/>
      <c r="CF138" s="29"/>
      <c r="CG138" s="24"/>
      <c r="CH138" s="29"/>
      <c r="CI138" s="24"/>
      <c r="CJ138" s="29"/>
      <c r="CK138" s="24"/>
      <c r="CL138" s="29"/>
      <c r="CM138" s="24"/>
      <c r="CN138" s="29"/>
    </row>
    <row r="139" spans="1:92" x14ac:dyDescent="0.25">
      <c r="A139" s="41"/>
      <c r="B139" s="97"/>
      <c r="C139" s="24"/>
      <c r="D139" s="30">
        <v>6436</v>
      </c>
      <c r="E139" s="162" t="s">
        <v>4035</v>
      </c>
      <c r="F139" s="30">
        <v>343500</v>
      </c>
      <c r="G139" s="15" t="s">
        <v>4076</v>
      </c>
      <c r="H139" s="30">
        <v>7990.18</v>
      </c>
      <c r="I139" s="162" t="s">
        <v>2098</v>
      </c>
      <c r="J139" s="29">
        <v>12634.8</v>
      </c>
      <c r="K139" s="24" t="s">
        <v>4191</v>
      </c>
      <c r="L139" s="30">
        <v>106000</v>
      </c>
      <c r="M139" s="172" t="s">
        <v>4245</v>
      </c>
      <c r="N139" s="122"/>
      <c r="O139" s="24"/>
      <c r="P139" s="100">
        <f>+SUM(P131:P138)</f>
        <v>509271.23</v>
      </c>
      <c r="Q139" s="15"/>
      <c r="R139" s="30">
        <v>1970</v>
      </c>
      <c r="S139" s="15" t="s">
        <v>4437</v>
      </c>
      <c r="T139" s="30">
        <v>250000</v>
      </c>
      <c r="U139" s="15" t="s">
        <v>4467</v>
      </c>
      <c r="V139" s="29"/>
      <c r="W139" s="24"/>
      <c r="X139" s="30"/>
      <c r="Y139" s="15"/>
      <c r="Z139" s="30">
        <v>50000</v>
      </c>
      <c r="AA139" s="15" t="s">
        <v>4575</v>
      </c>
      <c r="AB139" s="29">
        <v>50000</v>
      </c>
      <c r="AC139" s="85" t="s">
        <v>4550</v>
      </c>
      <c r="AD139" s="29">
        <v>1171</v>
      </c>
      <c r="AE139" s="85" t="s">
        <v>4704</v>
      </c>
      <c r="AF139" s="30">
        <f>158000+152000</f>
        <v>310000</v>
      </c>
      <c r="AG139" s="181" t="s">
        <v>4743</v>
      </c>
      <c r="AH139" s="30">
        <v>12700</v>
      </c>
      <c r="AI139" s="86" t="s">
        <v>4809</v>
      </c>
      <c r="AJ139" s="30"/>
      <c r="AK139" s="15"/>
      <c r="AL139" s="30">
        <v>925000</v>
      </c>
      <c r="AM139" s="15" t="s">
        <v>4916</v>
      </c>
      <c r="AN139" s="30">
        <v>46500</v>
      </c>
      <c r="AO139" s="185" t="s">
        <v>4958</v>
      </c>
      <c r="AP139" s="30">
        <v>5200</v>
      </c>
      <c r="AQ139" s="24" t="s">
        <v>5030</v>
      </c>
      <c r="AR139" s="30">
        <v>4169</v>
      </c>
      <c r="AS139" s="15" t="s">
        <v>5057</v>
      </c>
      <c r="AT139" s="96">
        <v>7500</v>
      </c>
      <c r="AU139" s="15" t="s">
        <v>5158</v>
      </c>
      <c r="AV139" s="96">
        <v>3169</v>
      </c>
      <c r="AW139" s="15" t="s">
        <v>5128</v>
      </c>
      <c r="AX139" s="30"/>
      <c r="AY139" s="15"/>
      <c r="AZ139" s="30"/>
      <c r="BA139" s="15"/>
      <c r="BB139" s="30"/>
      <c r="BC139" s="15"/>
      <c r="BD139" s="30"/>
      <c r="BE139" s="15"/>
      <c r="BF139" s="29"/>
      <c r="BG139" s="24"/>
      <c r="BH139" s="30"/>
      <c r="BI139" s="15"/>
      <c r="BJ139" s="30"/>
      <c r="BK139" s="15"/>
      <c r="BL139" s="30"/>
      <c r="BM139" s="15"/>
      <c r="BN139" s="30"/>
      <c r="BO139" s="159"/>
      <c r="BP139" s="30"/>
      <c r="BQ139" s="15"/>
      <c r="BR139" s="30"/>
      <c r="BS139" s="15"/>
      <c r="BT139" s="30"/>
      <c r="BU139" s="15"/>
      <c r="BV139" s="30"/>
      <c r="BW139" s="15"/>
      <c r="BX139" s="30"/>
      <c r="BY139" s="15"/>
      <c r="BZ139" s="30"/>
      <c r="CA139" s="15"/>
      <c r="CB139" s="30"/>
      <c r="CC139" s="15"/>
      <c r="CD139" s="30"/>
      <c r="CE139" s="15"/>
      <c r="CF139" s="30"/>
      <c r="CG139" s="15"/>
      <c r="CH139" s="30"/>
      <c r="CI139" s="15"/>
      <c r="CJ139" s="30"/>
      <c r="CK139" s="15"/>
      <c r="CL139" s="30"/>
      <c r="CM139" s="15"/>
      <c r="CN139" s="30"/>
    </row>
    <row r="140" spans="1:92" x14ac:dyDescent="0.25">
      <c r="A140" s="45"/>
      <c r="B140" s="29"/>
      <c r="C140" s="24"/>
      <c r="D140" s="97">
        <f>+SUM(D131:D139)</f>
        <v>759769.37</v>
      </c>
      <c r="E140" s="24"/>
      <c r="F140" s="29">
        <v>170492.93</v>
      </c>
      <c r="G140" s="24" t="s">
        <v>4078</v>
      </c>
      <c r="H140" s="29">
        <v>48000</v>
      </c>
      <c r="I140" s="166" t="s">
        <v>4137</v>
      </c>
      <c r="J140" s="29">
        <v>2517</v>
      </c>
      <c r="K140" s="24" t="s">
        <v>4192</v>
      </c>
      <c r="L140" s="29">
        <v>109000</v>
      </c>
      <c r="M140" s="171" t="s">
        <v>4249</v>
      </c>
      <c r="N140" s="96"/>
      <c r="O140" s="15"/>
      <c r="P140" s="96"/>
      <c r="Q140" s="15"/>
      <c r="R140" s="96">
        <v>4395</v>
      </c>
      <c r="S140" s="15" t="s">
        <v>4415</v>
      </c>
      <c r="T140" s="29">
        <v>125000</v>
      </c>
      <c r="U140" s="24" t="s">
        <v>4470</v>
      </c>
      <c r="V140" s="29"/>
      <c r="W140" s="24"/>
      <c r="X140" s="29"/>
      <c r="Y140" s="24"/>
      <c r="Z140" s="29">
        <v>11925.03</v>
      </c>
      <c r="AA140" s="24" t="s">
        <v>4580</v>
      </c>
      <c r="AB140" s="29">
        <v>525800</v>
      </c>
      <c r="AC140" s="85" t="s">
        <v>4622</v>
      </c>
      <c r="AD140" s="29">
        <v>5268</v>
      </c>
      <c r="AE140" s="85" t="s">
        <v>4706</v>
      </c>
      <c r="AF140" s="29">
        <v>3320</v>
      </c>
      <c r="AG140" s="180" t="s">
        <v>4750</v>
      </c>
      <c r="AH140" s="29">
        <v>87243.89</v>
      </c>
      <c r="AI140" s="85" t="s">
        <v>4810</v>
      </c>
      <c r="AJ140" s="29"/>
      <c r="AK140" s="24"/>
      <c r="AL140" s="29">
        <v>1099</v>
      </c>
      <c r="AM140" s="24" t="s">
        <v>4926</v>
      </c>
      <c r="AN140" s="29">
        <v>5000</v>
      </c>
      <c r="AO140" s="184" t="s">
        <v>4956</v>
      </c>
      <c r="AP140" s="30">
        <v>227</v>
      </c>
      <c r="AQ140" s="24" t="s">
        <v>5034</v>
      </c>
      <c r="AR140" s="29">
        <v>3488.99</v>
      </c>
      <c r="AS140" s="24" t="s">
        <v>5061</v>
      </c>
      <c r="AT140" s="96">
        <v>64500</v>
      </c>
      <c r="AU140" s="15" t="s">
        <v>5162</v>
      </c>
      <c r="AV140" s="96">
        <v>2040</v>
      </c>
      <c r="AW140" s="15" t="s">
        <v>5129</v>
      </c>
      <c r="AX140" s="29"/>
      <c r="AY140" s="24"/>
      <c r="AZ140" s="94"/>
      <c r="BA140" s="24"/>
      <c r="BB140" s="29"/>
      <c r="BC140" s="24"/>
      <c r="BD140" s="29"/>
      <c r="BE140" s="24"/>
      <c r="BF140" s="29"/>
      <c r="BG140" s="24"/>
      <c r="BH140" s="29"/>
      <c r="BI140" s="24"/>
      <c r="BJ140" s="29"/>
      <c r="BK140" s="24"/>
      <c r="BL140" s="29"/>
      <c r="BM140" s="24"/>
      <c r="BN140" s="29"/>
      <c r="BO140" s="158"/>
      <c r="BP140" s="29"/>
      <c r="BQ140" s="24"/>
      <c r="BR140" s="29"/>
      <c r="BS140" s="24"/>
      <c r="BT140" s="29"/>
      <c r="BU140" s="24"/>
      <c r="BV140" s="29"/>
      <c r="BW140" s="24"/>
      <c r="BX140" s="29"/>
      <c r="BY140" s="24"/>
      <c r="BZ140" s="29"/>
      <c r="CA140" s="24"/>
      <c r="CB140" s="29"/>
      <c r="CC140" s="24"/>
      <c r="CD140" s="29"/>
      <c r="CE140" s="24"/>
      <c r="CF140" s="29"/>
      <c r="CG140" s="24"/>
      <c r="CH140" s="29"/>
      <c r="CI140" s="24"/>
      <c r="CJ140" s="29"/>
      <c r="CK140" s="24"/>
      <c r="CL140" s="29"/>
      <c r="CM140" s="24"/>
      <c r="CN140" s="29"/>
    </row>
    <row r="141" spans="1:92" x14ac:dyDescent="0.25">
      <c r="A141" s="45"/>
      <c r="B141" s="29"/>
      <c r="C141" s="24"/>
      <c r="D141" s="29"/>
      <c r="E141" s="24"/>
      <c r="F141" s="29">
        <v>11441.74</v>
      </c>
      <c r="G141" s="24" t="s">
        <v>4081</v>
      </c>
      <c r="H141" s="29">
        <v>87790.27</v>
      </c>
      <c r="I141" s="166" t="s">
        <v>4138</v>
      </c>
      <c r="J141" s="29">
        <v>45000</v>
      </c>
      <c r="K141" s="24" t="s">
        <v>4196</v>
      </c>
      <c r="L141" s="29">
        <v>243500</v>
      </c>
      <c r="M141" s="171" t="s">
        <v>4250</v>
      </c>
      <c r="N141" s="94"/>
      <c r="O141" s="24"/>
      <c r="P141" s="29">
        <v>70000</v>
      </c>
      <c r="Q141" s="24" t="s">
        <v>4374</v>
      </c>
      <c r="R141" s="97">
        <f>+SUM(R131:R140)</f>
        <v>1770858.57</v>
      </c>
      <c r="S141" s="24"/>
      <c r="T141" s="29">
        <v>5000</v>
      </c>
      <c r="U141" s="24" t="s">
        <v>4471</v>
      </c>
      <c r="V141" s="29"/>
      <c r="W141" s="24"/>
      <c r="X141" s="29"/>
      <c r="Y141" s="24"/>
      <c r="Z141" s="29">
        <v>9732.35</v>
      </c>
      <c r="AA141" s="24" t="s">
        <v>4581</v>
      </c>
      <c r="AB141" s="29">
        <v>608000</v>
      </c>
      <c r="AC141" s="85" t="s">
        <v>4623</v>
      </c>
      <c r="AD141" s="29">
        <v>3250</v>
      </c>
      <c r="AE141" s="85" t="s">
        <v>4710</v>
      </c>
      <c r="AF141" s="29">
        <v>1099</v>
      </c>
      <c r="AG141" s="180" t="s">
        <v>4760</v>
      </c>
      <c r="AH141" s="29">
        <v>1099.01</v>
      </c>
      <c r="AI141" s="85" t="s">
        <v>4819</v>
      </c>
      <c r="AJ141" s="29"/>
      <c r="AK141" s="24"/>
      <c r="AL141" s="29">
        <v>1099</v>
      </c>
      <c r="AM141" s="24" t="s">
        <v>4931</v>
      </c>
      <c r="AN141" s="29">
        <v>7000</v>
      </c>
      <c r="AO141" s="184" t="s">
        <v>4959</v>
      </c>
      <c r="AP141" s="29">
        <v>7601</v>
      </c>
      <c r="AQ141" s="24" t="s">
        <v>5035</v>
      </c>
      <c r="AR141" s="29">
        <v>1169</v>
      </c>
      <c r="AS141" s="24" t="s">
        <v>5069</v>
      </c>
      <c r="AT141" s="105">
        <v>28645.83</v>
      </c>
      <c r="AU141" s="106" t="s">
        <v>5165</v>
      </c>
      <c r="AV141" s="105">
        <v>930.51</v>
      </c>
      <c r="AW141" s="106" t="s">
        <v>5130</v>
      </c>
      <c r="AX141" s="29"/>
      <c r="AY141" s="24"/>
      <c r="AZ141" s="29"/>
      <c r="BA141" s="24"/>
      <c r="BB141" s="29"/>
      <c r="BC141" s="24"/>
      <c r="BD141" s="29"/>
      <c r="BE141" s="24"/>
      <c r="BF141" s="29"/>
      <c r="BG141" s="24"/>
      <c r="BH141" s="29"/>
      <c r="BI141" s="24"/>
      <c r="BJ141" s="29"/>
      <c r="BK141" s="24"/>
      <c r="BL141" s="29"/>
      <c r="BM141" s="24"/>
      <c r="BN141" s="29"/>
      <c r="BO141" s="158"/>
      <c r="BP141" s="29"/>
      <c r="BQ141" s="24"/>
      <c r="BR141" s="29"/>
      <c r="BS141" s="24"/>
      <c r="BT141" s="29"/>
      <c r="BU141" s="24"/>
      <c r="BV141" s="29"/>
      <c r="BW141" s="24"/>
      <c r="BX141" s="29"/>
      <c r="BY141" s="24"/>
      <c r="BZ141" s="29"/>
      <c r="CA141" s="24"/>
      <c r="CB141" s="29"/>
      <c r="CC141" s="24"/>
      <c r="CD141" s="29"/>
      <c r="CE141" s="24"/>
      <c r="CF141" s="29"/>
      <c r="CG141" s="24"/>
      <c r="CH141" s="29"/>
      <c r="CI141" s="24"/>
      <c r="CJ141" s="29"/>
      <c r="CK141" s="24"/>
      <c r="CL141" s="29"/>
      <c r="CM141" s="24"/>
      <c r="CN141" s="29"/>
    </row>
    <row r="142" spans="1:92" x14ac:dyDescent="0.25">
      <c r="A142" s="45"/>
      <c r="B142" s="29"/>
      <c r="C142" s="24"/>
      <c r="D142" s="29">
        <v>9951.9599999999991</v>
      </c>
      <c r="E142" s="24" t="s">
        <v>4053</v>
      </c>
      <c r="F142" s="29">
        <v>1099</v>
      </c>
      <c r="G142" s="24" t="s">
        <v>4082</v>
      </c>
      <c r="H142" s="29">
        <v>2703.99</v>
      </c>
      <c r="I142" s="166" t="s">
        <v>4149</v>
      </c>
      <c r="J142" s="29">
        <v>4395</v>
      </c>
      <c r="K142" s="24" t="s">
        <v>4198</v>
      </c>
      <c r="L142" s="29">
        <v>3000</v>
      </c>
      <c r="M142" s="171" t="s">
        <v>4268</v>
      </c>
      <c r="N142" s="94"/>
      <c r="O142" s="24"/>
      <c r="P142" s="29">
        <v>637.72</v>
      </c>
      <c r="Q142" s="24" t="s">
        <v>4379</v>
      </c>
      <c r="R142" s="96"/>
      <c r="S142" s="26"/>
      <c r="T142" s="30">
        <v>160164.79999999999</v>
      </c>
      <c r="U142" s="24" t="s">
        <v>4472</v>
      </c>
      <c r="V142" s="32"/>
      <c r="W142" s="24"/>
      <c r="X142" s="29"/>
      <c r="Y142" s="24"/>
      <c r="Z142" s="31">
        <v>3169</v>
      </c>
      <c r="AA142" s="24" t="s">
        <v>4585</v>
      </c>
      <c r="AB142" s="29">
        <v>2486</v>
      </c>
      <c r="AC142" s="85" t="s">
        <v>4634</v>
      </c>
      <c r="AD142" s="29">
        <v>4395</v>
      </c>
      <c r="AE142" s="24" t="s">
        <v>4711</v>
      </c>
      <c r="AF142" s="96">
        <v>1099</v>
      </c>
      <c r="AG142" s="181" t="s">
        <v>4761</v>
      </c>
      <c r="AH142" s="29">
        <v>1970.01</v>
      </c>
      <c r="AI142" s="85" t="s">
        <v>4822</v>
      </c>
      <c r="AJ142" s="94"/>
      <c r="AK142" s="24"/>
      <c r="AL142" s="29">
        <v>575.01</v>
      </c>
      <c r="AM142" s="24" t="s">
        <v>4933</v>
      </c>
      <c r="AN142" s="29">
        <v>548185</v>
      </c>
      <c r="AO142" s="184" t="s">
        <v>4960</v>
      </c>
      <c r="AP142" s="97">
        <f>+SUM(AP131:AP141)</f>
        <v>165083.04399999999</v>
      </c>
      <c r="AQ142" s="24"/>
      <c r="AR142" s="29">
        <v>1519</v>
      </c>
      <c r="AS142" s="24" t="s">
        <v>5077</v>
      </c>
      <c r="AT142" s="105">
        <v>2445.0100000000002</v>
      </c>
      <c r="AU142" s="106" t="s">
        <v>5166</v>
      </c>
      <c r="AV142" s="105">
        <v>1099</v>
      </c>
      <c r="AW142" s="106" t="s">
        <v>5130</v>
      </c>
      <c r="AX142" s="29"/>
      <c r="AY142" s="24"/>
      <c r="AZ142" s="29"/>
      <c r="BA142" s="24"/>
      <c r="BB142" s="29"/>
      <c r="BC142" s="24"/>
      <c r="BD142" s="29"/>
      <c r="BE142" s="24"/>
      <c r="BF142" s="29"/>
      <c r="BG142" s="24"/>
      <c r="BH142" s="29"/>
      <c r="BI142" s="24"/>
      <c r="BJ142" s="29"/>
      <c r="BK142" s="24"/>
      <c r="BL142" s="29"/>
      <c r="BM142" s="24"/>
      <c r="BN142" s="29"/>
      <c r="BO142" s="158"/>
      <c r="BP142" s="29"/>
      <c r="BQ142" s="24"/>
      <c r="BR142" s="29"/>
      <c r="BS142" s="24"/>
      <c r="BT142" s="29"/>
      <c r="BU142" s="24"/>
      <c r="BV142" s="29"/>
      <c r="BW142" s="24"/>
      <c r="BX142" s="29"/>
      <c r="BY142" s="24"/>
      <c r="BZ142" s="29"/>
      <c r="CA142" s="24"/>
      <c r="CB142" s="29"/>
      <c r="CC142" s="24"/>
      <c r="CD142" s="29"/>
      <c r="CE142" s="24"/>
      <c r="CF142" s="29"/>
      <c r="CG142" s="24"/>
      <c r="CH142" s="29"/>
      <c r="CI142" s="24"/>
      <c r="CJ142" s="29"/>
      <c r="CK142" s="24"/>
      <c r="CL142" s="29"/>
      <c r="CM142" s="24"/>
      <c r="CN142" s="29"/>
    </row>
    <row r="143" spans="1:92" x14ac:dyDescent="0.25">
      <c r="A143" s="45"/>
      <c r="B143" s="30"/>
      <c r="C143" s="15"/>
      <c r="D143" s="29">
        <v>1099</v>
      </c>
      <c r="E143" s="24" t="s">
        <v>4056</v>
      </c>
      <c r="F143" s="29">
        <v>3651.68</v>
      </c>
      <c r="G143" s="24" t="s">
        <v>4087</v>
      </c>
      <c r="H143" s="29"/>
      <c r="I143" s="24"/>
      <c r="J143" s="29">
        <v>3250</v>
      </c>
      <c r="K143" s="24" t="s">
        <v>4202</v>
      </c>
      <c r="L143" s="29">
        <v>4664</v>
      </c>
      <c r="M143" s="171" t="s">
        <v>4271</v>
      </c>
      <c r="N143" s="29"/>
      <c r="O143" s="24"/>
      <c r="P143" s="29">
        <v>637.72</v>
      </c>
      <c r="Q143" s="24" t="s">
        <v>4380</v>
      </c>
      <c r="R143" s="29"/>
      <c r="S143" s="24"/>
      <c r="T143" s="29">
        <v>19811.650000000001</v>
      </c>
      <c r="U143" s="24" t="s">
        <v>4473</v>
      </c>
      <c r="V143" s="32"/>
      <c r="W143" s="24"/>
      <c r="X143" s="29"/>
      <c r="Y143" s="24"/>
      <c r="Z143" s="29">
        <v>3655</v>
      </c>
      <c r="AA143" s="24" t="s">
        <v>4586</v>
      </c>
      <c r="AB143" s="31">
        <v>1970</v>
      </c>
      <c r="AC143" s="85" t="s">
        <v>4637</v>
      </c>
      <c r="AD143" s="29">
        <v>1970</v>
      </c>
      <c r="AE143" s="24" t="s">
        <v>4724</v>
      </c>
      <c r="AF143" s="96">
        <v>1459.01</v>
      </c>
      <c r="AG143" s="181" t="s">
        <v>4767</v>
      </c>
      <c r="AH143" s="29">
        <v>3320</v>
      </c>
      <c r="AI143" s="85" t="s">
        <v>4824</v>
      </c>
      <c r="AJ143" s="29"/>
      <c r="AK143" s="24"/>
      <c r="AL143" s="29">
        <v>3169</v>
      </c>
      <c r="AM143" s="24" t="s">
        <v>4934</v>
      </c>
      <c r="AN143" s="29">
        <v>80137.240000000005</v>
      </c>
      <c r="AO143" s="184" t="s">
        <v>4961</v>
      </c>
      <c r="AP143" s="29"/>
      <c r="AQ143" s="24"/>
      <c r="AR143" s="29">
        <v>2483</v>
      </c>
      <c r="AS143" s="24" t="s">
        <v>5078</v>
      </c>
      <c r="AT143" s="105">
        <v>5361</v>
      </c>
      <c r="AU143" s="106" t="s">
        <v>5176</v>
      </c>
      <c r="AV143" s="105">
        <v>4213</v>
      </c>
      <c r="AW143" s="106" t="s">
        <v>5134</v>
      </c>
      <c r="AX143" s="29"/>
      <c r="AY143" s="24"/>
      <c r="AZ143" s="29"/>
      <c r="BA143" s="24"/>
      <c r="BB143" s="29"/>
      <c r="BC143" s="24"/>
      <c r="BD143" s="29"/>
      <c r="BE143" s="24"/>
      <c r="BF143" s="30"/>
      <c r="BG143" s="15"/>
      <c r="BH143" s="29"/>
      <c r="BI143" s="24"/>
      <c r="BJ143" s="29"/>
      <c r="BK143" s="24"/>
      <c r="BL143" s="29"/>
      <c r="BM143" s="24"/>
      <c r="BN143" s="29"/>
      <c r="BO143" s="158"/>
      <c r="BP143" s="29"/>
      <c r="BQ143" s="24"/>
      <c r="BR143" s="29"/>
      <c r="BS143" s="24"/>
      <c r="BT143" s="29"/>
      <c r="BU143" s="24"/>
      <c r="BV143" s="29"/>
      <c r="BW143" s="24"/>
      <c r="BX143" s="29"/>
      <c r="BY143" s="24"/>
      <c r="BZ143" s="29"/>
      <c r="CA143" s="24"/>
      <c r="CB143" s="29"/>
      <c r="CC143" s="24"/>
      <c r="CD143" s="29"/>
      <c r="CE143" s="24"/>
      <c r="CF143" s="29"/>
      <c r="CG143" s="24"/>
      <c r="CH143" s="29"/>
      <c r="CI143" s="24"/>
      <c r="CJ143" s="29"/>
      <c r="CK143" s="24"/>
      <c r="CL143" s="29"/>
      <c r="CM143" s="24"/>
      <c r="CN143" s="29"/>
    </row>
    <row r="144" spans="1:92" x14ac:dyDescent="0.25">
      <c r="A144" s="45"/>
      <c r="B144" s="101"/>
      <c r="C144" s="57"/>
      <c r="D144" s="29">
        <v>3664</v>
      </c>
      <c r="E144" s="24" t="s">
        <v>4063</v>
      </c>
      <c r="F144" s="29">
        <v>1970</v>
      </c>
      <c r="G144" s="24" t="s">
        <v>4095</v>
      </c>
      <c r="H144" s="31">
        <v>3250</v>
      </c>
      <c r="I144" s="162" t="s">
        <v>4171</v>
      </c>
      <c r="J144" s="31">
        <v>1970</v>
      </c>
      <c r="K144" s="15" t="s">
        <v>4208</v>
      </c>
      <c r="L144" s="29">
        <v>1099</v>
      </c>
      <c r="M144" s="171" t="s">
        <v>4273</v>
      </c>
      <c r="N144" s="29"/>
      <c r="O144" s="24"/>
      <c r="P144" s="148">
        <f>+SUM(P141:P143)</f>
        <v>71275.44</v>
      </c>
      <c r="Q144" s="24"/>
      <c r="R144" s="32"/>
      <c r="S144" s="24"/>
      <c r="T144" s="104">
        <v>226000</v>
      </c>
      <c r="U144" s="24" t="s">
        <v>4475</v>
      </c>
      <c r="V144" s="29"/>
      <c r="W144" s="24"/>
      <c r="X144" s="29"/>
      <c r="Y144" s="24"/>
      <c r="Z144" s="29">
        <v>1970</v>
      </c>
      <c r="AA144" s="24" t="s">
        <v>4594</v>
      </c>
      <c r="AB144" s="31">
        <v>3250</v>
      </c>
      <c r="AC144" s="85" t="s">
        <v>4640</v>
      </c>
      <c r="AD144" s="29">
        <v>1970</v>
      </c>
      <c r="AE144" s="24" t="s">
        <v>4725</v>
      </c>
      <c r="AF144" s="29">
        <v>1099</v>
      </c>
      <c r="AG144" s="180" t="s">
        <v>4773</v>
      </c>
      <c r="AH144" s="29">
        <v>1099</v>
      </c>
      <c r="AI144" s="85" t="s">
        <v>4838</v>
      </c>
      <c r="AJ144" s="29"/>
      <c r="AK144" s="24"/>
      <c r="AL144" s="29">
        <v>1970</v>
      </c>
      <c r="AM144" s="24" t="s">
        <v>4938</v>
      </c>
      <c r="AN144" s="29">
        <v>57950</v>
      </c>
      <c r="AO144" s="184" t="s">
        <v>4962</v>
      </c>
      <c r="AP144" s="29"/>
      <c r="AQ144" s="24"/>
      <c r="AR144" s="29">
        <v>1995</v>
      </c>
      <c r="AS144" s="24" t="s">
        <v>5080</v>
      </c>
      <c r="AT144" s="29">
        <v>1970</v>
      </c>
      <c r="AU144" s="108" t="s">
        <v>5178</v>
      </c>
      <c r="AV144" s="29">
        <v>1784.1</v>
      </c>
      <c r="AW144" s="108" t="s">
        <v>5139</v>
      </c>
      <c r="AX144" s="30"/>
      <c r="AY144" s="24"/>
      <c r="AZ144" s="29"/>
      <c r="BA144" s="24"/>
      <c r="BB144" s="29"/>
      <c r="BC144" s="24"/>
      <c r="BD144" s="29"/>
      <c r="BE144" s="24"/>
      <c r="BF144" s="101"/>
      <c r="BG144" s="57"/>
      <c r="BH144" s="29"/>
      <c r="BI144" s="24"/>
      <c r="BJ144" s="29"/>
      <c r="BK144" s="24"/>
      <c r="BL144" s="29"/>
      <c r="BM144" s="24"/>
      <c r="BN144" s="94"/>
      <c r="BO144" s="24"/>
      <c r="BP144" s="29"/>
      <c r="BQ144" s="24"/>
      <c r="BR144" s="29"/>
      <c r="BS144" s="24"/>
      <c r="BT144" s="29"/>
      <c r="BU144" s="24"/>
      <c r="BV144" s="29"/>
      <c r="BW144" s="24"/>
      <c r="BX144" s="29"/>
      <c r="BY144" s="24"/>
      <c r="BZ144" s="29"/>
      <c r="CA144" s="24"/>
      <c r="CB144" s="29"/>
      <c r="CC144" s="24"/>
      <c r="CD144" s="29"/>
      <c r="CE144" s="24"/>
      <c r="CF144" s="29"/>
      <c r="CG144" s="24"/>
      <c r="CH144" s="29"/>
      <c r="CI144" s="24"/>
      <c r="CJ144" s="29"/>
      <c r="CK144" s="24"/>
      <c r="CL144" s="29"/>
      <c r="CM144" s="24"/>
      <c r="CN144" s="29"/>
    </row>
    <row r="145" spans="1:92" x14ac:dyDescent="0.25">
      <c r="A145" s="41"/>
      <c r="B145" s="31"/>
      <c r="C145" s="24"/>
      <c r="D145" s="96">
        <v>1025</v>
      </c>
      <c r="E145" s="26" t="s">
        <v>4060</v>
      </c>
      <c r="F145" s="104">
        <v>1587</v>
      </c>
      <c r="G145" s="15" t="s">
        <v>4097</v>
      </c>
      <c r="H145" s="169">
        <f>+SUM(H138:H144)</f>
        <v>169734.44</v>
      </c>
      <c r="I145" s="57"/>
      <c r="J145" s="101">
        <v>2483</v>
      </c>
      <c r="K145" s="57" t="s">
        <v>4217</v>
      </c>
      <c r="L145" s="30">
        <f>4395+400</f>
        <v>4795</v>
      </c>
      <c r="M145" s="172" t="s">
        <v>4275</v>
      </c>
      <c r="N145" s="30"/>
      <c r="O145" s="15"/>
      <c r="P145" s="30"/>
      <c r="Q145" s="15"/>
      <c r="R145" s="30"/>
      <c r="S145" s="15"/>
      <c r="T145" s="96">
        <v>10000</v>
      </c>
      <c r="U145" s="15" t="s">
        <v>4477</v>
      </c>
      <c r="V145" s="30"/>
      <c r="W145" s="15"/>
      <c r="X145" s="30"/>
      <c r="Y145" s="15"/>
      <c r="Z145" s="100">
        <f>+SUM(Z131:Z144)</f>
        <v>902205.49000000011</v>
      </c>
      <c r="AA145" s="15"/>
      <c r="AB145" s="31">
        <v>3316.35</v>
      </c>
      <c r="AC145" s="86" t="s">
        <v>4663</v>
      </c>
      <c r="AD145" s="100">
        <f>+SUM(AD131:AD144)</f>
        <v>523319.48</v>
      </c>
      <c r="AE145" s="15"/>
      <c r="AF145" s="30">
        <v>1970</v>
      </c>
      <c r="AG145" s="181" t="s">
        <v>4776</v>
      </c>
      <c r="AH145" s="30">
        <v>1099</v>
      </c>
      <c r="AI145" s="15" t="s">
        <v>4839</v>
      </c>
      <c r="AJ145" s="30"/>
      <c r="AK145" s="15"/>
      <c r="AL145" s="98">
        <f>+SUM(AL131:AL144)</f>
        <v>2075860.69</v>
      </c>
      <c r="AM145" s="15"/>
      <c r="AN145" s="30">
        <v>82000</v>
      </c>
      <c r="AO145" s="185" t="s">
        <v>4965</v>
      </c>
      <c r="AP145" s="30"/>
      <c r="AQ145" s="15"/>
      <c r="AR145" s="30">
        <v>1336</v>
      </c>
      <c r="AS145" s="15" t="s">
        <v>5089</v>
      </c>
      <c r="AT145" s="30">
        <v>1099</v>
      </c>
      <c r="AU145" s="106" t="s">
        <v>5182</v>
      </c>
      <c r="AV145" s="100">
        <f>+SUM(AV131:AV144)</f>
        <v>467119.38</v>
      </c>
      <c r="AW145" s="106"/>
      <c r="AX145" s="30"/>
      <c r="AY145" s="15"/>
      <c r="AZ145" s="30"/>
      <c r="BA145" s="15"/>
      <c r="BB145" s="30"/>
      <c r="BC145" s="15"/>
      <c r="BD145" s="30"/>
      <c r="BE145" s="15"/>
      <c r="BF145" s="31"/>
      <c r="BG145" s="24"/>
      <c r="BH145" s="94"/>
      <c r="BI145" s="15"/>
      <c r="BJ145" s="30"/>
      <c r="BK145" s="15"/>
      <c r="BL145" s="30"/>
      <c r="BM145" s="15"/>
      <c r="BN145" s="30"/>
      <c r="BO145" s="15"/>
      <c r="BP145" s="30"/>
      <c r="BQ145" s="15"/>
      <c r="BR145" s="30"/>
      <c r="BS145" s="15"/>
      <c r="BT145" s="30"/>
      <c r="BU145" s="15"/>
      <c r="BV145" s="30"/>
      <c r="BW145" s="15"/>
      <c r="BX145" s="30"/>
      <c r="BY145" s="15"/>
      <c r="BZ145" s="30"/>
      <c r="CA145" s="15"/>
      <c r="CB145" s="30"/>
      <c r="CC145" s="15"/>
      <c r="CD145" s="30"/>
      <c r="CE145" s="15"/>
      <c r="CF145" s="30"/>
      <c r="CG145" s="15"/>
      <c r="CH145" s="30"/>
      <c r="CI145" s="15"/>
      <c r="CJ145" s="30"/>
      <c r="CK145" s="15"/>
      <c r="CL145" s="30"/>
      <c r="CM145" s="15"/>
      <c r="CN145" s="30"/>
    </row>
    <row r="146" spans="1:92" x14ac:dyDescent="0.25">
      <c r="A146" s="50"/>
      <c r="B146" s="31"/>
      <c r="C146" s="24"/>
      <c r="D146" s="148">
        <f>+SUM(D142:D145)</f>
        <v>15739.96</v>
      </c>
      <c r="E146" s="57"/>
      <c r="F146" s="101">
        <v>4705.01</v>
      </c>
      <c r="G146" s="57" t="s">
        <v>4109</v>
      </c>
      <c r="H146" s="32"/>
      <c r="I146" s="24"/>
      <c r="J146" s="31">
        <v>3714</v>
      </c>
      <c r="K146" s="24" t="s">
        <v>4219</v>
      </c>
      <c r="L146" s="104">
        <v>5000</v>
      </c>
      <c r="M146" s="57" t="s">
        <v>4286</v>
      </c>
      <c r="N146" s="94"/>
      <c r="O146" s="57"/>
      <c r="P146" s="63"/>
      <c r="Q146" s="57"/>
      <c r="R146" s="63"/>
      <c r="S146" s="57"/>
      <c r="T146" s="165">
        <v>111000</v>
      </c>
      <c r="U146" s="57" t="s">
        <v>4478</v>
      </c>
      <c r="V146" s="63"/>
      <c r="W146" s="57"/>
      <c r="X146" s="101"/>
      <c r="Y146" s="57"/>
      <c r="Z146" s="63"/>
      <c r="AA146" s="57"/>
      <c r="AB146" s="31">
        <v>1975</v>
      </c>
      <c r="AC146" s="86" t="s">
        <v>4664</v>
      </c>
      <c r="AD146" s="101"/>
      <c r="AE146" s="57"/>
      <c r="AF146" s="101">
        <f>2750*2</f>
        <v>5500</v>
      </c>
      <c r="AG146" s="182" t="s">
        <v>4792</v>
      </c>
      <c r="AH146" s="169">
        <f>+SUM(AH131:AH145)</f>
        <v>1155855.22</v>
      </c>
      <c r="AI146" s="57"/>
      <c r="AJ146" s="63"/>
      <c r="AK146" s="57"/>
      <c r="AL146" s="160"/>
      <c r="AM146" s="57"/>
      <c r="AN146" s="101">
        <v>500</v>
      </c>
      <c r="AO146" s="186" t="s">
        <v>4966</v>
      </c>
      <c r="AP146" s="63"/>
      <c r="AQ146" s="57"/>
      <c r="AR146" s="100">
        <f>+SUM(AR131:AR145)</f>
        <v>1358624.3</v>
      </c>
      <c r="AS146" s="57"/>
      <c r="AT146" s="29">
        <v>1970</v>
      </c>
      <c r="AU146" s="108" t="s">
        <v>5183</v>
      </c>
      <c r="AV146" s="94">
        <f>480950.38+1169</f>
        <v>482119.38</v>
      </c>
      <c r="AW146" s="108"/>
      <c r="AX146" s="96"/>
      <c r="AY146" s="26"/>
      <c r="AZ146" s="101"/>
      <c r="BA146" s="57"/>
      <c r="BB146" s="101"/>
      <c r="BC146" s="57"/>
      <c r="BD146" s="63"/>
      <c r="BE146" s="57"/>
      <c r="BF146" s="31"/>
      <c r="BG146" s="24"/>
      <c r="BH146" s="63"/>
      <c r="BI146" s="57"/>
      <c r="BJ146" s="101"/>
      <c r="BK146" s="57"/>
      <c r="BL146" s="63"/>
      <c r="BM146" s="57"/>
      <c r="BN146" s="101"/>
      <c r="BO146" s="57"/>
      <c r="BP146" s="63"/>
      <c r="BQ146" s="57"/>
      <c r="BR146" s="63"/>
      <c r="BS146" s="57"/>
      <c r="BT146" s="63"/>
      <c r="BU146" s="57"/>
      <c r="BV146" s="63"/>
      <c r="BW146" s="57"/>
      <c r="BX146" s="63"/>
      <c r="BY146" s="57"/>
      <c r="BZ146" s="63"/>
      <c r="CA146" s="57"/>
      <c r="CB146" s="63"/>
      <c r="CC146" s="57"/>
      <c r="CD146" s="63"/>
      <c r="CE146" s="57"/>
      <c r="CF146" s="63"/>
      <c r="CG146" s="57"/>
      <c r="CH146" s="63"/>
      <c r="CI146" s="57"/>
      <c r="CJ146" s="63"/>
      <c r="CK146" s="57"/>
      <c r="CL146" s="63"/>
      <c r="CM146" s="57"/>
      <c r="CN146" s="63"/>
    </row>
    <row r="147" spans="1:92" x14ac:dyDescent="0.25">
      <c r="A147" s="46"/>
      <c r="B147" s="114"/>
      <c r="C147" s="13"/>
      <c r="D147" s="31"/>
      <c r="E147" s="24"/>
      <c r="F147" s="61">
        <f>+SUM(F135:F146)</f>
        <v>1872147.3599999999</v>
      </c>
      <c r="G147" s="24"/>
      <c r="H147" s="32"/>
      <c r="I147" s="24"/>
      <c r="J147" s="31">
        <v>4616.26</v>
      </c>
      <c r="K147" s="24" t="s">
        <v>4220</v>
      </c>
      <c r="L147" s="115">
        <f>+SUM(L131:L146)</f>
        <v>976628.25</v>
      </c>
      <c r="M147" s="24"/>
      <c r="N147" s="31"/>
      <c r="O147" s="24"/>
      <c r="P147" s="31"/>
      <c r="Q147" s="24"/>
      <c r="R147" s="31"/>
      <c r="S147" s="24"/>
      <c r="T147" s="104">
        <v>154400</v>
      </c>
      <c r="U147" s="24" t="s">
        <v>4479</v>
      </c>
      <c r="V147" s="31"/>
      <c r="W147" s="24"/>
      <c r="X147" s="31"/>
      <c r="Y147" s="24"/>
      <c r="Z147" s="31"/>
      <c r="AA147" s="24"/>
      <c r="AB147" s="148">
        <f>+SUM(AB131:AB146)</f>
        <v>2189232.2200000002</v>
      </c>
      <c r="AC147" s="85"/>
      <c r="AD147" s="148"/>
      <c r="AE147" s="24"/>
      <c r="AF147" s="148">
        <f>+SUM(AF131:AF146)</f>
        <v>1289441.01</v>
      </c>
      <c r="AG147" s="180"/>
      <c r="AH147" s="31"/>
      <c r="AI147" s="24"/>
      <c r="AJ147" s="31"/>
      <c r="AK147" s="24"/>
      <c r="AL147" s="31"/>
      <c r="AM147" s="24"/>
      <c r="AN147" s="31">
        <v>3619</v>
      </c>
      <c r="AO147" s="184" t="s">
        <v>4968</v>
      </c>
      <c r="AP147" s="31"/>
      <c r="AQ147" s="24"/>
      <c r="AR147" s="98">
        <v>1359723.3</v>
      </c>
      <c r="AS147" s="24"/>
      <c r="AT147" s="78">
        <v>6073.75</v>
      </c>
      <c r="AU147" s="106" t="s">
        <v>5196</v>
      </c>
      <c r="AV147" s="78">
        <f>+AV146-AV145</f>
        <v>15000</v>
      </c>
      <c r="AW147" s="106"/>
      <c r="AX147" s="31"/>
      <c r="AY147" s="24"/>
      <c r="AZ147" s="94"/>
      <c r="BA147" s="24"/>
      <c r="BB147" s="104"/>
      <c r="BC147" s="24"/>
      <c r="BD147" s="31"/>
      <c r="BE147" s="24"/>
      <c r="BF147" s="114"/>
      <c r="BG147" s="13"/>
      <c r="BH147" s="31"/>
      <c r="BI147" s="24"/>
      <c r="BJ147" s="31"/>
      <c r="BK147" s="24"/>
      <c r="BL147" s="31"/>
      <c r="BM147" s="24"/>
      <c r="BN147" s="31"/>
      <c r="BO147" s="24"/>
      <c r="BP147" s="31"/>
      <c r="BQ147" s="24"/>
      <c r="BR147" s="31"/>
      <c r="BS147" s="24"/>
      <c r="BT147" s="31"/>
      <c r="BU147" s="24"/>
      <c r="BV147" s="31"/>
      <c r="BW147" s="24"/>
      <c r="BX147" s="31"/>
      <c r="BY147" s="24"/>
      <c r="BZ147" s="31"/>
      <c r="CA147" s="24"/>
      <c r="CB147" s="31"/>
      <c r="CC147" s="24"/>
      <c r="CD147" s="31"/>
      <c r="CE147" s="24"/>
      <c r="CF147" s="31"/>
      <c r="CG147" s="24"/>
      <c r="CH147" s="31"/>
      <c r="CI147" s="24"/>
      <c r="CJ147" s="31"/>
      <c r="CK147" s="24"/>
      <c r="CL147" s="31"/>
      <c r="CM147" s="24"/>
      <c r="CN147" s="31"/>
    </row>
    <row r="148" spans="1:92" x14ac:dyDescent="0.25">
      <c r="A148" s="46"/>
      <c r="B148" s="96"/>
      <c r="C148" s="15"/>
      <c r="D148" s="31"/>
      <c r="E148" s="24"/>
      <c r="F148" s="148"/>
      <c r="G148" s="24"/>
      <c r="H148" s="31"/>
      <c r="I148" s="24"/>
      <c r="J148" s="104">
        <v>5568</v>
      </c>
      <c r="K148" s="24" t="s">
        <v>4221</v>
      </c>
      <c r="L148" s="31"/>
      <c r="M148" s="24"/>
      <c r="N148" s="31"/>
      <c r="O148" s="24"/>
      <c r="P148" s="31"/>
      <c r="Q148" s="24"/>
      <c r="R148" s="31"/>
      <c r="S148" s="24"/>
      <c r="T148" s="104">
        <v>10260.86</v>
      </c>
      <c r="U148" s="24" t="s">
        <v>4482</v>
      </c>
      <c r="V148" s="31"/>
      <c r="W148" s="24"/>
      <c r="X148" s="148"/>
      <c r="Y148" s="24"/>
      <c r="Z148" s="31"/>
      <c r="AA148" s="24"/>
      <c r="AB148" s="31"/>
      <c r="AC148" s="24"/>
      <c r="AD148" s="31"/>
      <c r="AE148" s="24"/>
      <c r="AF148" s="32"/>
      <c r="AG148" s="24"/>
      <c r="AH148" s="31"/>
      <c r="AI148" s="24"/>
      <c r="AJ148" s="31"/>
      <c r="AK148" s="24"/>
      <c r="AL148" s="31"/>
      <c r="AM148" s="24"/>
      <c r="AN148" s="104">
        <v>2170.35</v>
      </c>
      <c r="AO148" s="187" t="s">
        <v>4983</v>
      </c>
      <c r="AP148" s="31"/>
      <c r="AQ148" s="24"/>
      <c r="AR148" s="31">
        <f>+AR146-AR147</f>
        <v>-1099</v>
      </c>
      <c r="AS148" s="26"/>
      <c r="AT148" s="78">
        <v>2414.81</v>
      </c>
      <c r="AU148" s="106" t="s">
        <v>5198</v>
      </c>
      <c r="AV148" s="78"/>
      <c r="AW148" s="106"/>
      <c r="AX148" s="31"/>
      <c r="AY148" s="24"/>
      <c r="AZ148" s="31"/>
      <c r="BA148" s="24"/>
      <c r="BB148" s="104"/>
      <c r="BC148" s="24"/>
      <c r="BD148" s="31"/>
      <c r="BE148" s="24"/>
      <c r="BF148" s="96"/>
      <c r="BG148" s="15"/>
      <c r="BH148" s="31"/>
      <c r="BI148" s="24"/>
      <c r="BJ148" s="104"/>
      <c r="BK148" s="24"/>
      <c r="BL148" s="31"/>
      <c r="BM148" s="24"/>
      <c r="BN148" s="31"/>
      <c r="BO148" s="24"/>
      <c r="BP148" s="31"/>
      <c r="BQ148" s="24"/>
      <c r="BR148" s="31"/>
      <c r="BS148" s="24"/>
      <c r="BT148" s="31"/>
      <c r="BU148" s="24"/>
      <c r="BV148" s="31"/>
      <c r="BW148" s="24"/>
      <c r="BX148" s="31"/>
      <c r="BY148" s="24"/>
      <c r="BZ148" s="31"/>
      <c r="CA148" s="24"/>
      <c r="CB148" s="31"/>
      <c r="CC148" s="24"/>
      <c r="CD148" s="31"/>
      <c r="CE148" s="24"/>
      <c r="CF148" s="31"/>
      <c r="CG148" s="24"/>
      <c r="CH148" s="31"/>
      <c r="CI148" s="24"/>
      <c r="CJ148" s="31"/>
      <c r="CK148" s="24"/>
      <c r="CL148" s="31"/>
      <c r="CM148" s="24"/>
      <c r="CN148" s="31"/>
    </row>
    <row r="149" spans="1:92" x14ac:dyDescent="0.25">
      <c r="B149" s="116"/>
      <c r="C149" s="24"/>
      <c r="D149" s="120"/>
      <c r="E149" s="120"/>
      <c r="F149" s="120"/>
      <c r="G149" s="120"/>
      <c r="H149" s="120"/>
      <c r="I149" s="120"/>
      <c r="J149" s="128">
        <v>1099.01</v>
      </c>
      <c r="K149" s="24" t="s">
        <v>4223</v>
      </c>
      <c r="L149" s="120"/>
      <c r="M149" s="120"/>
      <c r="N149" s="120"/>
      <c r="O149" s="120"/>
      <c r="P149" s="120"/>
      <c r="Q149" s="120"/>
      <c r="R149" s="124"/>
      <c r="S149" s="120"/>
      <c r="T149" s="173">
        <v>255000</v>
      </c>
      <c r="U149" s="24" t="s">
        <v>4483</v>
      </c>
      <c r="V149" s="120"/>
      <c r="W149" s="120"/>
      <c r="X149" s="120"/>
      <c r="Y149" s="120"/>
      <c r="Z149" s="31"/>
      <c r="AA149" s="24"/>
      <c r="AB149" s="120"/>
      <c r="AC149" s="120"/>
      <c r="AD149" s="120"/>
      <c r="AE149" s="120"/>
      <c r="AF149" s="96"/>
      <c r="AG149" s="120"/>
      <c r="AH149" s="120"/>
      <c r="AI149" s="120"/>
      <c r="AJ149" s="120"/>
      <c r="AK149" s="120"/>
      <c r="AL149" s="128"/>
      <c r="AM149" s="120"/>
      <c r="AN149" s="96">
        <v>2065</v>
      </c>
      <c r="AO149" s="188" t="s">
        <v>4985</v>
      </c>
      <c r="AP149" s="30"/>
      <c r="AQ149" s="24"/>
      <c r="AR149" s="26" t="s">
        <v>715</v>
      </c>
      <c r="AS149" s="120"/>
      <c r="AT149" s="150">
        <v>10140.530000000001</v>
      </c>
      <c r="AU149" s="106" t="s">
        <v>5200</v>
      </c>
      <c r="AV149" s="120"/>
      <c r="AW149" s="120"/>
      <c r="AX149" s="96"/>
      <c r="AY149" s="26"/>
      <c r="AZ149" s="120"/>
      <c r="BA149" s="120"/>
      <c r="BB149" s="128"/>
      <c r="BC149" s="24"/>
      <c r="BD149" s="120"/>
      <c r="BE149" s="120"/>
      <c r="BF149" s="128"/>
      <c r="BG149" s="154"/>
      <c r="BH149" s="120"/>
      <c r="BI149" s="120"/>
      <c r="BJ149" s="128"/>
      <c r="BK149" s="24"/>
      <c r="BL149" s="120"/>
      <c r="BM149" s="120"/>
      <c r="BN149" s="151"/>
      <c r="BO149" s="120"/>
    </row>
    <row r="150" spans="1:92" x14ac:dyDescent="0.25">
      <c r="B150" s="116"/>
      <c r="C150" s="24"/>
      <c r="D150" s="120"/>
      <c r="E150" s="120"/>
      <c r="F150" s="120"/>
      <c r="G150" s="120"/>
      <c r="H150" s="120"/>
      <c r="I150" s="124"/>
      <c r="J150" s="96">
        <v>927.99</v>
      </c>
      <c r="K150" s="15" t="s">
        <v>4194</v>
      </c>
      <c r="L150" s="120"/>
      <c r="M150" s="120"/>
      <c r="N150" s="120"/>
      <c r="O150" s="120"/>
      <c r="P150" s="120"/>
      <c r="Q150" s="120"/>
      <c r="R150" s="120"/>
      <c r="S150" s="120"/>
      <c r="T150" s="173">
        <v>2093</v>
      </c>
      <c r="U150" s="24" t="s">
        <v>4484</v>
      </c>
      <c r="V150" s="120"/>
      <c r="W150" s="120"/>
      <c r="X150" s="120"/>
      <c r="Y150" s="120"/>
      <c r="Z150" s="32"/>
      <c r="AA150" s="24"/>
      <c r="AB150" s="120">
        <f>2253721.12-64488.89</f>
        <v>2189232.23</v>
      </c>
      <c r="AC150" s="120"/>
      <c r="AD150" s="120"/>
      <c r="AE150" s="120"/>
      <c r="AF150" s="179"/>
      <c r="AG150" s="120"/>
      <c r="AH150" s="120"/>
      <c r="AI150" s="120"/>
      <c r="AJ150" s="120"/>
      <c r="AK150" s="120"/>
      <c r="AL150" s="150"/>
      <c r="AM150" s="120"/>
      <c r="AN150" s="183">
        <v>505.01</v>
      </c>
      <c r="AO150" s="188" t="s">
        <v>4987</v>
      </c>
      <c r="AP150" s="98"/>
      <c r="AQ150" s="24"/>
      <c r="AR150" s="120"/>
      <c r="AS150" s="120"/>
      <c r="AT150" s="151">
        <f>+SUM(AT131:AT149)</f>
        <v>1282421.02</v>
      </c>
      <c r="AU150" s="120"/>
      <c r="AV150" s="120"/>
      <c r="AW150" s="120"/>
      <c r="AX150" s="146"/>
      <c r="AY150" s="120"/>
      <c r="AZ150" s="120"/>
      <c r="BA150" s="120"/>
      <c r="BB150" s="128"/>
      <c r="BC150" s="24"/>
      <c r="BD150" s="120"/>
      <c r="BE150" s="120"/>
      <c r="BF150" s="128"/>
      <c r="BG150" s="154"/>
      <c r="BH150" s="120"/>
      <c r="BI150" s="120"/>
      <c r="BJ150" s="128"/>
      <c r="BK150" s="24"/>
      <c r="BL150" s="120"/>
      <c r="BM150" s="120"/>
      <c r="BN150" s="120"/>
      <c r="BO150" s="120"/>
    </row>
    <row r="151" spans="1:92" x14ac:dyDescent="0.25">
      <c r="B151" s="116"/>
      <c r="C151" s="24"/>
      <c r="D151" s="120"/>
      <c r="E151" s="120"/>
      <c r="F151" s="120"/>
      <c r="G151" s="120"/>
      <c r="H151" s="120"/>
      <c r="I151" s="120"/>
      <c r="J151" s="151">
        <f>+SUM(J138:J150)</f>
        <v>91175.06</v>
      </c>
      <c r="K151" s="120"/>
      <c r="L151" s="120"/>
      <c r="M151" s="120"/>
      <c r="N151" s="120"/>
      <c r="O151" s="120"/>
      <c r="P151" s="120"/>
      <c r="Q151" s="120"/>
      <c r="R151" s="120"/>
      <c r="S151" s="120"/>
      <c r="T151" s="173">
        <v>4395</v>
      </c>
      <c r="U151" s="24" t="s">
        <v>4497</v>
      </c>
      <c r="V151" s="120"/>
      <c r="W151" s="120"/>
      <c r="X151" s="120"/>
      <c r="Y151" s="120"/>
      <c r="Z151" s="31"/>
      <c r="AA151" s="120"/>
      <c r="AB151" s="120"/>
      <c r="AC151" s="120"/>
      <c r="AD151" s="120"/>
      <c r="AE151" s="120"/>
      <c r="AF151" s="128"/>
      <c r="AG151" s="120"/>
      <c r="AH151" s="120"/>
      <c r="AI151" s="120"/>
      <c r="AJ151" s="120"/>
      <c r="AK151" s="120"/>
      <c r="AL151" s="128"/>
      <c r="AM151" s="120"/>
      <c r="AN151" s="128">
        <v>635.01</v>
      </c>
      <c r="AO151" s="188" t="s">
        <v>4988</v>
      </c>
      <c r="AP151" s="32"/>
      <c r="AQ151" s="120"/>
      <c r="AR151" s="120"/>
      <c r="AS151" s="120"/>
      <c r="AT151" s="120"/>
      <c r="AU151" s="120"/>
      <c r="AV151" s="120"/>
      <c r="AW151" s="120"/>
      <c r="AX151" s="128"/>
      <c r="AY151" s="120"/>
      <c r="AZ151" s="120"/>
      <c r="BA151" s="120"/>
      <c r="BB151" s="128"/>
      <c r="BC151" s="24"/>
      <c r="BD151" s="120"/>
      <c r="BE151" s="120"/>
      <c r="BF151" s="128"/>
      <c r="BG151" s="153"/>
      <c r="BH151" s="120"/>
      <c r="BI151" s="120"/>
      <c r="BJ151" s="128"/>
      <c r="BK151" s="24"/>
      <c r="BL151" s="120"/>
      <c r="BM151" s="120"/>
      <c r="BN151" s="120"/>
      <c r="BO151" s="120"/>
    </row>
    <row r="152" spans="1:92" x14ac:dyDescent="0.25">
      <c r="B152" s="116"/>
      <c r="C152" s="24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73">
        <v>4739.3900000000003</v>
      </c>
      <c r="U152" s="24" t="s">
        <v>4505</v>
      </c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8"/>
      <c r="AG152" s="127"/>
      <c r="AH152" s="120"/>
      <c r="AI152" s="120"/>
      <c r="AJ152" s="120"/>
      <c r="AK152" s="120"/>
      <c r="AL152" s="146"/>
      <c r="AM152" s="120"/>
      <c r="AN152" s="128">
        <v>2337.31</v>
      </c>
      <c r="AO152" s="189" t="s">
        <v>4994</v>
      </c>
      <c r="AP152" s="120"/>
      <c r="AQ152" s="120"/>
      <c r="AR152" s="120"/>
      <c r="AS152" s="120"/>
      <c r="AT152" s="120"/>
      <c r="AU152" s="120"/>
      <c r="AV152" s="120"/>
      <c r="AW152" s="120"/>
      <c r="AX152" s="128"/>
      <c r="AY152" s="120"/>
      <c r="AZ152" s="120"/>
      <c r="BA152" s="124"/>
      <c r="BB152" s="128"/>
      <c r="BC152" s="24"/>
      <c r="BD152" s="120"/>
      <c r="BE152" s="120"/>
      <c r="BF152" s="151"/>
      <c r="BG152" s="120"/>
      <c r="BH152" s="120"/>
      <c r="BI152" s="120"/>
      <c r="BJ152" s="128"/>
      <c r="BK152" s="24"/>
      <c r="BL152" s="120"/>
      <c r="BM152" s="120"/>
      <c r="BN152" s="120"/>
      <c r="BO152" s="120"/>
    </row>
    <row r="153" spans="1:92" x14ac:dyDescent="0.25">
      <c r="B153" s="31"/>
      <c r="C153" s="24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74">
        <f>+SUM(T139:T152)</f>
        <v>1337864.7000000002</v>
      </c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46"/>
      <c r="AG153" s="120"/>
      <c r="AH153" s="120"/>
      <c r="AI153" s="120"/>
      <c r="AJ153" s="120"/>
      <c r="AK153" s="120"/>
      <c r="AL153" s="128"/>
      <c r="AM153" s="120"/>
      <c r="AN153" s="151">
        <f>+SUM(AN131:AN152)</f>
        <v>1269030.2500000002</v>
      </c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8"/>
      <c r="AY153" s="127"/>
      <c r="AZ153" s="120"/>
      <c r="BA153" s="120"/>
      <c r="BB153" s="128"/>
      <c r="BC153" s="24"/>
      <c r="BD153" s="120"/>
      <c r="BE153" s="120"/>
      <c r="BF153" s="128"/>
      <c r="BG153" s="120"/>
      <c r="BH153" s="120"/>
      <c r="BI153" s="120"/>
      <c r="BJ153" s="96"/>
      <c r="BK153" s="15"/>
      <c r="BL153" s="120"/>
      <c r="BM153" s="120"/>
      <c r="BN153" s="120"/>
      <c r="BO153" s="120"/>
    </row>
    <row r="154" spans="1:92" x14ac:dyDescent="0.25">
      <c r="B154" s="34"/>
      <c r="C154" s="54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8"/>
      <c r="AG154" s="120"/>
      <c r="AH154" s="120"/>
      <c r="AI154" s="120"/>
      <c r="AJ154" s="120"/>
      <c r="AK154" s="120"/>
      <c r="AL154" s="120"/>
      <c r="AM154" s="120"/>
      <c r="AN154" s="128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8"/>
      <c r="AY154" s="127"/>
      <c r="AZ154" s="120"/>
      <c r="BA154" s="120"/>
      <c r="BB154" s="128"/>
      <c r="BC154" s="24"/>
      <c r="BD154" s="120"/>
      <c r="BE154" s="120"/>
      <c r="BF154" s="120"/>
      <c r="BG154" s="120"/>
      <c r="BH154" s="120"/>
      <c r="BI154" s="120"/>
      <c r="BJ154" s="156"/>
      <c r="BK154" s="120"/>
      <c r="BL154" s="120"/>
      <c r="BM154" s="120"/>
      <c r="BN154" s="120"/>
      <c r="BO154" s="120"/>
    </row>
    <row r="155" spans="1:92" x14ac:dyDescent="0.25">
      <c r="B155" s="31"/>
      <c r="C155" s="24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8"/>
      <c r="AY155" s="127"/>
      <c r="AZ155" s="120"/>
      <c r="BA155" s="120"/>
      <c r="BB155" s="128"/>
      <c r="BC155" s="24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</row>
    <row r="156" spans="1:92" x14ac:dyDescent="0.25">
      <c r="B156" s="31"/>
      <c r="C156" s="24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51"/>
      <c r="AY156" s="120"/>
      <c r="AZ156" s="120"/>
      <c r="BA156" s="120"/>
      <c r="BB156" s="128"/>
      <c r="BC156" s="24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</row>
    <row r="157" spans="1:92" x14ac:dyDescent="0.25">
      <c r="B157" s="31"/>
      <c r="C157" s="24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8"/>
      <c r="AY157" s="127"/>
      <c r="AZ157" s="120"/>
      <c r="BA157" s="120"/>
      <c r="BB157" s="94"/>
      <c r="BC157" s="15"/>
      <c r="BD157" s="9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</row>
    <row r="158" spans="1:92" x14ac:dyDescent="0.25">
      <c r="B158" s="35"/>
      <c r="C158" s="58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94"/>
      <c r="BC158" s="120"/>
      <c r="BD158" s="120"/>
      <c r="BE158" s="120"/>
      <c r="BF158" s="120"/>
      <c r="BG158" s="120"/>
      <c r="BH158" s="120"/>
      <c r="BI158" s="120"/>
      <c r="BJ158" s="149"/>
      <c r="BK158" s="120"/>
      <c r="BL158" s="120"/>
      <c r="BM158" s="120"/>
      <c r="BN158" s="120"/>
      <c r="BO158" s="120"/>
    </row>
    <row r="159" spans="1:92" x14ac:dyDescent="0.25">
      <c r="B159" s="31"/>
      <c r="C159" s="24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8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</row>
    <row r="160" spans="1:92" x14ac:dyDescent="0.25">
      <c r="B160" s="36"/>
      <c r="C160" s="13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5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</row>
    <row r="161" spans="2:67" x14ac:dyDescent="0.25"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4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</row>
    <row r="162" spans="2:67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</row>
    <row r="163" spans="2:67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</row>
    <row r="164" spans="2:67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</row>
    <row r="165" spans="2:67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</row>
    <row r="166" spans="2:67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</row>
    <row r="167" spans="2:67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</row>
    <row r="168" spans="2:67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</row>
    <row r="169" spans="2:67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</row>
    <row r="170" spans="2:67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</row>
    <row r="171" spans="2:67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</row>
    <row r="172" spans="2:67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</row>
    <row r="173" spans="2:67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</row>
    <row r="174" spans="2:67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</row>
    <row r="175" spans="2:67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</row>
    <row r="176" spans="2:67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</row>
    <row r="177" spans="2:47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</row>
    <row r="178" spans="2:47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</row>
    <row r="179" spans="2:47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</row>
    <row r="180" spans="2:47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</row>
    <row r="181" spans="2:47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</row>
    <row r="182" spans="2:47" x14ac:dyDescent="0.25"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</row>
    <row r="183" spans="2:47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</row>
    <row r="184" spans="2:47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</row>
    <row r="185" spans="2:47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</row>
    <row r="186" spans="2:47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86"/>
  <sheetViews>
    <sheetView zoomScale="90" zoomScaleNormal="90"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AV124" sqref="AV124:AV126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4.5703125" bestFit="1" customWidth="1"/>
    <col min="8" max="8" width="13.42578125" bestFit="1" customWidth="1"/>
    <col min="9" max="9" width="12.28515625" bestFit="1" customWidth="1"/>
    <col min="10" max="10" width="13.42578125" bestFit="1" customWidth="1"/>
    <col min="12" max="12" width="13.42578125" bestFit="1" customWidth="1"/>
    <col min="14" max="14" width="13.140625" bestFit="1" customWidth="1"/>
    <col min="16" max="16" width="13.42578125" bestFit="1" customWidth="1"/>
    <col min="18" max="18" width="14.85546875" bestFit="1" customWidth="1"/>
    <col min="20" max="20" width="14.5703125" bestFit="1" customWidth="1"/>
    <col min="22" max="22" width="14.5703125" bestFit="1" customWidth="1"/>
    <col min="24" max="24" width="13.5703125" bestFit="1" customWidth="1"/>
    <col min="26" max="26" width="12.85546875" bestFit="1" customWidth="1"/>
    <col min="28" max="28" width="14.85546875" bestFit="1" customWidth="1"/>
    <col min="30" max="30" width="13.85546875" bestFit="1" customWidth="1"/>
    <col min="31" max="31" width="13.140625" bestFit="1" customWidth="1"/>
    <col min="32" max="32" width="14.85546875" customWidth="1"/>
    <col min="34" max="34" width="13.5703125" bestFit="1" customWidth="1"/>
    <col min="36" max="36" width="13.42578125" bestFit="1" customWidth="1"/>
    <col min="38" max="38" width="15.28515625" bestFit="1" customWidth="1"/>
    <col min="40" max="40" width="13.85546875" bestFit="1" customWidth="1"/>
    <col min="42" max="42" width="13.7109375" customWidth="1"/>
    <col min="44" max="44" width="13" bestFit="1" customWidth="1"/>
    <col min="46" max="46" width="13.85546875" bestFit="1" customWidth="1"/>
    <col min="48" max="48" width="12.7109375" bestFit="1" customWidth="1"/>
    <col min="50" max="50" width="13.85546875" bestFit="1" customWidth="1"/>
    <col min="52" max="52" width="13.85546875" bestFit="1" customWidth="1"/>
    <col min="54" max="54" width="13.85546875" bestFit="1" customWidth="1"/>
    <col min="55" max="55" width="12.7109375" bestFit="1" customWidth="1"/>
    <col min="56" max="56" width="13.85546875" bestFit="1" customWidth="1"/>
    <col min="58" max="58" width="13.85546875" bestFit="1" customWidth="1"/>
    <col min="60" max="60" width="13.140625" bestFit="1" customWidth="1"/>
    <col min="61" max="61" width="11.5703125" bestFit="1" customWidth="1"/>
    <col min="62" max="62" width="13.42578125" bestFit="1" customWidth="1"/>
    <col min="64" max="64" width="13.42578125" bestFit="1" customWidth="1"/>
    <col min="66" max="66" width="15.28515625" bestFit="1" customWidth="1"/>
  </cols>
  <sheetData>
    <row r="1" spans="1:92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spans="1:92" x14ac:dyDescent="0.25">
      <c r="A2" s="47"/>
      <c r="B2" s="142">
        <v>42856</v>
      </c>
      <c r="C2" s="142"/>
      <c r="D2" s="141">
        <v>42857</v>
      </c>
      <c r="E2" s="142"/>
      <c r="F2" s="141">
        <v>42858</v>
      </c>
      <c r="G2" s="142"/>
      <c r="H2" s="141">
        <v>42859</v>
      </c>
      <c r="I2" s="142"/>
      <c r="J2" s="141">
        <v>42860</v>
      </c>
      <c r="K2" s="142"/>
      <c r="L2" s="141">
        <v>42861</v>
      </c>
      <c r="M2" s="142"/>
      <c r="N2" s="141">
        <v>42862</v>
      </c>
      <c r="O2" s="142"/>
      <c r="P2" s="141">
        <v>42802</v>
      </c>
      <c r="Q2" s="142"/>
      <c r="R2" s="141">
        <v>42864</v>
      </c>
      <c r="S2" s="142"/>
      <c r="T2" s="141">
        <v>42865</v>
      </c>
      <c r="U2" s="142"/>
      <c r="V2" s="141">
        <v>42866</v>
      </c>
      <c r="W2" s="142"/>
      <c r="X2" s="141">
        <v>42867</v>
      </c>
      <c r="Y2" s="142"/>
      <c r="Z2" s="141">
        <v>42868</v>
      </c>
      <c r="AA2" s="142"/>
      <c r="AB2" s="141">
        <v>42869</v>
      </c>
      <c r="AC2" s="142"/>
      <c r="AD2" s="141">
        <v>42870</v>
      </c>
      <c r="AE2" s="142"/>
      <c r="AF2" s="141">
        <v>42871</v>
      </c>
      <c r="AG2" s="142"/>
      <c r="AH2" s="141">
        <v>42872</v>
      </c>
      <c r="AI2" s="142"/>
      <c r="AJ2" s="141">
        <v>42873</v>
      </c>
      <c r="AK2" s="142"/>
      <c r="AL2" s="141">
        <v>42874</v>
      </c>
      <c r="AM2" s="142"/>
      <c r="AN2" s="141">
        <v>42875</v>
      </c>
      <c r="AO2" s="142"/>
      <c r="AP2" s="141">
        <v>42877</v>
      </c>
      <c r="AQ2" s="142"/>
      <c r="AR2" s="141">
        <v>42878</v>
      </c>
      <c r="AS2" s="142"/>
      <c r="AT2" s="141">
        <v>42879</v>
      </c>
      <c r="AU2" s="142"/>
      <c r="AV2" s="141">
        <v>42880</v>
      </c>
      <c r="AW2" s="142"/>
      <c r="AX2" s="141">
        <v>42881</v>
      </c>
      <c r="AY2" s="142"/>
      <c r="AZ2" s="141">
        <v>42882</v>
      </c>
      <c r="BA2" s="142"/>
      <c r="BB2" s="141">
        <v>42883</v>
      </c>
      <c r="BC2" s="142"/>
      <c r="BD2" s="141">
        <v>42884</v>
      </c>
      <c r="BE2" s="142"/>
      <c r="BF2" s="141">
        <v>42885</v>
      </c>
      <c r="BG2" s="142"/>
      <c r="BH2" s="141">
        <v>42886</v>
      </c>
      <c r="BI2" s="142"/>
      <c r="BJ2" s="141"/>
      <c r="BK2" s="142"/>
      <c r="BL2" s="141"/>
      <c r="BM2" s="142"/>
      <c r="BN2" s="141"/>
      <c r="BO2" s="142"/>
      <c r="BP2" s="141"/>
      <c r="BQ2" s="142"/>
      <c r="BR2" s="141"/>
      <c r="BS2" s="142"/>
      <c r="BT2" s="141"/>
      <c r="BU2" s="142"/>
      <c r="BV2" s="141"/>
      <c r="BW2" s="142"/>
      <c r="BX2" s="141"/>
      <c r="BY2" s="142"/>
      <c r="BZ2" s="141"/>
      <c r="CA2" s="142"/>
      <c r="CB2" s="141"/>
      <c r="CC2" s="142"/>
      <c r="CD2" s="2"/>
      <c r="CE2" s="55"/>
      <c r="CF2" s="2"/>
      <c r="CG2" s="55"/>
      <c r="CH2" s="2"/>
      <c r="CI2" s="55"/>
      <c r="CJ2" s="2"/>
      <c r="CK2" s="55"/>
      <c r="CL2" s="2"/>
      <c r="CM2" s="55"/>
      <c r="CN2" s="2"/>
    </row>
    <row r="3" spans="1:92" x14ac:dyDescent="0.25">
      <c r="A3" s="38" t="s">
        <v>0</v>
      </c>
      <c r="B3" s="143">
        <v>135000</v>
      </c>
      <c r="C3" s="15"/>
      <c r="D3" s="143">
        <v>83419.820000000007</v>
      </c>
      <c r="E3" s="15"/>
      <c r="F3" s="143">
        <v>275211.23</v>
      </c>
      <c r="G3" s="15"/>
      <c r="H3" s="143">
        <v>52794.94</v>
      </c>
      <c r="I3" s="15"/>
      <c r="J3" s="143">
        <v>90117.77</v>
      </c>
      <c r="K3" s="15"/>
      <c r="L3" s="143">
        <v>51026.54</v>
      </c>
      <c r="M3" s="15"/>
      <c r="N3" s="143"/>
      <c r="O3" s="15"/>
      <c r="P3" s="143">
        <v>134971.29999999999</v>
      </c>
      <c r="Q3" s="15"/>
      <c r="R3" s="143">
        <v>189625.58</v>
      </c>
      <c r="S3" s="15"/>
      <c r="T3" s="143">
        <v>34093.21</v>
      </c>
      <c r="U3" s="15"/>
      <c r="V3" s="143">
        <v>66910.41</v>
      </c>
      <c r="W3" s="15"/>
      <c r="X3" s="143">
        <v>57743.82</v>
      </c>
      <c r="Y3" s="15"/>
      <c r="Z3" s="143">
        <v>113982.21</v>
      </c>
      <c r="AA3" s="15"/>
      <c r="AB3" s="143"/>
      <c r="AC3" s="15"/>
      <c r="AD3" s="143">
        <v>50071.55</v>
      </c>
      <c r="AE3" s="15"/>
      <c r="AF3" s="143">
        <v>28603.119999999999</v>
      </c>
      <c r="AG3" s="15"/>
      <c r="AH3" s="143">
        <v>14744.16</v>
      </c>
      <c r="AI3" s="15"/>
      <c r="AJ3" s="143">
        <v>7379.6</v>
      </c>
      <c r="AK3" s="15"/>
      <c r="AL3" s="143">
        <v>60468.1</v>
      </c>
      <c r="AM3" s="15"/>
      <c r="AN3" s="143">
        <v>53769.48</v>
      </c>
      <c r="AO3" s="15"/>
      <c r="AP3" s="143">
        <v>17590.419999999998</v>
      </c>
      <c r="AQ3" s="15"/>
      <c r="AR3" s="143">
        <v>207789</v>
      </c>
      <c r="AS3" s="15"/>
      <c r="AT3" s="143">
        <v>21856.68</v>
      </c>
      <c r="AU3" s="15"/>
      <c r="AV3" s="143">
        <v>5752.3</v>
      </c>
      <c r="AW3" s="15"/>
      <c r="AX3" s="143">
        <v>129302.33</v>
      </c>
      <c r="AY3" s="15"/>
      <c r="AZ3" s="143">
        <v>39644.81</v>
      </c>
      <c r="BA3" s="15"/>
      <c r="BB3" s="143">
        <v>90000</v>
      </c>
      <c r="BC3" s="15"/>
      <c r="BD3" s="143">
        <v>44179.1</v>
      </c>
      <c r="BE3" s="15"/>
      <c r="BF3" s="143">
        <v>3138.98</v>
      </c>
      <c r="BG3" s="15"/>
      <c r="BH3" s="143">
        <v>7387.27</v>
      </c>
      <c r="BI3" s="15"/>
      <c r="BJ3" s="143"/>
      <c r="BK3" s="15"/>
      <c r="BL3" s="143"/>
      <c r="BM3" s="15"/>
      <c r="BN3" s="143"/>
      <c r="BO3" s="15"/>
      <c r="BP3" s="143"/>
      <c r="BQ3" s="15"/>
      <c r="BR3" s="143"/>
      <c r="BS3" s="15"/>
      <c r="BT3" s="143"/>
      <c r="BU3" s="15"/>
      <c r="BV3" s="143"/>
      <c r="BW3" s="15"/>
      <c r="BX3" s="143"/>
      <c r="BY3" s="15"/>
      <c r="BZ3" s="143"/>
      <c r="CA3" s="15"/>
      <c r="CB3" s="143"/>
      <c r="CC3" s="15"/>
      <c r="CD3" s="3"/>
      <c r="CE3" s="60"/>
      <c r="CF3" s="3"/>
      <c r="CG3" s="60"/>
      <c r="CH3" s="3"/>
      <c r="CI3" s="60"/>
      <c r="CJ3" s="3"/>
      <c r="CK3" s="60"/>
      <c r="CL3" s="3"/>
      <c r="CM3" s="60"/>
      <c r="CN3" s="3"/>
    </row>
    <row r="4" spans="1:92" x14ac:dyDescent="0.25">
      <c r="A4" s="39"/>
      <c r="B4" s="98"/>
      <c r="C4" s="15"/>
      <c r="D4" s="98"/>
      <c r="E4" s="15"/>
      <c r="F4" s="98"/>
      <c r="G4" s="15"/>
      <c r="H4" s="98"/>
      <c r="I4" s="15"/>
      <c r="J4" s="98"/>
      <c r="K4" s="15"/>
      <c r="L4" s="98"/>
      <c r="M4" s="15"/>
      <c r="N4" s="98"/>
      <c r="O4" s="15"/>
      <c r="P4" s="98"/>
      <c r="Q4" s="15"/>
      <c r="R4" s="98"/>
      <c r="S4" s="15"/>
      <c r="T4" s="98"/>
      <c r="U4" s="15"/>
      <c r="V4" s="98"/>
      <c r="W4" s="15"/>
      <c r="X4" s="98"/>
      <c r="Y4" s="15"/>
      <c r="Z4" s="98"/>
      <c r="AA4" s="15"/>
      <c r="AB4" s="98"/>
      <c r="AC4" s="15"/>
      <c r="AD4" s="98">
        <v>257093.08</v>
      </c>
      <c r="AE4" s="15"/>
      <c r="AF4" s="98">
        <v>105350.06</v>
      </c>
      <c r="AG4" s="15"/>
      <c r="AH4" s="98">
        <v>10698.35</v>
      </c>
      <c r="AI4" s="15"/>
      <c r="AJ4" s="98">
        <v>139629.54999999999</v>
      </c>
      <c r="AK4" s="15"/>
      <c r="AL4" s="98">
        <v>12604.15</v>
      </c>
      <c r="AM4" s="15"/>
      <c r="AN4" s="98"/>
      <c r="AO4" s="15"/>
      <c r="AP4" s="98"/>
      <c r="AQ4" s="15"/>
      <c r="AR4" s="98">
        <v>512377.52</v>
      </c>
      <c r="AS4" s="15"/>
      <c r="AT4" s="98">
        <v>72143.97</v>
      </c>
      <c r="AU4" s="15"/>
      <c r="AV4" s="98">
        <v>25372.2</v>
      </c>
      <c r="AW4" s="15"/>
      <c r="AX4" s="98">
        <v>84936.81</v>
      </c>
      <c r="AY4" s="15"/>
      <c r="AZ4" s="98"/>
      <c r="BA4" s="15"/>
      <c r="BB4" s="98"/>
      <c r="BC4" s="15"/>
      <c r="BD4" s="98">
        <v>2970</v>
      </c>
      <c r="BE4" s="15"/>
      <c r="BF4" s="98">
        <v>45927.54</v>
      </c>
      <c r="BG4" s="15"/>
      <c r="BH4" s="98">
        <v>130229.98</v>
      </c>
      <c r="BI4" s="15"/>
      <c r="BJ4" s="98"/>
      <c r="BK4" s="15"/>
      <c r="BL4" s="98"/>
      <c r="BM4" s="15"/>
      <c r="BN4" s="98"/>
      <c r="BO4" s="15"/>
      <c r="BP4" s="98"/>
      <c r="BQ4" s="15"/>
      <c r="BR4" s="98"/>
      <c r="BS4" s="15"/>
      <c r="BT4" s="98"/>
      <c r="BU4" s="15"/>
      <c r="BV4" s="98"/>
      <c r="BW4" s="15"/>
      <c r="BX4" s="98"/>
      <c r="BY4" s="15"/>
      <c r="BZ4" s="98"/>
      <c r="CA4" s="15"/>
      <c r="CB4" s="98"/>
      <c r="CC4" s="15"/>
      <c r="CD4" s="5"/>
      <c r="CE4" s="60"/>
      <c r="CF4" s="5"/>
      <c r="CG4" s="60"/>
      <c r="CH4" s="5"/>
      <c r="CI4" s="60"/>
      <c r="CJ4" s="5"/>
      <c r="CK4" s="60"/>
      <c r="CL4" s="5"/>
      <c r="CM4" s="60"/>
      <c r="CN4" s="5"/>
    </row>
    <row r="5" spans="1:92" x14ac:dyDescent="0.25">
      <c r="A5" s="48"/>
      <c r="B5" s="18"/>
      <c r="C5" s="59"/>
      <c r="D5" s="18"/>
      <c r="E5" s="59"/>
      <c r="F5" s="18"/>
      <c r="G5" s="59"/>
      <c r="H5" s="18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18"/>
      <c r="Y5" s="59"/>
      <c r="Z5" s="18"/>
      <c r="AA5" s="59"/>
      <c r="AB5" s="18"/>
      <c r="AC5" s="59"/>
      <c r="AD5" s="18"/>
      <c r="AE5" s="59"/>
      <c r="AF5" s="18"/>
      <c r="AG5" s="59"/>
      <c r="AH5" s="18"/>
      <c r="AI5" s="59"/>
      <c r="AJ5" s="18"/>
      <c r="AK5" s="59"/>
      <c r="AL5" s="18"/>
      <c r="AM5" s="59"/>
      <c r="AN5" s="75"/>
      <c r="AO5" s="59"/>
      <c r="AP5" s="18"/>
      <c r="AQ5" s="59"/>
      <c r="AR5" s="18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18"/>
      <c r="BK5" s="59"/>
      <c r="BL5" s="18"/>
      <c r="BM5" s="59"/>
      <c r="BN5" s="18"/>
      <c r="BO5" s="59"/>
      <c r="BP5" s="18"/>
      <c r="BQ5" s="59"/>
      <c r="BR5" s="18"/>
      <c r="BS5" s="59"/>
      <c r="BT5" s="18"/>
      <c r="BU5" s="59"/>
      <c r="BV5" s="18"/>
      <c r="BW5" s="59"/>
      <c r="BX5" s="18"/>
      <c r="BY5" s="59"/>
      <c r="BZ5" s="18"/>
      <c r="CA5" s="59"/>
      <c r="CB5" s="18"/>
      <c r="CC5" s="59"/>
      <c r="CD5" s="6"/>
      <c r="CE5" s="56"/>
      <c r="CF5" s="6"/>
      <c r="CG5" s="56"/>
      <c r="CH5" s="6"/>
      <c r="CI5" s="56"/>
      <c r="CJ5" s="6"/>
      <c r="CK5" s="56"/>
      <c r="CL5" s="6"/>
      <c r="CM5" s="56"/>
      <c r="CN5" s="6"/>
    </row>
    <row r="6" spans="1:92" x14ac:dyDescent="0.25">
      <c r="A6" s="41"/>
      <c r="B6" s="9">
        <v>5000</v>
      </c>
      <c r="C6" s="15" t="s">
        <v>5204</v>
      </c>
      <c r="D6" s="9">
        <v>26700</v>
      </c>
      <c r="E6" s="15" t="s">
        <v>5208</v>
      </c>
      <c r="F6" s="9">
        <v>200000</v>
      </c>
      <c r="G6" s="15" t="s">
        <v>5267</v>
      </c>
      <c r="H6" s="9">
        <v>360.38</v>
      </c>
      <c r="I6" s="15" t="s">
        <v>5322</v>
      </c>
      <c r="J6" s="9">
        <v>32470</v>
      </c>
      <c r="K6" s="15" t="s">
        <v>5383</v>
      </c>
      <c r="L6" s="9">
        <v>27000</v>
      </c>
      <c r="M6" s="15" t="s">
        <v>5437</v>
      </c>
      <c r="N6" s="9"/>
      <c r="O6" s="15"/>
      <c r="P6" s="9">
        <v>1500</v>
      </c>
      <c r="Q6" s="15" t="s">
        <v>5487</v>
      </c>
      <c r="R6" s="9">
        <v>6500</v>
      </c>
      <c r="S6" s="15" t="s">
        <v>5529</v>
      </c>
      <c r="T6" s="9">
        <v>4465</v>
      </c>
      <c r="U6" s="15" t="s">
        <v>5587</v>
      </c>
      <c r="V6" s="9">
        <v>20000</v>
      </c>
      <c r="W6" s="15" t="s">
        <v>5637</v>
      </c>
      <c r="X6" s="9">
        <v>30347</v>
      </c>
      <c r="Y6" s="15" t="s">
        <v>5667</v>
      </c>
      <c r="Z6" s="9">
        <v>50000</v>
      </c>
      <c r="AA6" s="15" t="s">
        <v>5713</v>
      </c>
      <c r="AB6" s="72"/>
      <c r="AC6" s="86"/>
      <c r="AD6" s="72">
        <v>1000</v>
      </c>
      <c r="AE6" s="15" t="s">
        <v>5770</v>
      </c>
      <c r="AF6" s="9">
        <v>26.82</v>
      </c>
      <c r="AG6" s="15" t="s">
        <v>5830</v>
      </c>
      <c r="AH6" s="72">
        <v>1200</v>
      </c>
      <c r="AI6" s="15" t="s">
        <v>5885</v>
      </c>
      <c r="AJ6" s="9">
        <v>4422</v>
      </c>
      <c r="AK6" s="15" t="s">
        <v>5919</v>
      </c>
      <c r="AL6" s="9">
        <v>1.5</v>
      </c>
      <c r="AM6" s="15" t="s">
        <v>5976</v>
      </c>
      <c r="AN6" s="9">
        <v>28000</v>
      </c>
      <c r="AO6" s="15" t="s">
        <v>6016</v>
      </c>
      <c r="AP6" s="9">
        <v>360.18</v>
      </c>
      <c r="AQ6" s="15" t="s">
        <v>6075</v>
      </c>
      <c r="AR6" s="72">
        <v>200000</v>
      </c>
      <c r="AS6" s="24" t="s">
        <v>6108</v>
      </c>
      <c r="AT6" s="9">
        <v>18</v>
      </c>
      <c r="AU6" s="15" t="s">
        <v>6159</v>
      </c>
      <c r="AV6" s="9">
        <v>3500</v>
      </c>
      <c r="AW6" s="15" t="s">
        <v>6217</v>
      </c>
      <c r="AX6" s="9">
        <v>58209.9</v>
      </c>
      <c r="AY6" s="15" t="s">
        <v>6261</v>
      </c>
      <c r="AZ6" s="9">
        <v>4408</v>
      </c>
      <c r="BA6" s="15" t="s">
        <v>6298</v>
      </c>
      <c r="BB6" s="9">
        <v>90000</v>
      </c>
      <c r="BC6" s="15" t="s">
        <v>6346</v>
      </c>
      <c r="BD6" s="9">
        <v>5500</v>
      </c>
      <c r="BE6" s="15" t="s">
        <v>6347</v>
      </c>
      <c r="BF6" s="7">
        <v>1969.99</v>
      </c>
      <c r="BG6" s="26" t="s">
        <v>6405</v>
      </c>
      <c r="BH6" s="9">
        <v>705.35</v>
      </c>
      <c r="BI6" s="15" t="s">
        <v>6409</v>
      </c>
      <c r="BJ6" s="9"/>
      <c r="BK6" s="15"/>
      <c r="BL6" s="9"/>
      <c r="BM6" s="15"/>
      <c r="BN6" s="96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</row>
    <row r="7" spans="1:92" x14ac:dyDescent="0.25">
      <c r="A7" s="41"/>
      <c r="B7" s="7">
        <v>130000</v>
      </c>
      <c r="C7" s="26" t="s">
        <v>5207</v>
      </c>
      <c r="D7" s="7">
        <v>103</v>
      </c>
      <c r="E7" s="26" t="s">
        <v>5211</v>
      </c>
      <c r="F7" s="9">
        <v>2731.17</v>
      </c>
      <c r="G7" s="26" t="s">
        <v>5281</v>
      </c>
      <c r="H7" s="9">
        <v>1882.13</v>
      </c>
      <c r="I7" s="15" t="s">
        <v>5323</v>
      </c>
      <c r="J7" s="9">
        <v>1322.26</v>
      </c>
      <c r="K7" s="26" t="s">
        <v>5384</v>
      </c>
      <c r="L7" s="7">
        <v>660.13</v>
      </c>
      <c r="M7" s="26" t="s">
        <v>5441</v>
      </c>
      <c r="N7" s="7"/>
      <c r="O7" s="26"/>
      <c r="P7" s="7">
        <v>1099</v>
      </c>
      <c r="Q7" s="26" t="s">
        <v>5490</v>
      </c>
      <c r="R7" s="9">
        <v>150000</v>
      </c>
      <c r="S7" s="26" t="s">
        <v>5531</v>
      </c>
      <c r="T7" s="7">
        <v>227.32</v>
      </c>
      <c r="U7" s="26" t="s">
        <v>5588</v>
      </c>
      <c r="V7" s="9">
        <v>10000</v>
      </c>
      <c r="W7" s="26" t="s">
        <v>5639</v>
      </c>
      <c r="X7" s="7">
        <v>2040</v>
      </c>
      <c r="Y7" s="26" t="s">
        <v>5674</v>
      </c>
      <c r="Z7" s="112">
        <v>1000</v>
      </c>
      <c r="AA7" s="26" t="s">
        <v>5714</v>
      </c>
      <c r="AB7" s="87"/>
      <c r="AC7" s="88"/>
      <c r="AD7" s="72">
        <v>4464.99</v>
      </c>
      <c r="AE7" s="26" t="s">
        <v>5771</v>
      </c>
      <c r="AF7" s="7">
        <v>2860.24</v>
      </c>
      <c r="AG7" s="26" t="s">
        <v>5832</v>
      </c>
      <c r="AH7" s="87">
        <v>6764.99</v>
      </c>
      <c r="AI7" s="26" t="s">
        <v>5893</v>
      </c>
      <c r="AJ7" s="7">
        <v>1099.01</v>
      </c>
      <c r="AK7" s="26" t="s">
        <v>5921</v>
      </c>
      <c r="AL7" s="7">
        <f>1194.41-700</f>
        <v>494.41000000000008</v>
      </c>
      <c r="AM7" s="26" t="s">
        <v>5982</v>
      </c>
      <c r="AN7" s="9">
        <v>113.86</v>
      </c>
      <c r="AO7" s="26" t="s">
        <v>6018</v>
      </c>
      <c r="AP7" s="7">
        <v>3000</v>
      </c>
      <c r="AQ7" s="26" t="s">
        <v>6081</v>
      </c>
      <c r="AR7" s="72">
        <v>3300</v>
      </c>
      <c r="AS7" s="24" t="s">
        <v>6114</v>
      </c>
      <c r="AT7" s="7">
        <v>268</v>
      </c>
      <c r="AU7" s="26" t="s">
        <v>6160</v>
      </c>
      <c r="AV7" s="7">
        <v>1083.3</v>
      </c>
      <c r="AW7" s="26" t="s">
        <v>6221</v>
      </c>
      <c r="AX7" s="7">
        <v>646.33000000000004</v>
      </c>
      <c r="AY7" s="26" t="s">
        <v>6266</v>
      </c>
      <c r="AZ7" s="7">
        <v>5000</v>
      </c>
      <c r="BA7" s="26" t="s">
        <v>6299</v>
      </c>
      <c r="BB7" s="9"/>
      <c r="BC7" s="26"/>
      <c r="BD7" s="9">
        <v>20000</v>
      </c>
      <c r="BE7" s="26" t="s">
        <v>6348</v>
      </c>
      <c r="BF7" s="9">
        <v>1168.99</v>
      </c>
      <c r="BG7" s="15" t="s">
        <v>6406</v>
      </c>
      <c r="BH7" s="7">
        <v>1169</v>
      </c>
      <c r="BI7" s="26" t="s">
        <v>6412</v>
      </c>
      <c r="BJ7" s="7"/>
      <c r="BK7" s="26"/>
      <c r="BL7" s="7"/>
      <c r="BM7" s="26"/>
      <c r="BN7" s="96"/>
      <c r="BO7" s="26"/>
      <c r="BP7" s="7"/>
      <c r="BQ7" s="26"/>
      <c r="BR7" s="7"/>
      <c r="BS7" s="26"/>
      <c r="BT7" s="7"/>
      <c r="BU7" s="26"/>
      <c r="BV7" s="7"/>
      <c r="BW7" s="26"/>
      <c r="BX7" s="7"/>
      <c r="BY7" s="26"/>
      <c r="BZ7" s="7"/>
      <c r="CA7" s="26"/>
      <c r="CB7" s="7"/>
      <c r="CC7" s="26"/>
      <c r="CD7" s="7"/>
      <c r="CE7" s="26"/>
      <c r="CF7" s="7"/>
      <c r="CG7" s="26"/>
      <c r="CH7" s="7"/>
      <c r="CI7" s="26"/>
      <c r="CJ7" s="7"/>
      <c r="CK7" s="26"/>
      <c r="CL7" s="7"/>
      <c r="CM7" s="26"/>
      <c r="CN7" s="7"/>
    </row>
    <row r="8" spans="1:92" x14ac:dyDescent="0.25">
      <c r="A8" s="41"/>
      <c r="B8" s="7"/>
      <c r="C8" s="26"/>
      <c r="D8" s="7">
        <v>4286.1499999999996</v>
      </c>
      <c r="E8" s="26" t="s">
        <v>5213</v>
      </c>
      <c r="F8" s="9">
        <v>65.290000000000006</v>
      </c>
      <c r="G8" s="26" t="s">
        <v>5282</v>
      </c>
      <c r="H8" s="9">
        <v>5000</v>
      </c>
      <c r="I8" s="15" t="s">
        <v>5325</v>
      </c>
      <c r="J8" s="9">
        <v>4000</v>
      </c>
      <c r="K8" s="26" t="s">
        <v>5396</v>
      </c>
      <c r="L8" s="7">
        <v>225.52</v>
      </c>
      <c r="M8" s="26" t="s">
        <v>5442</v>
      </c>
      <c r="N8" s="7"/>
      <c r="O8" s="26"/>
      <c r="P8" s="7">
        <v>6027</v>
      </c>
      <c r="Q8" s="26" t="s">
        <v>5492</v>
      </c>
      <c r="R8" s="9">
        <v>805</v>
      </c>
      <c r="S8" s="26" t="s">
        <v>5534</v>
      </c>
      <c r="T8" s="7">
        <v>464</v>
      </c>
      <c r="U8" s="26" t="s">
        <v>5590</v>
      </c>
      <c r="V8" s="9">
        <v>11000</v>
      </c>
      <c r="W8" s="15" t="s">
        <v>5640</v>
      </c>
      <c r="X8" s="9">
        <v>126.46</v>
      </c>
      <c r="Y8" s="26" t="s">
        <v>5675</v>
      </c>
      <c r="Z8" s="112">
        <v>6794.57</v>
      </c>
      <c r="AA8" s="26" t="s">
        <v>5716</v>
      </c>
      <c r="AB8" s="87"/>
      <c r="AC8" s="12"/>
      <c r="AD8" s="127">
        <f>74606.56-30000</f>
        <v>44606.559999999998</v>
      </c>
      <c r="AE8" s="15" t="s">
        <v>5776</v>
      </c>
      <c r="AF8" s="7">
        <f>27274.93-500-16774.93</f>
        <v>10000</v>
      </c>
      <c r="AG8" s="26" t="s">
        <v>5833</v>
      </c>
      <c r="AH8" s="87">
        <v>69.989999999999995</v>
      </c>
      <c r="AI8" s="26" t="s">
        <v>5899</v>
      </c>
      <c r="AJ8" s="7">
        <v>928</v>
      </c>
      <c r="AK8" s="26" t="s">
        <v>5922</v>
      </c>
      <c r="AL8" s="7">
        <v>997.3</v>
      </c>
      <c r="AM8" s="26" t="s">
        <v>5983</v>
      </c>
      <c r="AN8" s="9">
        <v>1740</v>
      </c>
      <c r="AO8" s="26" t="s">
        <v>6019</v>
      </c>
      <c r="AP8" s="7">
        <v>1168.99</v>
      </c>
      <c r="AQ8" s="26" t="s">
        <v>6082</v>
      </c>
      <c r="AR8" s="7">
        <v>3320</v>
      </c>
      <c r="AS8" s="26" t="s">
        <v>6115</v>
      </c>
      <c r="AT8" s="7">
        <v>9000</v>
      </c>
      <c r="AU8" s="26" t="s">
        <v>6163</v>
      </c>
      <c r="AV8" s="7">
        <v>1169</v>
      </c>
      <c r="AW8" s="26" t="s">
        <v>6225</v>
      </c>
      <c r="AX8" s="7">
        <v>42890</v>
      </c>
      <c r="AY8" s="26" t="s">
        <v>6269</v>
      </c>
      <c r="AZ8" s="7">
        <v>1000</v>
      </c>
      <c r="BA8" s="26" t="s">
        <v>6300</v>
      </c>
      <c r="BB8" s="9"/>
      <c r="BC8" s="26"/>
      <c r="BD8" s="9">
        <v>163.08000000000001</v>
      </c>
      <c r="BE8" s="26" t="s">
        <v>6351</v>
      </c>
      <c r="BF8" s="7"/>
      <c r="BG8" s="26"/>
      <c r="BH8" s="7">
        <v>3620</v>
      </c>
      <c r="BI8" s="26" t="s">
        <v>6413</v>
      </c>
      <c r="BJ8" s="96"/>
      <c r="BK8" s="26"/>
      <c r="BL8" s="7"/>
      <c r="BM8" s="26"/>
      <c r="BN8" s="96"/>
      <c r="BO8" s="26"/>
      <c r="BP8" s="7"/>
      <c r="BQ8" s="26"/>
      <c r="BR8" s="7"/>
      <c r="BS8" s="26"/>
      <c r="BT8" s="7"/>
      <c r="BU8" s="26"/>
      <c r="BV8" s="7"/>
      <c r="BW8" s="26"/>
      <c r="BX8" s="7"/>
      <c r="BY8" s="26"/>
      <c r="BZ8" s="7"/>
      <c r="CA8" s="26"/>
      <c r="CB8" s="7"/>
      <c r="CC8" s="26"/>
      <c r="CD8" s="7"/>
      <c r="CE8" s="26"/>
      <c r="CF8" s="7"/>
      <c r="CG8" s="26"/>
      <c r="CH8" s="7"/>
      <c r="CI8" s="26"/>
      <c r="CJ8" s="7"/>
      <c r="CK8" s="26"/>
      <c r="CL8" s="7"/>
      <c r="CM8" s="26"/>
      <c r="CN8" s="7"/>
    </row>
    <row r="9" spans="1:92" x14ac:dyDescent="0.25">
      <c r="A9" s="41"/>
      <c r="B9" s="9"/>
      <c r="C9" s="15"/>
      <c r="D9" s="9">
        <v>6892.24</v>
      </c>
      <c r="E9" s="15" t="s">
        <v>5217</v>
      </c>
      <c r="F9" s="9">
        <v>50000</v>
      </c>
      <c r="G9" s="15" t="s">
        <v>5283</v>
      </c>
      <c r="H9" s="9">
        <v>100</v>
      </c>
      <c r="I9" s="15" t="s">
        <v>5327</v>
      </c>
      <c r="J9" s="9">
        <v>2069</v>
      </c>
      <c r="K9" s="15" t="s">
        <v>5404</v>
      </c>
      <c r="L9" s="9">
        <v>10000</v>
      </c>
      <c r="M9" s="15" t="s">
        <v>5445</v>
      </c>
      <c r="N9" s="9"/>
      <c r="O9" s="15"/>
      <c r="P9" s="9">
        <v>5000</v>
      </c>
      <c r="Q9" s="15" t="s">
        <v>5494</v>
      </c>
      <c r="R9" s="9">
        <v>1215.0899999999999</v>
      </c>
      <c r="S9" s="15" t="s">
        <v>5536</v>
      </c>
      <c r="T9" s="9">
        <v>110.26</v>
      </c>
      <c r="U9" s="15" t="s">
        <v>5597</v>
      </c>
      <c r="V9" s="9">
        <v>1524.17</v>
      </c>
      <c r="W9" s="15" t="s">
        <v>5642</v>
      </c>
      <c r="X9" s="9">
        <v>1974.54</v>
      </c>
      <c r="Y9" s="15" t="s">
        <v>5676</v>
      </c>
      <c r="Z9" s="112">
        <v>1000</v>
      </c>
      <c r="AA9" s="15" t="s">
        <v>5719</v>
      </c>
      <c r="AB9" s="72"/>
      <c r="AC9" s="85"/>
      <c r="AD9" s="72"/>
      <c r="AE9" s="15"/>
      <c r="AF9" s="9">
        <v>3083.58</v>
      </c>
      <c r="AG9" s="15" t="s">
        <v>5836</v>
      </c>
      <c r="AH9" s="72">
        <v>69.989999999999995</v>
      </c>
      <c r="AI9" s="15" t="s">
        <v>5900</v>
      </c>
      <c r="AJ9" s="9">
        <v>594.41999999999996</v>
      </c>
      <c r="AK9" s="15" t="s">
        <v>5923</v>
      </c>
      <c r="AL9" s="9">
        <v>2000</v>
      </c>
      <c r="AM9" s="15" t="s">
        <v>5989</v>
      </c>
      <c r="AN9" s="9">
        <v>9104.99</v>
      </c>
      <c r="AO9" s="15" t="s">
        <v>6020</v>
      </c>
      <c r="AP9" s="9">
        <v>1199</v>
      </c>
      <c r="AQ9" s="15" t="s">
        <v>6083</v>
      </c>
      <c r="AR9" s="9">
        <v>1169</v>
      </c>
      <c r="AS9" s="15" t="s">
        <v>6117</v>
      </c>
      <c r="AT9" s="9">
        <v>403.01</v>
      </c>
      <c r="AU9" s="15" t="s">
        <v>6165</v>
      </c>
      <c r="AV9" s="9"/>
      <c r="AW9" s="15"/>
      <c r="AX9" s="9">
        <v>1168.99</v>
      </c>
      <c r="AY9" s="15" t="s">
        <v>6272</v>
      </c>
      <c r="AZ9" s="9">
        <v>1000</v>
      </c>
      <c r="BA9" s="15" t="s">
        <v>6301</v>
      </c>
      <c r="BB9" s="72"/>
      <c r="BC9" s="24"/>
      <c r="BD9" s="9">
        <v>5000</v>
      </c>
      <c r="BE9" s="15" t="s">
        <v>6352</v>
      </c>
      <c r="BF9">
        <v>254.92</v>
      </c>
      <c r="BG9" t="s">
        <v>6420</v>
      </c>
      <c r="BH9" s="9">
        <v>685.39</v>
      </c>
      <c r="BI9" s="15" t="s">
        <v>6416</v>
      </c>
      <c r="BJ9" s="96"/>
      <c r="BK9" s="15"/>
      <c r="BL9" s="9"/>
      <c r="BM9" s="15"/>
      <c r="BN9" s="96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</row>
    <row r="10" spans="1:92" x14ac:dyDescent="0.25">
      <c r="A10" s="41"/>
      <c r="B10" s="7"/>
      <c r="C10" s="26"/>
      <c r="D10" s="7">
        <v>5500</v>
      </c>
      <c r="E10" s="26" t="s">
        <v>5218</v>
      </c>
      <c r="F10" s="9">
        <v>1995</v>
      </c>
      <c r="G10" s="26" t="s">
        <v>5285</v>
      </c>
      <c r="H10" s="9">
        <v>7290.95</v>
      </c>
      <c r="I10" s="15" t="s">
        <v>5332</v>
      </c>
      <c r="J10" s="9">
        <v>1420</v>
      </c>
      <c r="K10" s="26" t="s">
        <v>5405</v>
      </c>
      <c r="L10" s="7">
        <v>944.61</v>
      </c>
      <c r="M10" s="26" t="s">
        <v>5446</v>
      </c>
      <c r="N10" s="7"/>
      <c r="O10" s="26"/>
      <c r="P10" s="7">
        <v>4395</v>
      </c>
      <c r="Q10" s="26" t="s">
        <v>5498</v>
      </c>
      <c r="R10" s="9">
        <v>4695.3100000000004</v>
      </c>
      <c r="S10" s="26" t="s">
        <v>5540</v>
      </c>
      <c r="T10" s="7">
        <v>1169.19</v>
      </c>
      <c r="U10" s="26" t="s">
        <v>5598</v>
      </c>
      <c r="V10" s="9">
        <v>7053.53</v>
      </c>
      <c r="W10" s="26" t="s">
        <v>5644</v>
      </c>
      <c r="X10" s="9">
        <v>1974.59</v>
      </c>
      <c r="Y10" s="26" t="s">
        <v>5677</v>
      </c>
      <c r="Z10" s="112">
        <v>9183.3799999999992</v>
      </c>
      <c r="AA10" s="26" t="s">
        <v>5722</v>
      </c>
      <c r="AB10" s="87"/>
      <c r="AC10" s="88"/>
      <c r="AD10" s="72">
        <v>5000</v>
      </c>
      <c r="AE10" s="26" t="s">
        <v>5779</v>
      </c>
      <c r="AF10" s="7">
        <v>2419.0300000000002</v>
      </c>
      <c r="AG10" s="26" t="s">
        <v>5838</v>
      </c>
      <c r="AH10" s="87">
        <v>511.49</v>
      </c>
      <c r="AI10" s="26" t="s">
        <v>5902</v>
      </c>
      <c r="AJ10" s="7">
        <v>336.17</v>
      </c>
      <c r="AK10" s="26" t="s">
        <v>5926</v>
      </c>
      <c r="AL10" s="9">
        <v>10000</v>
      </c>
      <c r="AM10" s="26" t="s">
        <v>5990</v>
      </c>
      <c r="AN10" s="9">
        <v>1898.99</v>
      </c>
      <c r="AO10" s="26" t="s">
        <v>6021</v>
      </c>
      <c r="AP10" s="7">
        <v>69.989999999999995</v>
      </c>
      <c r="AQ10" s="26" t="s">
        <v>6085</v>
      </c>
      <c r="AR10" s="7"/>
      <c r="AS10" s="26"/>
      <c r="AT10" s="7">
        <v>10000</v>
      </c>
      <c r="AU10" s="26" t="s">
        <v>6167</v>
      </c>
      <c r="AV10" s="7">
        <v>5640.22</v>
      </c>
      <c r="AW10" s="26" t="s">
        <v>6228</v>
      </c>
      <c r="AX10" s="7">
        <v>1099</v>
      </c>
      <c r="AY10" s="26" t="s">
        <v>6273</v>
      </c>
      <c r="AZ10" s="7">
        <v>1411.72</v>
      </c>
      <c r="BA10" s="26" t="s">
        <v>6262</v>
      </c>
      <c r="BB10" s="9"/>
      <c r="BC10" s="26"/>
      <c r="BD10" s="9">
        <v>123.46</v>
      </c>
      <c r="BE10" s="26" t="s">
        <v>6353</v>
      </c>
      <c r="BF10">
        <v>243.12</v>
      </c>
      <c r="BG10" t="s">
        <v>6421</v>
      </c>
      <c r="BH10" s="7">
        <v>1207.53</v>
      </c>
      <c r="BI10" s="26" t="s">
        <v>6417</v>
      </c>
      <c r="BJ10" s="96"/>
      <c r="BK10" s="26"/>
      <c r="BL10" s="7"/>
      <c r="BM10" s="26"/>
      <c r="BN10" s="96"/>
      <c r="BO10" s="26"/>
      <c r="BP10" s="7"/>
      <c r="BQ10" s="26"/>
      <c r="BR10" s="7"/>
      <c r="BS10" s="26"/>
      <c r="BT10" s="7"/>
      <c r="BU10" s="26"/>
      <c r="BV10" s="7"/>
      <c r="BW10" s="26"/>
      <c r="BX10" s="7"/>
      <c r="BY10" s="26"/>
      <c r="BZ10" s="7"/>
      <c r="CA10" s="26"/>
      <c r="CB10" s="7"/>
      <c r="CC10" s="26"/>
      <c r="CD10" s="7"/>
      <c r="CE10" s="26"/>
      <c r="CF10" s="7"/>
      <c r="CG10" s="26"/>
      <c r="CH10" s="7"/>
      <c r="CI10" s="26"/>
      <c r="CJ10" s="7"/>
      <c r="CK10" s="26"/>
      <c r="CL10" s="7"/>
      <c r="CM10" s="26"/>
      <c r="CN10" s="7"/>
    </row>
    <row r="11" spans="1:92" x14ac:dyDescent="0.25">
      <c r="A11" s="41"/>
      <c r="B11" s="7"/>
      <c r="C11" s="26"/>
      <c r="D11" s="7">
        <v>175</v>
      </c>
      <c r="E11" s="7" t="s">
        <v>5223</v>
      </c>
      <c r="F11" s="9">
        <v>1039</v>
      </c>
      <c r="G11" s="26" t="s">
        <v>5286</v>
      </c>
      <c r="H11" s="9">
        <v>2000</v>
      </c>
      <c r="I11" s="15" t="s">
        <v>5333</v>
      </c>
      <c r="J11" s="9">
        <v>1900</v>
      </c>
      <c r="K11" s="26" t="s">
        <v>5406</v>
      </c>
      <c r="L11" s="7">
        <v>865.89</v>
      </c>
      <c r="M11" s="26" t="s">
        <v>5447</v>
      </c>
      <c r="N11" s="7"/>
      <c r="O11" s="26"/>
      <c r="P11" s="7">
        <v>1169</v>
      </c>
      <c r="Q11" s="26" t="s">
        <v>5499</v>
      </c>
      <c r="R11" s="9">
        <v>930.47</v>
      </c>
      <c r="S11" s="26" t="s">
        <v>5541</v>
      </c>
      <c r="T11" s="7">
        <v>2040</v>
      </c>
      <c r="U11" s="26" t="s">
        <v>5600</v>
      </c>
      <c r="V11" s="9">
        <v>7772.7</v>
      </c>
      <c r="W11" s="26" t="s">
        <v>5646</v>
      </c>
      <c r="X11" s="9">
        <v>2284.34</v>
      </c>
      <c r="Y11" s="26" t="s">
        <v>5679</v>
      </c>
      <c r="Z11" s="7">
        <v>2146</v>
      </c>
      <c r="AA11" s="26" t="s">
        <v>5726</v>
      </c>
      <c r="AB11" s="87"/>
      <c r="AC11" s="86"/>
      <c r="AD11" s="9">
        <v>179300</v>
      </c>
      <c r="AE11" s="15" t="s">
        <v>5781</v>
      </c>
      <c r="AF11" s="7">
        <v>1995</v>
      </c>
      <c r="AG11" s="26" t="s">
        <v>5839</v>
      </c>
      <c r="AH11" s="87">
        <f>512.53-467.83</f>
        <v>44.699999999999989</v>
      </c>
      <c r="AI11" s="26" t="s">
        <v>5903</v>
      </c>
      <c r="AJ11" s="7"/>
      <c r="AK11" s="26"/>
      <c r="AL11" s="9">
        <v>4064.99</v>
      </c>
      <c r="AM11" s="26" t="s">
        <v>5992</v>
      </c>
      <c r="AN11" s="9">
        <v>4465</v>
      </c>
      <c r="AO11" s="26" t="s">
        <v>6023</v>
      </c>
      <c r="AP11" s="9">
        <v>1168.99</v>
      </c>
      <c r="AQ11" s="15" t="s">
        <v>6086</v>
      </c>
      <c r="AR11" s="7">
        <v>5000</v>
      </c>
      <c r="AS11" s="26" t="s">
        <v>6118</v>
      </c>
      <c r="AT11" s="7">
        <v>232</v>
      </c>
      <c r="AU11" s="26" t="s">
        <v>6168</v>
      </c>
      <c r="AV11" s="7">
        <v>137.4</v>
      </c>
      <c r="AW11" s="26" t="s">
        <v>6230</v>
      </c>
      <c r="AX11" s="7">
        <v>1169</v>
      </c>
      <c r="AY11" s="26" t="s">
        <v>6274</v>
      </c>
      <c r="AZ11" s="9">
        <v>171.48</v>
      </c>
      <c r="BA11" s="15" t="s">
        <v>6304</v>
      </c>
      <c r="BB11" s="9"/>
      <c r="BC11" s="26"/>
      <c r="BD11" s="9">
        <v>1970</v>
      </c>
      <c r="BE11" s="26" t="s">
        <v>6372</v>
      </c>
      <c r="BF11">
        <v>137.25</v>
      </c>
      <c r="BG11" t="s">
        <v>6422</v>
      </c>
      <c r="BH11" s="7"/>
      <c r="BI11" s="26"/>
      <c r="BJ11" s="96"/>
      <c r="BK11" s="26"/>
      <c r="BL11" s="7"/>
      <c r="BM11" s="26"/>
      <c r="BN11" s="96"/>
      <c r="BO11" s="26"/>
      <c r="BP11" s="7"/>
      <c r="BQ11" s="26"/>
      <c r="BR11" s="7"/>
      <c r="BS11" s="26"/>
      <c r="BT11" s="7"/>
      <c r="BU11" s="26"/>
      <c r="BV11" s="7"/>
      <c r="BW11" s="26"/>
      <c r="BX11" s="7"/>
      <c r="BY11" s="26"/>
      <c r="BZ11" s="7"/>
      <c r="CA11" s="26"/>
      <c r="CB11" s="7"/>
      <c r="CC11" s="26"/>
      <c r="CD11" s="7"/>
      <c r="CE11" s="26"/>
      <c r="CF11" s="7"/>
      <c r="CG11" s="26"/>
      <c r="CH11" s="7"/>
      <c r="CI11" s="26"/>
      <c r="CJ11" s="7"/>
      <c r="CK11" s="26"/>
      <c r="CL11" s="7"/>
      <c r="CM11" s="26"/>
      <c r="CN11" s="7"/>
    </row>
    <row r="12" spans="1:92" x14ac:dyDescent="0.25">
      <c r="A12" s="41"/>
      <c r="B12" s="9"/>
      <c r="C12" s="15"/>
      <c r="D12" s="9">
        <v>17400</v>
      </c>
      <c r="E12" s="15" t="s">
        <v>5224</v>
      </c>
      <c r="F12" s="9">
        <v>1169</v>
      </c>
      <c r="G12" s="15" t="s">
        <v>5287</v>
      </c>
      <c r="H12" s="9">
        <v>3353.99</v>
      </c>
      <c r="I12" s="15" t="s">
        <v>5336</v>
      </c>
      <c r="J12" s="9">
        <v>3296.01</v>
      </c>
      <c r="K12" s="15" t="s">
        <v>5407</v>
      </c>
      <c r="L12" s="9">
        <v>322.76</v>
      </c>
      <c r="M12" s="15" t="s">
        <v>5450</v>
      </c>
      <c r="N12" s="9"/>
      <c r="O12" s="15"/>
      <c r="P12" s="9">
        <v>4299</v>
      </c>
      <c r="Q12" s="15" t="s">
        <v>5504</v>
      </c>
      <c r="R12" s="9">
        <v>2065</v>
      </c>
      <c r="S12" s="15" t="s">
        <v>5543</v>
      </c>
      <c r="T12" s="9">
        <v>1168.99</v>
      </c>
      <c r="U12" s="15" t="s">
        <v>5603</v>
      </c>
      <c r="V12" s="9">
        <v>1028.51</v>
      </c>
      <c r="W12" s="15" t="s">
        <v>5648</v>
      </c>
      <c r="X12" s="9">
        <v>1169</v>
      </c>
      <c r="Y12" s="15" t="s">
        <v>5683</v>
      </c>
      <c r="Z12" s="9">
        <v>1169</v>
      </c>
      <c r="AA12" s="15" t="s">
        <v>5728</v>
      </c>
      <c r="AB12" s="72"/>
      <c r="AC12" s="88"/>
      <c r="AD12" s="72">
        <v>467.83</v>
      </c>
      <c r="AE12" s="15" t="s">
        <v>5787</v>
      </c>
      <c r="AF12" s="9">
        <v>1099</v>
      </c>
      <c r="AG12" s="15" t="s">
        <v>5840</v>
      </c>
      <c r="AH12" s="9">
        <v>2765</v>
      </c>
      <c r="AI12" s="15" t="s">
        <v>5895</v>
      </c>
      <c r="AJ12" s="9">
        <v>5000</v>
      </c>
      <c r="AK12" s="15" t="s">
        <v>5928</v>
      </c>
      <c r="AL12" s="9">
        <v>3250</v>
      </c>
      <c r="AM12" s="15" t="s">
        <v>5993</v>
      </c>
      <c r="AN12" s="9">
        <v>1583.01</v>
      </c>
      <c r="AO12" s="15" t="s">
        <v>6026</v>
      </c>
      <c r="AP12" s="9">
        <v>1169</v>
      </c>
      <c r="AQ12" s="15" t="s">
        <v>6090</v>
      </c>
      <c r="AR12" s="9">
        <v>236000</v>
      </c>
      <c r="AS12" s="15" t="s">
        <v>6119</v>
      </c>
      <c r="AT12" s="105">
        <v>1042.54</v>
      </c>
      <c r="AU12" s="106" t="s">
        <v>6175</v>
      </c>
      <c r="AV12" s="9">
        <v>160</v>
      </c>
      <c r="AW12" s="15" t="s">
        <v>6237</v>
      </c>
      <c r="AX12" s="9">
        <v>5000</v>
      </c>
      <c r="AY12" s="15" t="s">
        <v>6275</v>
      </c>
      <c r="AZ12" s="9">
        <v>4395.01</v>
      </c>
      <c r="BA12" s="15" t="s">
        <v>6307</v>
      </c>
      <c r="BB12" s="9"/>
      <c r="BC12" s="15"/>
      <c r="BD12" s="9">
        <v>3320</v>
      </c>
      <c r="BE12" s="15" t="s">
        <v>6373</v>
      </c>
      <c r="BF12">
        <v>34137.24</v>
      </c>
      <c r="BG12" t="s">
        <v>6423</v>
      </c>
      <c r="BH12" s="9">
        <v>20000</v>
      </c>
      <c r="BI12" s="15" t="s">
        <v>6464</v>
      </c>
      <c r="BJ12" s="96"/>
      <c r="BK12" s="15"/>
      <c r="BL12" s="9"/>
      <c r="BM12" s="15"/>
      <c r="BN12" s="96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</row>
    <row r="13" spans="1:92" x14ac:dyDescent="0.25">
      <c r="A13" s="41"/>
      <c r="B13" s="9"/>
      <c r="C13" s="15"/>
      <c r="D13" s="9">
        <v>2083</v>
      </c>
      <c r="E13" s="15" t="s">
        <v>5227</v>
      </c>
      <c r="F13" s="9">
        <v>1589</v>
      </c>
      <c r="G13" s="15" t="s">
        <v>5289</v>
      </c>
      <c r="H13" s="9">
        <v>2336.91</v>
      </c>
      <c r="I13" s="15" t="s">
        <v>5337</v>
      </c>
      <c r="J13" s="9">
        <v>4395.01</v>
      </c>
      <c r="K13" s="15" t="s">
        <v>5409</v>
      </c>
      <c r="L13" s="9">
        <v>628.51</v>
      </c>
      <c r="M13" s="15" t="s">
        <v>5451</v>
      </c>
      <c r="N13" s="9"/>
      <c r="O13" s="15"/>
      <c r="P13" s="9">
        <v>10000</v>
      </c>
      <c r="Q13" s="15" t="s">
        <v>5505</v>
      </c>
      <c r="R13" s="9">
        <v>1970</v>
      </c>
      <c r="S13" s="15" t="s">
        <v>5544</v>
      </c>
      <c r="T13" s="9">
        <v>1233.1400000000001</v>
      </c>
      <c r="U13" s="15" t="s">
        <v>5606</v>
      </c>
      <c r="V13" s="9">
        <v>2360.02</v>
      </c>
      <c r="W13" s="15" t="s">
        <v>5651</v>
      </c>
      <c r="X13" s="9">
        <v>2065</v>
      </c>
      <c r="Y13" s="15" t="s">
        <v>5684</v>
      </c>
      <c r="Z13" s="9">
        <v>2795.01</v>
      </c>
      <c r="AA13" s="15" t="s">
        <v>5729</v>
      </c>
      <c r="AB13" s="72"/>
      <c r="AC13" s="86"/>
      <c r="AD13" s="72">
        <v>658.93</v>
      </c>
      <c r="AE13" s="15" t="s">
        <v>5802</v>
      </c>
      <c r="AF13" s="9">
        <v>2420</v>
      </c>
      <c r="AG13" s="15" t="s">
        <v>5841</v>
      </c>
      <c r="AH13" s="9">
        <v>3320</v>
      </c>
      <c r="AI13" s="15" t="s">
        <v>5896</v>
      </c>
      <c r="AJ13" s="9">
        <v>100000</v>
      </c>
      <c r="AK13" s="15" t="s">
        <v>5929</v>
      </c>
      <c r="AL13" s="9">
        <v>1099.01</v>
      </c>
      <c r="AM13" s="15" t="s">
        <v>4725</v>
      </c>
      <c r="AN13" s="9">
        <v>1169</v>
      </c>
      <c r="AO13" s="26" t="s">
        <v>6027</v>
      </c>
      <c r="AP13" s="7">
        <v>1168.9000000000001</v>
      </c>
      <c r="AQ13" s="26" t="s">
        <v>6091</v>
      </c>
      <c r="AR13" s="9">
        <v>59500</v>
      </c>
      <c r="AS13" s="15" t="s">
        <v>6125</v>
      </c>
      <c r="AT13" s="105">
        <v>693.13</v>
      </c>
      <c r="AU13" s="106" t="s">
        <v>6176</v>
      </c>
      <c r="AV13" s="9">
        <v>10286</v>
      </c>
      <c r="AW13" s="15" t="s">
        <v>6240</v>
      </c>
      <c r="AX13" s="9">
        <v>2900</v>
      </c>
      <c r="AY13" s="15" t="s">
        <v>6276</v>
      </c>
      <c r="AZ13" s="9">
        <v>1969.99</v>
      </c>
      <c r="BA13" s="15" t="s">
        <v>6308</v>
      </c>
      <c r="BB13" s="9"/>
      <c r="BC13" s="15"/>
      <c r="BD13" s="9">
        <v>1099.01</v>
      </c>
      <c r="BE13" s="15" t="s">
        <v>6374</v>
      </c>
      <c r="BF13">
        <v>440.02</v>
      </c>
      <c r="BG13" t="s">
        <v>6424</v>
      </c>
      <c r="BH13" s="9">
        <v>264.74</v>
      </c>
      <c r="BI13" s="15" t="s">
        <v>6465</v>
      </c>
      <c r="BJ13" s="96"/>
      <c r="BK13" s="15"/>
      <c r="BL13" s="9"/>
      <c r="BM13" s="15"/>
      <c r="BN13" s="96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</row>
    <row r="14" spans="1:92" x14ac:dyDescent="0.25">
      <c r="A14" s="41"/>
      <c r="B14" s="7"/>
      <c r="C14" s="26"/>
      <c r="D14" s="7">
        <v>4836</v>
      </c>
      <c r="E14" s="26" t="s">
        <v>5228</v>
      </c>
      <c r="F14" s="9">
        <v>1583.01</v>
      </c>
      <c r="G14" s="26" t="s">
        <v>5290</v>
      </c>
      <c r="H14" s="9">
        <v>232</v>
      </c>
      <c r="I14" s="15" t="s">
        <v>5341</v>
      </c>
      <c r="J14" s="9">
        <v>1970</v>
      </c>
      <c r="K14" s="26" t="s">
        <v>5412</v>
      </c>
      <c r="L14" s="7">
        <v>345.12</v>
      </c>
      <c r="M14" s="26" t="s">
        <v>5452</v>
      </c>
      <c r="N14" s="7"/>
      <c r="O14" s="26"/>
      <c r="P14" s="7">
        <v>85000</v>
      </c>
      <c r="Q14" s="26" t="s">
        <v>5506</v>
      </c>
      <c r="R14" s="9">
        <v>2314.75</v>
      </c>
      <c r="S14" s="26" t="s">
        <v>5545</v>
      </c>
      <c r="T14" s="7">
        <v>1720.09</v>
      </c>
      <c r="U14" s="26" t="s">
        <v>5607</v>
      </c>
      <c r="V14" s="9">
        <v>1099.01</v>
      </c>
      <c r="W14" s="26" t="s">
        <v>5650</v>
      </c>
      <c r="X14" s="9">
        <v>505.01</v>
      </c>
      <c r="Y14" s="26" t="s">
        <v>5691</v>
      </c>
      <c r="Z14" s="9">
        <v>4134.9799999999996</v>
      </c>
      <c r="AA14" s="15" t="s">
        <v>5731</v>
      </c>
      <c r="AB14" s="87"/>
      <c r="AC14" s="86"/>
      <c r="AD14" s="72">
        <v>1099.01</v>
      </c>
      <c r="AE14" s="26" t="s">
        <v>5803</v>
      </c>
      <c r="AF14" s="7">
        <v>3399.99</v>
      </c>
      <c r="AG14" s="26" t="s">
        <v>5844</v>
      </c>
      <c r="AH14" s="87"/>
      <c r="AI14" s="26"/>
      <c r="AJ14" s="7">
        <v>514.04999999999995</v>
      </c>
      <c r="AK14" s="26" t="s">
        <v>5936</v>
      </c>
      <c r="AL14" s="9">
        <v>100</v>
      </c>
      <c r="AM14" s="26" t="s">
        <v>5995</v>
      </c>
      <c r="AN14" s="9">
        <v>2040</v>
      </c>
      <c r="AO14" s="26" t="s">
        <v>6028</v>
      </c>
      <c r="AP14" s="7">
        <v>4465</v>
      </c>
      <c r="AQ14" s="26" t="s">
        <v>6092</v>
      </c>
      <c r="AR14" s="7">
        <v>185000</v>
      </c>
      <c r="AS14" s="26" t="s">
        <v>6126</v>
      </c>
      <c r="AT14" s="7">
        <v>200</v>
      </c>
      <c r="AU14" s="26" t="s">
        <v>6179</v>
      </c>
      <c r="AV14" s="7">
        <v>1970</v>
      </c>
      <c r="AW14" s="26" t="s">
        <v>6242</v>
      </c>
      <c r="AX14" s="7">
        <v>1099.01</v>
      </c>
      <c r="AY14" s="26" t="s">
        <v>6277</v>
      </c>
      <c r="AZ14" s="9">
        <v>1099.01</v>
      </c>
      <c r="BA14" s="15" t="s">
        <v>6316</v>
      </c>
      <c r="BB14" s="9"/>
      <c r="BC14" s="26"/>
      <c r="BD14" s="9">
        <v>2039.99</v>
      </c>
      <c r="BE14" s="26" t="s">
        <v>6375</v>
      </c>
      <c r="BF14">
        <v>1099</v>
      </c>
      <c r="BG14" t="s">
        <v>6425</v>
      </c>
      <c r="BH14" s="9">
        <v>500</v>
      </c>
      <c r="BI14" s="15" t="s">
        <v>6466</v>
      </c>
      <c r="BJ14" s="96"/>
      <c r="BK14" s="26"/>
      <c r="BL14" s="7"/>
      <c r="BM14" s="26"/>
      <c r="BN14" s="96"/>
      <c r="BO14" s="26"/>
      <c r="BP14" s="7"/>
      <c r="BQ14" s="26"/>
      <c r="BR14" s="7"/>
      <c r="BS14" s="26"/>
      <c r="BT14" s="7"/>
      <c r="BU14" s="26"/>
      <c r="BV14" s="7"/>
      <c r="BW14" s="26"/>
      <c r="BX14" s="7"/>
      <c r="BY14" s="26"/>
      <c r="BZ14" s="7"/>
      <c r="CA14" s="26"/>
      <c r="CB14" s="7"/>
      <c r="CC14" s="26"/>
      <c r="CD14" s="7"/>
      <c r="CE14" s="26"/>
      <c r="CF14" s="7"/>
      <c r="CG14" s="26"/>
      <c r="CH14" s="7"/>
      <c r="CI14" s="26"/>
      <c r="CJ14" s="7"/>
      <c r="CK14" s="26"/>
      <c r="CL14" s="7"/>
      <c r="CM14" s="26"/>
      <c r="CN14" s="7"/>
    </row>
    <row r="15" spans="1:92" x14ac:dyDescent="0.25">
      <c r="A15" s="41"/>
      <c r="B15" s="7"/>
      <c r="C15" s="26"/>
      <c r="D15" s="7">
        <v>1169</v>
      </c>
      <c r="E15" s="26" t="s">
        <v>5230</v>
      </c>
      <c r="F15" s="9">
        <v>2000</v>
      </c>
      <c r="G15" s="26" t="s">
        <v>5293</v>
      </c>
      <c r="H15" s="9">
        <v>5170.2</v>
      </c>
      <c r="I15" s="15" t="s">
        <v>5342</v>
      </c>
      <c r="J15" s="9">
        <v>1970</v>
      </c>
      <c r="K15" s="26" t="s">
        <v>5415</v>
      </c>
      <c r="L15" s="7">
        <v>4464.99</v>
      </c>
      <c r="M15" s="26" t="s">
        <v>5455</v>
      </c>
      <c r="N15" s="7"/>
      <c r="O15" s="26"/>
      <c r="P15" s="7">
        <v>1444.44</v>
      </c>
      <c r="Q15" s="26" t="s">
        <v>5507</v>
      </c>
      <c r="R15" s="9">
        <v>6234.12</v>
      </c>
      <c r="S15" s="26" t="s">
        <v>5563</v>
      </c>
      <c r="T15" s="7">
        <v>1511.76</v>
      </c>
      <c r="U15" s="26" t="s">
        <v>5608</v>
      </c>
      <c r="V15" s="7">
        <v>1565.48</v>
      </c>
      <c r="W15" s="26" t="s">
        <v>5653</v>
      </c>
      <c r="X15" s="9">
        <v>4380.01</v>
      </c>
      <c r="Y15" s="26" t="s">
        <v>5693</v>
      </c>
      <c r="Z15" s="112">
        <v>1099</v>
      </c>
      <c r="AA15" s="15" t="s">
        <v>5734</v>
      </c>
      <c r="AB15" s="87"/>
      <c r="AC15" s="88"/>
      <c r="AD15" s="72">
        <v>3250.01</v>
      </c>
      <c r="AE15" s="26" t="s">
        <v>5805</v>
      </c>
      <c r="AF15" s="7">
        <v>1299.46</v>
      </c>
      <c r="AG15" s="26" t="s">
        <v>5845</v>
      </c>
      <c r="AH15" s="87">
        <v>6447.92</v>
      </c>
      <c r="AI15" s="26" t="s">
        <v>5908</v>
      </c>
      <c r="AJ15" s="7">
        <v>2480.0500000000002</v>
      </c>
      <c r="AK15" s="26" t="s">
        <v>5937</v>
      </c>
      <c r="AL15" s="9">
        <v>1192.99</v>
      </c>
      <c r="AM15" s="26" t="s">
        <v>5999</v>
      </c>
      <c r="AN15" s="11">
        <v>1168.99</v>
      </c>
      <c r="AO15" s="12" t="s">
        <v>6036</v>
      </c>
      <c r="AP15" s="7">
        <v>1099</v>
      </c>
      <c r="AQ15" s="26" t="s">
        <v>6095</v>
      </c>
      <c r="AR15" s="7">
        <v>300</v>
      </c>
      <c r="AS15" s="26" t="s">
        <v>6127</v>
      </c>
      <c r="AT15" s="7"/>
      <c r="AU15" s="26"/>
      <c r="AV15" s="7">
        <v>251.01</v>
      </c>
      <c r="AW15" s="26" t="s">
        <v>6245</v>
      </c>
      <c r="AX15" s="7">
        <v>3889</v>
      </c>
      <c r="AY15" s="26" t="s">
        <v>6280</v>
      </c>
      <c r="AZ15" s="9">
        <v>1099</v>
      </c>
      <c r="BA15" s="15" t="s">
        <v>6319</v>
      </c>
      <c r="BB15" s="9"/>
      <c r="BC15" s="26"/>
      <c r="BD15" s="9">
        <v>1970</v>
      </c>
      <c r="BE15" s="26" t="s">
        <v>6379</v>
      </c>
      <c r="BF15">
        <v>1798.99</v>
      </c>
      <c r="BG15" t="s">
        <v>6426</v>
      </c>
      <c r="BH15" s="7">
        <v>90500</v>
      </c>
      <c r="BI15" s="26" t="s">
        <v>6470</v>
      </c>
      <c r="BJ15" s="96"/>
      <c r="BK15" s="26"/>
      <c r="BL15" s="7"/>
      <c r="BM15" s="26"/>
      <c r="BN15" s="96"/>
      <c r="BO15" s="26"/>
      <c r="BP15" s="7"/>
      <c r="BQ15" s="26"/>
      <c r="BR15" s="7"/>
      <c r="BS15" s="26"/>
      <c r="BT15" s="7"/>
      <c r="BU15" s="26"/>
      <c r="BV15" s="7"/>
      <c r="BW15" s="26"/>
      <c r="BX15" s="7"/>
      <c r="BY15" s="26"/>
      <c r="BZ15" s="7"/>
      <c r="CA15" s="26"/>
      <c r="CB15" s="7"/>
      <c r="CC15" s="26"/>
      <c r="CD15" s="7"/>
      <c r="CE15" s="26"/>
      <c r="CF15" s="7"/>
      <c r="CG15" s="26"/>
      <c r="CH15" s="7"/>
      <c r="CI15" s="26"/>
      <c r="CJ15" s="7"/>
      <c r="CK15" s="26"/>
      <c r="CL15" s="7"/>
      <c r="CM15" s="26"/>
      <c r="CN15" s="7"/>
    </row>
    <row r="16" spans="1:92" x14ac:dyDescent="0.25">
      <c r="A16" s="41"/>
      <c r="B16" s="7"/>
      <c r="C16" s="26"/>
      <c r="D16" s="7">
        <v>1169</v>
      </c>
      <c r="E16" s="26" t="s">
        <v>5234</v>
      </c>
      <c r="F16" s="9">
        <v>2069.0100000000002</v>
      </c>
      <c r="G16" s="26" t="s">
        <v>5295</v>
      </c>
      <c r="H16" s="9">
        <v>3669.98</v>
      </c>
      <c r="I16" s="15" t="s">
        <v>5343</v>
      </c>
      <c r="J16" s="9">
        <v>69.989999999999995</v>
      </c>
      <c r="K16" s="26" t="s">
        <v>5416</v>
      </c>
      <c r="L16" s="7">
        <v>1169.99</v>
      </c>
      <c r="M16" s="26" t="s">
        <v>5467</v>
      </c>
      <c r="N16" s="7"/>
      <c r="O16" s="26"/>
      <c r="P16" s="7">
        <v>580.99</v>
      </c>
      <c r="Q16" s="26" t="s">
        <v>5509</v>
      </c>
      <c r="R16" s="9">
        <v>1469</v>
      </c>
      <c r="S16" s="26" t="s">
        <v>5564</v>
      </c>
      <c r="T16" s="7">
        <v>1469</v>
      </c>
      <c r="U16" s="26" t="s">
        <v>5611</v>
      </c>
      <c r="V16" s="9">
        <v>1168.99</v>
      </c>
      <c r="W16" s="26" t="s">
        <v>5660</v>
      </c>
      <c r="X16" s="9">
        <v>1169</v>
      </c>
      <c r="Y16" s="26" t="s">
        <v>5704</v>
      </c>
      <c r="Z16" s="112">
        <v>1169</v>
      </c>
      <c r="AA16" s="15" t="s">
        <v>5736</v>
      </c>
      <c r="AB16" s="87"/>
      <c r="AC16" s="88"/>
      <c r="AD16" s="72">
        <v>4395.01</v>
      </c>
      <c r="AE16" s="26" t="s">
        <v>5806</v>
      </c>
      <c r="AF16" s="7"/>
      <c r="AG16" s="26"/>
      <c r="AH16" s="87">
        <v>2065</v>
      </c>
      <c r="AI16" s="9" t="s">
        <v>5910</v>
      </c>
      <c r="AJ16" s="7">
        <f>5707.82+4524.95-10000</f>
        <v>232.77000000000044</v>
      </c>
      <c r="AK16" s="26" t="s">
        <v>5938</v>
      </c>
      <c r="AL16" s="9">
        <v>3670.11</v>
      </c>
      <c r="AM16" s="26" t="s">
        <v>6000</v>
      </c>
      <c r="AN16" s="9">
        <v>2070.0100000000002</v>
      </c>
      <c r="AO16" s="26" t="s">
        <v>6039</v>
      </c>
      <c r="AP16" s="7">
        <v>1099.01</v>
      </c>
      <c r="AQ16" s="7" t="s">
        <v>6097</v>
      </c>
      <c r="AR16" s="7">
        <v>5000</v>
      </c>
      <c r="AS16" s="26" t="s">
        <v>6128</v>
      </c>
      <c r="AT16" s="7">
        <v>5000</v>
      </c>
      <c r="AU16" s="26" t="s">
        <v>6181</v>
      </c>
      <c r="AV16" s="7">
        <v>1099</v>
      </c>
      <c r="AW16" s="26" t="s">
        <v>6246</v>
      </c>
      <c r="AX16" s="7">
        <v>2546.41</v>
      </c>
      <c r="AY16" s="26" t="s">
        <v>6281</v>
      </c>
      <c r="AZ16" s="9">
        <v>1970</v>
      </c>
      <c r="BA16" s="15" t="s">
        <v>6320</v>
      </c>
      <c r="BB16" s="9"/>
      <c r="BC16" s="26"/>
      <c r="BD16" s="9">
        <v>1169</v>
      </c>
      <c r="BE16" s="26" t="s">
        <v>6306</v>
      </c>
      <c r="BF16">
        <v>4380</v>
      </c>
      <c r="BG16" t="s">
        <v>6427</v>
      </c>
      <c r="BH16" s="7">
        <v>500</v>
      </c>
      <c r="BI16" s="26" t="s">
        <v>6473</v>
      </c>
      <c r="BJ16" s="96"/>
      <c r="BK16" s="26"/>
      <c r="BL16" s="7"/>
      <c r="BM16" s="26"/>
      <c r="BN16" s="96"/>
      <c r="BO16" s="26"/>
      <c r="BP16" s="7"/>
      <c r="BQ16" s="26"/>
      <c r="BR16" s="7"/>
      <c r="BS16" s="26"/>
      <c r="BT16" s="7"/>
      <c r="BU16" s="26"/>
      <c r="BV16" s="7"/>
      <c r="BW16" s="26"/>
      <c r="BX16" s="7"/>
      <c r="BY16" s="26"/>
      <c r="BZ16" s="7"/>
      <c r="CA16" s="26"/>
      <c r="CB16" s="7"/>
      <c r="CC16" s="26"/>
      <c r="CD16" s="7"/>
      <c r="CE16" s="26"/>
      <c r="CF16" s="7"/>
      <c r="CG16" s="26"/>
      <c r="CH16" s="7"/>
      <c r="CI16" s="26"/>
      <c r="CJ16" s="7"/>
      <c r="CK16" s="26"/>
      <c r="CL16" s="7"/>
      <c r="CM16" s="26"/>
      <c r="CN16" s="7"/>
    </row>
    <row r="17" spans="1:92" x14ac:dyDescent="0.25">
      <c r="A17" s="41"/>
      <c r="B17" s="7"/>
      <c r="C17" s="26"/>
      <c r="D17" s="7">
        <v>1970.02</v>
      </c>
      <c r="E17" s="26" t="s">
        <v>5235</v>
      </c>
      <c r="F17" s="9">
        <v>1099</v>
      </c>
      <c r="G17" s="26" t="s">
        <v>5298</v>
      </c>
      <c r="H17" s="9">
        <v>2019</v>
      </c>
      <c r="I17" s="15" t="s">
        <v>5349</v>
      </c>
      <c r="J17" s="9">
        <v>1099.01</v>
      </c>
      <c r="K17" s="26" t="s">
        <v>5421</v>
      </c>
      <c r="L17" s="7">
        <v>1099.01</v>
      </c>
      <c r="M17" s="26" t="s">
        <v>5469</v>
      </c>
      <c r="N17" s="7"/>
      <c r="O17" s="26"/>
      <c r="P17" s="7">
        <f>2938.51-360.38-1882.13</f>
        <v>696</v>
      </c>
      <c r="Q17" s="26" t="s">
        <v>5513</v>
      </c>
      <c r="R17" s="9">
        <v>3319.99</v>
      </c>
      <c r="S17" s="15" t="s">
        <v>5566</v>
      </c>
      <c r="T17" s="9">
        <v>1099.01</v>
      </c>
      <c r="U17" s="26" t="s">
        <v>5612</v>
      </c>
      <c r="V17" s="9">
        <v>1169</v>
      </c>
      <c r="W17" s="26" t="s">
        <v>5661</v>
      </c>
      <c r="X17" s="9">
        <v>1099.01</v>
      </c>
      <c r="Y17" s="26" t="s">
        <v>5705</v>
      </c>
      <c r="Z17" s="112">
        <v>2445.0100000000002</v>
      </c>
      <c r="AA17" s="26" t="s">
        <v>5737</v>
      </c>
      <c r="AB17" s="87"/>
      <c r="AC17" s="88"/>
      <c r="AD17" s="72">
        <v>3320</v>
      </c>
      <c r="AE17" s="26" t="s">
        <v>5807</v>
      </c>
      <c r="AF17" s="7">
        <v>89138.25</v>
      </c>
      <c r="AG17" s="26" t="s">
        <v>5846</v>
      </c>
      <c r="AH17" s="87">
        <v>639.39</v>
      </c>
      <c r="AI17" s="26" t="s">
        <v>5911</v>
      </c>
      <c r="AJ17" s="7">
        <v>2591.09</v>
      </c>
      <c r="AK17" s="26" t="s">
        <v>5939</v>
      </c>
      <c r="AL17" s="9">
        <v>3620</v>
      </c>
      <c r="AM17" s="26" t="s">
        <v>6001</v>
      </c>
      <c r="AN17" s="9">
        <v>79.44</v>
      </c>
      <c r="AO17" s="26" t="s">
        <v>6045</v>
      </c>
      <c r="AP17" s="7">
        <v>1099.01</v>
      </c>
      <c r="AQ17" s="26" t="s">
        <v>6103</v>
      </c>
      <c r="AR17" s="7">
        <v>54</v>
      </c>
      <c r="AS17" s="26" t="s">
        <v>6129</v>
      </c>
      <c r="AT17" s="7">
        <v>30447</v>
      </c>
      <c r="AU17" s="26" t="s">
        <v>6183</v>
      </c>
      <c r="AV17" s="7">
        <v>1099.01</v>
      </c>
      <c r="AW17" s="26" t="s">
        <v>6248</v>
      </c>
      <c r="AX17" s="7">
        <v>2015.66</v>
      </c>
      <c r="AY17" s="26" t="s">
        <v>6284</v>
      </c>
      <c r="AZ17" s="9">
        <v>1969.99</v>
      </c>
      <c r="BA17" s="15" t="s">
        <v>6321</v>
      </c>
      <c r="BB17" s="9"/>
      <c r="BC17" s="26"/>
      <c r="BD17" s="9">
        <v>505.01</v>
      </c>
      <c r="BE17" s="26" t="s">
        <v>6382</v>
      </c>
      <c r="BF17">
        <v>1099</v>
      </c>
      <c r="BG17" t="s">
        <v>6428</v>
      </c>
      <c r="BH17" s="7">
        <v>5000</v>
      </c>
      <c r="BI17" s="26" t="s">
        <v>6474</v>
      </c>
      <c r="BJ17" s="96"/>
      <c r="BK17" s="26"/>
      <c r="BL17" s="7"/>
      <c r="BM17" s="26"/>
      <c r="BN17" s="96"/>
      <c r="BO17" s="26"/>
      <c r="BP17" s="7"/>
      <c r="BQ17" s="26"/>
      <c r="BR17" s="7"/>
      <c r="BS17" s="26"/>
      <c r="BT17" s="7"/>
      <c r="BU17" s="26"/>
      <c r="BV17" s="7"/>
      <c r="BW17" s="26"/>
      <c r="BX17" s="7"/>
      <c r="BY17" s="26"/>
      <c r="BZ17" s="7"/>
      <c r="CA17" s="26"/>
      <c r="CB17" s="7"/>
      <c r="CC17" s="26"/>
      <c r="CD17" s="7"/>
      <c r="CE17" s="26"/>
      <c r="CF17" s="7"/>
      <c r="CG17" s="26"/>
      <c r="CH17" s="7"/>
      <c r="CI17" s="26"/>
      <c r="CJ17" s="7"/>
      <c r="CK17" s="26"/>
      <c r="CL17" s="7"/>
      <c r="CM17" s="26"/>
      <c r="CN17" s="7"/>
    </row>
    <row r="18" spans="1:92" x14ac:dyDescent="0.25">
      <c r="A18" s="41"/>
      <c r="B18" s="7"/>
      <c r="C18" s="26"/>
      <c r="D18" s="7">
        <v>557.99</v>
      </c>
      <c r="E18" s="26" t="s">
        <v>5236</v>
      </c>
      <c r="F18" s="9">
        <v>3238.99</v>
      </c>
      <c r="G18" s="26" t="s">
        <v>5301</v>
      </c>
      <c r="H18" s="9">
        <v>2455</v>
      </c>
      <c r="I18" s="15" t="s">
        <v>5350</v>
      </c>
      <c r="J18" s="9">
        <v>4400.01</v>
      </c>
      <c r="K18" s="26" t="s">
        <v>5426</v>
      </c>
      <c r="L18" s="7">
        <v>1970</v>
      </c>
      <c r="M18" s="26" t="s">
        <v>5471</v>
      </c>
      <c r="N18" s="7"/>
      <c r="O18" s="26"/>
      <c r="P18" s="7">
        <v>766.99</v>
      </c>
      <c r="Q18" s="26" t="s">
        <v>5514</v>
      </c>
      <c r="R18" s="9">
        <v>1099.01</v>
      </c>
      <c r="S18" s="15" t="s">
        <v>5574</v>
      </c>
      <c r="T18" s="9">
        <v>1556.29</v>
      </c>
      <c r="U18" s="26" t="s">
        <v>5613</v>
      </c>
      <c r="V18" s="9">
        <v>1169</v>
      </c>
      <c r="W18" s="26" t="s">
        <v>5664</v>
      </c>
      <c r="X18" s="9">
        <v>1168.99</v>
      </c>
      <c r="Y18" s="26" t="s">
        <v>5706</v>
      </c>
      <c r="Z18" s="112">
        <v>1169</v>
      </c>
      <c r="AA18" s="26" t="s">
        <v>5738</v>
      </c>
      <c r="AB18" s="87"/>
      <c r="AC18" s="88"/>
      <c r="AD18" s="72">
        <v>4464.99</v>
      </c>
      <c r="AE18" s="26" t="s">
        <v>5811</v>
      </c>
      <c r="AF18" s="7">
        <v>175</v>
      </c>
      <c r="AG18" s="26" t="s">
        <v>5850</v>
      </c>
      <c r="AH18" s="72">
        <v>24.62</v>
      </c>
      <c r="AI18" s="15" t="s">
        <v>5914</v>
      </c>
      <c r="AJ18" s="9">
        <v>3312.99</v>
      </c>
      <c r="AK18" s="15" t="s">
        <v>5944</v>
      </c>
      <c r="AL18" s="9">
        <v>4464.99</v>
      </c>
      <c r="AM18" s="26" t="s">
        <v>6006</v>
      </c>
      <c r="AN18" s="9">
        <v>336.17</v>
      </c>
      <c r="AO18" s="26" t="s">
        <v>6047</v>
      </c>
      <c r="AP18" s="7">
        <v>523.26</v>
      </c>
      <c r="AQ18" s="26" t="s">
        <v>6107</v>
      </c>
      <c r="AR18" s="7">
        <v>4112</v>
      </c>
      <c r="AS18" s="26" t="s">
        <v>6134</v>
      </c>
      <c r="AT18" s="7">
        <v>2000</v>
      </c>
      <c r="AU18" s="26" t="s">
        <v>6186</v>
      </c>
      <c r="AV18" s="7">
        <v>1065</v>
      </c>
      <c r="AW18" s="26" t="s">
        <v>6252</v>
      </c>
      <c r="AX18" s="7">
        <v>1099.01</v>
      </c>
      <c r="AY18" s="26" t="s">
        <v>6289</v>
      </c>
      <c r="AZ18" s="9">
        <v>1099.02</v>
      </c>
      <c r="BA18" s="15" t="s">
        <v>6323</v>
      </c>
      <c r="BB18" s="9"/>
      <c r="BC18" s="26"/>
      <c r="BD18" s="9">
        <v>1168.99</v>
      </c>
      <c r="BE18" s="26" t="s">
        <v>6384</v>
      </c>
      <c r="BF18">
        <v>1168.99</v>
      </c>
      <c r="BG18" t="s">
        <v>6429</v>
      </c>
      <c r="BH18" s="7">
        <v>1995</v>
      </c>
      <c r="BI18" s="26" t="s">
        <v>6479</v>
      </c>
      <c r="BJ18" s="96"/>
      <c r="BK18" s="26"/>
      <c r="BL18" s="7"/>
      <c r="BM18" s="26"/>
      <c r="BN18" s="96"/>
      <c r="BO18" s="26"/>
      <c r="BP18" s="7"/>
      <c r="BQ18" s="26"/>
      <c r="BR18" s="7"/>
      <c r="BS18" s="26"/>
      <c r="BT18" s="7"/>
      <c r="BU18" s="26"/>
      <c r="BV18" s="7"/>
      <c r="BW18" s="26"/>
      <c r="BX18" s="7"/>
      <c r="BY18" s="26"/>
      <c r="BZ18" s="7"/>
      <c r="CA18" s="26"/>
      <c r="CB18" s="7"/>
      <c r="CC18" s="26"/>
      <c r="CD18" s="7"/>
      <c r="CE18" s="26"/>
      <c r="CF18" s="7"/>
      <c r="CG18" s="26"/>
      <c r="CH18" s="7"/>
      <c r="CI18" s="26"/>
      <c r="CJ18" s="7"/>
      <c r="CK18" s="26"/>
      <c r="CL18" s="7"/>
      <c r="CM18" s="26"/>
      <c r="CN18" s="7"/>
    </row>
    <row r="19" spans="1:92" x14ac:dyDescent="0.25">
      <c r="A19" s="41"/>
      <c r="B19" s="7"/>
      <c r="C19" s="26"/>
      <c r="D19" s="7">
        <v>1099.01</v>
      </c>
      <c r="E19" s="26" t="s">
        <v>5239</v>
      </c>
      <c r="F19" s="9">
        <v>1995</v>
      </c>
      <c r="G19" s="26" t="s">
        <v>5303</v>
      </c>
      <c r="H19" s="9">
        <v>1518.99</v>
      </c>
      <c r="I19" s="15" t="s">
        <v>5351</v>
      </c>
      <c r="J19" s="9">
        <v>1099.01</v>
      </c>
      <c r="K19" s="26" t="s">
        <v>5428</v>
      </c>
      <c r="L19" s="7">
        <v>232</v>
      </c>
      <c r="M19" s="26" t="s">
        <v>5473</v>
      </c>
      <c r="N19" s="7"/>
      <c r="O19" s="26"/>
      <c r="P19" s="7">
        <v>1099</v>
      </c>
      <c r="Q19" s="26" t="s">
        <v>5516</v>
      </c>
      <c r="R19" s="9">
        <v>2040</v>
      </c>
      <c r="S19" s="26" t="s">
        <v>5577</v>
      </c>
      <c r="T19" s="9">
        <v>1443.71</v>
      </c>
      <c r="U19" s="26" t="s">
        <v>5614</v>
      </c>
      <c r="V19" s="9"/>
      <c r="W19" s="26"/>
      <c r="X19" s="9">
        <v>1216.4100000000001</v>
      </c>
      <c r="Y19" s="26" t="s">
        <v>5708</v>
      </c>
      <c r="Z19" s="112">
        <v>3250.01</v>
      </c>
      <c r="AA19" s="26" t="s">
        <v>5739</v>
      </c>
      <c r="AB19" s="87"/>
      <c r="AC19" s="88"/>
      <c r="AD19" s="72">
        <v>1168.99</v>
      </c>
      <c r="AE19" s="26" t="s">
        <v>5814</v>
      </c>
      <c r="AF19" s="9">
        <v>145.87</v>
      </c>
      <c r="AG19" s="15" t="s">
        <v>5851</v>
      </c>
      <c r="AH19" s="87">
        <v>1271.8900000000001</v>
      </c>
      <c r="AI19" s="26" t="s">
        <v>5915</v>
      </c>
      <c r="AJ19" s="7">
        <f>3529-529</f>
        <v>3000</v>
      </c>
      <c r="AK19" s="26" t="s">
        <v>5945</v>
      </c>
      <c r="AL19" s="9">
        <v>5112.99</v>
      </c>
      <c r="AM19" s="26" t="s">
        <v>6007</v>
      </c>
      <c r="AN19" s="9"/>
      <c r="AO19" s="26"/>
      <c r="AP19" s="7"/>
      <c r="AQ19" s="26"/>
      <c r="AR19" s="7">
        <v>4395</v>
      </c>
      <c r="AS19" s="26" t="s">
        <v>6135</v>
      </c>
      <c r="AT19" s="7">
        <v>2485</v>
      </c>
      <c r="AU19" s="26" t="s">
        <v>6187</v>
      </c>
      <c r="AV19" s="7">
        <v>3250.02</v>
      </c>
      <c r="AW19" s="26" t="s">
        <v>6253</v>
      </c>
      <c r="AX19" s="7">
        <v>1169</v>
      </c>
      <c r="AY19" s="26" t="s">
        <v>6293</v>
      </c>
      <c r="AZ19" s="9">
        <v>3316</v>
      </c>
      <c r="BA19" s="15" t="s">
        <v>6324</v>
      </c>
      <c r="BB19" s="9"/>
      <c r="BC19" s="26"/>
      <c r="BD19" s="9">
        <v>150.56</v>
      </c>
      <c r="BE19" s="26" t="s">
        <v>6386</v>
      </c>
      <c r="BF19">
        <v>1169</v>
      </c>
      <c r="BG19" t="s">
        <v>6430</v>
      </c>
      <c r="BH19" s="7">
        <v>2935.99</v>
      </c>
      <c r="BI19" s="26" t="s">
        <v>6480</v>
      </c>
      <c r="BJ19" s="96"/>
      <c r="BK19" s="26"/>
      <c r="BL19" s="7"/>
      <c r="BM19" s="26"/>
      <c r="BN19" s="96"/>
      <c r="BO19" s="26"/>
      <c r="BP19" s="7"/>
      <c r="BQ19" s="26"/>
      <c r="BR19" s="7"/>
      <c r="BS19" s="26"/>
      <c r="BT19" s="7"/>
      <c r="BU19" s="26"/>
      <c r="BV19" s="7"/>
      <c r="BW19" s="26"/>
      <c r="BX19" s="7"/>
      <c r="BY19" s="26"/>
      <c r="BZ19" s="7"/>
      <c r="CA19" s="26"/>
      <c r="CB19" s="7"/>
      <c r="CC19" s="26"/>
      <c r="CD19" s="7"/>
      <c r="CE19" s="26"/>
      <c r="CF19" s="7"/>
      <c r="CG19" s="26"/>
      <c r="CH19" s="7"/>
      <c r="CI19" s="26"/>
      <c r="CJ19" s="7"/>
      <c r="CK19" s="26"/>
      <c r="CL19" s="7"/>
      <c r="CM19" s="26"/>
      <c r="CN19" s="7"/>
    </row>
    <row r="20" spans="1:92" x14ac:dyDescent="0.25">
      <c r="A20" s="41"/>
      <c r="B20" s="7"/>
      <c r="C20" s="26"/>
      <c r="D20" s="7">
        <v>1099.01</v>
      </c>
      <c r="E20" s="26" t="s">
        <v>5242</v>
      </c>
      <c r="F20" s="9">
        <v>1099.01</v>
      </c>
      <c r="G20" s="26" t="s">
        <v>5305</v>
      </c>
      <c r="H20" s="9">
        <v>1169</v>
      </c>
      <c r="I20" s="15" t="s">
        <v>5354</v>
      </c>
      <c r="J20" s="9">
        <v>1168.99</v>
      </c>
      <c r="K20" s="26" t="s">
        <v>5429</v>
      </c>
      <c r="L20" s="9">
        <v>1099.01</v>
      </c>
      <c r="M20" s="15" t="s">
        <v>5475</v>
      </c>
      <c r="N20" s="7"/>
      <c r="O20" s="26"/>
      <c r="P20" s="7">
        <v>4464.99</v>
      </c>
      <c r="Q20" s="26" t="s">
        <v>5519</v>
      </c>
      <c r="R20" s="9">
        <v>696</v>
      </c>
      <c r="S20" s="26" t="s">
        <v>5582</v>
      </c>
      <c r="T20" s="9">
        <v>3316</v>
      </c>
      <c r="U20" s="26" t="s">
        <v>5615</v>
      </c>
      <c r="V20" s="9"/>
      <c r="W20" s="26"/>
      <c r="X20" s="9">
        <v>494.08</v>
      </c>
      <c r="Y20" s="26" t="s">
        <v>5709</v>
      </c>
      <c r="Z20" s="112">
        <v>1169</v>
      </c>
      <c r="AA20" s="26" t="s">
        <v>5740</v>
      </c>
      <c r="AB20" s="87"/>
      <c r="AC20" s="88"/>
      <c r="AD20" s="72">
        <v>3733.99</v>
      </c>
      <c r="AE20" s="26" t="s">
        <v>5816</v>
      </c>
      <c r="AF20" s="9">
        <v>3000</v>
      </c>
      <c r="AG20" s="15" t="s">
        <v>5852</v>
      </c>
      <c r="AH20" s="87">
        <v>250.53</v>
      </c>
      <c r="AI20" s="26" t="s">
        <v>5916</v>
      </c>
      <c r="AJ20" s="7">
        <v>3350.01</v>
      </c>
      <c r="AK20" s="26" t="s">
        <v>5948</v>
      </c>
      <c r="AL20" s="9">
        <v>17320.52</v>
      </c>
      <c r="AM20" s="26" t="s">
        <v>6008</v>
      </c>
      <c r="AN20" s="9"/>
      <c r="AO20" s="15"/>
      <c r="AP20" s="7"/>
      <c r="AQ20" s="26"/>
      <c r="AR20" s="7">
        <v>1169</v>
      </c>
      <c r="AS20" s="26" t="s">
        <v>6142</v>
      </c>
      <c r="AT20" s="7">
        <v>3239</v>
      </c>
      <c r="AU20" s="26" t="s">
        <v>6189</v>
      </c>
      <c r="AV20" s="7">
        <v>414.64</v>
      </c>
      <c r="AW20" s="26" t="s">
        <v>6256</v>
      </c>
      <c r="AX20" s="7">
        <v>4401.01</v>
      </c>
      <c r="AY20" s="26" t="s">
        <v>6295</v>
      </c>
      <c r="AZ20" s="9">
        <v>2065</v>
      </c>
      <c r="BA20" s="15" t="s">
        <v>6325</v>
      </c>
      <c r="BB20" s="9"/>
      <c r="BC20" s="26"/>
      <c r="BD20" s="9">
        <v>1000</v>
      </c>
      <c r="BE20" s="26" t="s">
        <v>6398</v>
      </c>
      <c r="BH20" s="7">
        <v>1970</v>
      </c>
      <c r="BI20" s="26" t="s">
        <v>6488</v>
      </c>
      <c r="BJ20" s="96"/>
      <c r="BK20" s="26"/>
      <c r="BL20" s="7"/>
      <c r="BM20" s="26"/>
      <c r="BN20" s="96"/>
      <c r="BO20" s="26"/>
      <c r="BP20" s="7"/>
      <c r="BQ20" s="26"/>
      <c r="BR20" s="7"/>
      <c r="BS20" s="26"/>
      <c r="BT20" s="7"/>
      <c r="BU20" s="26"/>
      <c r="BV20" s="7"/>
      <c r="BW20" s="26"/>
      <c r="BX20" s="7"/>
      <c r="BY20" s="26"/>
      <c r="BZ20" s="7"/>
      <c r="CA20" s="26"/>
      <c r="CB20" s="7"/>
      <c r="CC20" s="26"/>
      <c r="CD20" s="7"/>
      <c r="CE20" s="26"/>
      <c r="CF20" s="7"/>
      <c r="CG20" s="26"/>
      <c r="CH20" s="7"/>
      <c r="CI20" s="26"/>
      <c r="CJ20" s="7"/>
      <c r="CK20" s="26"/>
      <c r="CL20" s="7"/>
      <c r="CM20" s="26"/>
      <c r="CN20" s="7"/>
    </row>
    <row r="21" spans="1:92" x14ac:dyDescent="0.25">
      <c r="A21" s="41"/>
      <c r="B21" s="7"/>
      <c r="C21" s="26"/>
      <c r="D21" s="7">
        <v>3319.99</v>
      </c>
      <c r="E21" s="26" t="s">
        <v>5243</v>
      </c>
      <c r="F21" s="9">
        <v>464</v>
      </c>
      <c r="G21" s="26" t="s">
        <v>5310</v>
      </c>
      <c r="H21" s="9">
        <v>1970</v>
      </c>
      <c r="I21" s="15" t="s">
        <v>5356</v>
      </c>
      <c r="J21" s="9">
        <v>1519.37</v>
      </c>
      <c r="K21" s="26" t="s">
        <v>5431</v>
      </c>
      <c r="L21" s="7"/>
      <c r="M21" s="26"/>
      <c r="N21" s="7"/>
      <c r="O21" s="26"/>
      <c r="P21" s="7">
        <v>1168.99</v>
      </c>
      <c r="Q21" s="26" t="s">
        <v>5522</v>
      </c>
      <c r="R21" s="9">
        <v>191.49</v>
      </c>
      <c r="S21" s="15" t="s">
        <v>5583</v>
      </c>
      <c r="T21" s="9">
        <v>2250.0100000000002</v>
      </c>
      <c r="U21" s="26" t="s">
        <v>5623</v>
      </c>
      <c r="V21" s="9"/>
      <c r="W21" s="26"/>
      <c r="X21" s="9">
        <v>2622.03</v>
      </c>
      <c r="Y21" s="9" t="s">
        <v>5710</v>
      </c>
      <c r="Z21" s="112">
        <v>1970</v>
      </c>
      <c r="AA21" s="26" t="s">
        <v>5743</v>
      </c>
      <c r="AB21" s="87"/>
      <c r="AC21" s="88"/>
      <c r="AD21" s="72">
        <v>2833.02</v>
      </c>
      <c r="AE21" s="26" t="s">
        <v>5817</v>
      </c>
      <c r="AF21" s="7">
        <v>54.03</v>
      </c>
      <c r="AG21" s="26" t="s">
        <v>5853</v>
      </c>
      <c r="AH21" s="87"/>
      <c r="AI21" s="26"/>
      <c r="AJ21" s="7">
        <v>3319.99</v>
      </c>
      <c r="AK21" s="26" t="s">
        <v>5949</v>
      </c>
      <c r="AL21" s="9">
        <v>829.28</v>
      </c>
      <c r="AM21" s="26" t="s">
        <v>6015</v>
      </c>
      <c r="AN21" s="9"/>
      <c r="AO21" s="26"/>
      <c r="AP21" s="72"/>
      <c r="AQ21" s="24"/>
      <c r="AR21" s="9">
        <v>1169</v>
      </c>
      <c r="AS21" s="15" t="s">
        <v>6144</v>
      </c>
      <c r="AT21" s="7">
        <v>2500</v>
      </c>
      <c r="AU21" s="26" t="s">
        <v>6190</v>
      </c>
      <c r="AV21" s="7"/>
      <c r="AW21" s="26"/>
      <c r="AX21" s="7"/>
      <c r="AY21" s="26"/>
      <c r="AZ21" s="9">
        <v>3168.99</v>
      </c>
      <c r="BA21" s="15" t="s">
        <v>6326</v>
      </c>
      <c r="BB21" s="9"/>
      <c r="BC21" s="26"/>
      <c r="BD21" s="9">
        <v>1970</v>
      </c>
      <c r="BE21" s="26" t="s">
        <v>6400</v>
      </c>
      <c r="BF21" s="9"/>
      <c r="BG21" s="26"/>
      <c r="BH21" s="7">
        <v>1169</v>
      </c>
      <c r="BI21" s="26" t="s">
        <v>6490</v>
      </c>
      <c r="BJ21" s="114"/>
      <c r="BK21" s="13"/>
      <c r="BL21" s="7"/>
      <c r="BM21" s="26"/>
      <c r="BN21" s="96"/>
      <c r="BO21" s="26"/>
      <c r="BP21" s="7"/>
      <c r="BQ21" s="26"/>
      <c r="BR21" s="7"/>
      <c r="BS21" s="26"/>
      <c r="BT21" s="7"/>
      <c r="BU21" s="26"/>
      <c r="BV21" s="7"/>
      <c r="BW21" s="26"/>
      <c r="BX21" s="7"/>
      <c r="BY21" s="26"/>
      <c r="BZ21" s="7"/>
      <c r="CA21" s="26"/>
      <c r="CB21" s="7"/>
      <c r="CC21" s="26"/>
      <c r="CD21" s="7"/>
      <c r="CE21" s="26"/>
      <c r="CF21" s="7"/>
      <c r="CG21" s="26"/>
      <c r="CH21" s="7"/>
      <c r="CI21" s="26"/>
      <c r="CJ21" s="7"/>
      <c r="CK21" s="26"/>
      <c r="CL21" s="7"/>
      <c r="CM21" s="26"/>
      <c r="CN21" s="7"/>
    </row>
    <row r="22" spans="1:92" x14ac:dyDescent="0.25">
      <c r="A22" s="41"/>
      <c r="B22" s="7"/>
      <c r="C22" s="26"/>
      <c r="D22" s="7">
        <v>2065</v>
      </c>
      <c r="E22" s="26" t="s">
        <v>5244</v>
      </c>
      <c r="F22" s="9">
        <v>1099.01</v>
      </c>
      <c r="G22" s="26" t="s">
        <v>5316</v>
      </c>
      <c r="H22" s="9">
        <v>2339.9899999999998</v>
      </c>
      <c r="I22" s="15" t="s">
        <v>5362</v>
      </c>
      <c r="J22" s="9">
        <v>414.64</v>
      </c>
      <c r="K22" s="26" t="s">
        <v>5432</v>
      </c>
      <c r="L22" s="7"/>
      <c r="M22" s="26"/>
      <c r="N22" s="7"/>
      <c r="O22" s="26"/>
      <c r="P22" s="9">
        <v>1099.01</v>
      </c>
      <c r="Q22" s="15" t="s">
        <v>5523</v>
      </c>
      <c r="R22" s="9">
        <f>1498.95-700</f>
        <v>798.95</v>
      </c>
      <c r="S22" s="15" t="s">
        <v>5584</v>
      </c>
      <c r="T22" s="9">
        <v>505.01</v>
      </c>
      <c r="U22" s="26" t="s">
        <v>5624</v>
      </c>
      <c r="V22" s="9"/>
      <c r="W22" s="26"/>
      <c r="X22" s="9">
        <v>224.11</v>
      </c>
      <c r="Y22" s="26" t="s">
        <v>5711</v>
      </c>
      <c r="Z22" s="112">
        <v>1970.02</v>
      </c>
      <c r="AA22" s="26" t="s">
        <v>5744</v>
      </c>
      <c r="AB22" s="72"/>
      <c r="AC22" s="88"/>
      <c r="AD22" s="9">
        <v>3134.01</v>
      </c>
      <c r="AE22" s="86" t="s">
        <v>5818</v>
      </c>
      <c r="AF22" s="7">
        <v>150</v>
      </c>
      <c r="AG22" s="26" t="s">
        <v>5854</v>
      </c>
      <c r="AH22" s="87"/>
      <c r="AI22" s="26"/>
      <c r="AJ22" s="7">
        <v>1099.01</v>
      </c>
      <c r="AK22" s="26" t="s">
        <v>5950</v>
      </c>
      <c r="AL22" s="15">
        <v>2250.0100000000002</v>
      </c>
      <c r="AM22" s="15" t="s">
        <v>6010</v>
      </c>
      <c r="AN22" s="9"/>
      <c r="AO22" s="26"/>
      <c r="AP22" s="120"/>
      <c r="AQ22" s="120"/>
      <c r="AR22" s="7">
        <v>10034</v>
      </c>
      <c r="AS22" s="26" t="s">
        <v>6148</v>
      </c>
      <c r="AT22" s="7">
        <v>2420</v>
      </c>
      <c r="AU22" s="26" t="s">
        <v>6195</v>
      </c>
      <c r="AV22" s="7"/>
      <c r="AW22" s="26"/>
      <c r="AX22" s="7">
        <v>388.5</v>
      </c>
      <c r="AY22" s="26" t="s">
        <v>6335</v>
      </c>
      <c r="AZ22" s="9">
        <v>2488.66</v>
      </c>
      <c r="BA22" s="15" t="s">
        <v>6327</v>
      </c>
      <c r="BB22" s="9"/>
      <c r="BC22" s="26"/>
      <c r="BD22" s="9"/>
      <c r="BE22" s="26"/>
      <c r="BF22" s="9"/>
      <c r="BG22" s="26"/>
      <c r="BH22" s="7">
        <v>1169</v>
      </c>
      <c r="BI22" s="26" t="s">
        <v>6494</v>
      </c>
      <c r="BJ22" s="11"/>
      <c r="BK22" s="13"/>
      <c r="BL22" s="7"/>
      <c r="BM22" s="26"/>
      <c r="BN22" s="96"/>
      <c r="BO22" s="26"/>
      <c r="BP22" s="7"/>
      <c r="BQ22" s="26"/>
      <c r="BR22" s="7"/>
      <c r="BS22" s="26"/>
      <c r="BT22" s="7"/>
      <c r="BU22" s="26"/>
      <c r="BV22" s="7"/>
      <c r="BW22" s="26"/>
      <c r="BX22" s="7"/>
      <c r="BY22" s="26"/>
      <c r="BZ22" s="7"/>
      <c r="CA22" s="26"/>
      <c r="CB22" s="7"/>
      <c r="CC22" s="26"/>
      <c r="CD22" s="7"/>
      <c r="CE22" s="26"/>
      <c r="CF22" s="7"/>
      <c r="CG22" s="26"/>
      <c r="CH22" s="7"/>
      <c r="CI22" s="26"/>
      <c r="CJ22" s="7"/>
      <c r="CK22" s="26"/>
      <c r="CL22" s="7"/>
      <c r="CM22" s="26"/>
      <c r="CN22" s="7"/>
    </row>
    <row r="23" spans="1:92" x14ac:dyDescent="0.25">
      <c r="A23" s="41"/>
      <c r="B23" s="7"/>
      <c r="C23" s="26"/>
      <c r="D23" s="7">
        <v>2065</v>
      </c>
      <c r="E23" s="26" t="s">
        <v>5245</v>
      </c>
      <c r="F23" s="9">
        <v>1188.8399999999999</v>
      </c>
      <c r="G23" s="26" t="s">
        <v>5317</v>
      </c>
      <c r="H23" s="9">
        <v>3250.02</v>
      </c>
      <c r="I23" s="15" t="s">
        <v>5366</v>
      </c>
      <c r="J23" s="9">
        <v>1534.47</v>
      </c>
      <c r="K23" s="15" t="s">
        <v>5435</v>
      </c>
      <c r="L23" s="9"/>
      <c r="M23" s="15"/>
      <c r="N23" s="9"/>
      <c r="O23" s="15"/>
      <c r="P23" s="9">
        <v>1169</v>
      </c>
      <c r="Q23" s="15" t="s">
        <v>5524</v>
      </c>
      <c r="R23" s="9">
        <v>1216.4100000000001</v>
      </c>
      <c r="S23" s="15" t="s">
        <v>5585</v>
      </c>
      <c r="T23" s="9">
        <v>594.41999999999996</v>
      </c>
      <c r="U23" s="15" t="s">
        <v>5625</v>
      </c>
      <c r="V23" s="9"/>
      <c r="W23" s="15"/>
      <c r="X23" s="9">
        <v>1785.22</v>
      </c>
      <c r="Y23" s="15" t="s">
        <v>5712</v>
      </c>
      <c r="Z23" s="112">
        <v>3319.99</v>
      </c>
      <c r="AA23" s="15" t="s">
        <v>5746</v>
      </c>
      <c r="AB23" s="87"/>
      <c r="AC23" s="88"/>
      <c r="AD23" s="72">
        <v>40999.910000000003</v>
      </c>
      <c r="AE23" s="26" t="s">
        <v>5820</v>
      </c>
      <c r="AF23" s="9">
        <v>2165.4899999999998</v>
      </c>
      <c r="AG23" s="15" t="s">
        <v>5855</v>
      </c>
      <c r="AH23" s="87"/>
      <c r="AI23" s="26"/>
      <c r="AJ23" s="7">
        <v>1169</v>
      </c>
      <c r="AK23" s="26" t="s">
        <v>5952</v>
      </c>
      <c r="AL23" s="7"/>
      <c r="AM23" s="26"/>
      <c r="AN23" s="9"/>
      <c r="AO23" s="26"/>
      <c r="AP23" s="120"/>
      <c r="AQ23" s="120"/>
      <c r="AR23" s="7">
        <v>16.010000000000002</v>
      </c>
      <c r="AS23" s="26" t="s">
        <v>6152</v>
      </c>
      <c r="AT23" s="9">
        <v>4465</v>
      </c>
      <c r="AU23" s="15" t="s">
        <v>6196</v>
      </c>
      <c r="AV23" s="9"/>
      <c r="AW23" s="15"/>
      <c r="AX23" s="7">
        <v>80000</v>
      </c>
      <c r="AY23" s="26" t="s">
        <v>6338</v>
      </c>
      <c r="AZ23" s="9">
        <v>1847.08</v>
      </c>
      <c r="BA23" s="15" t="s">
        <v>6329</v>
      </c>
      <c r="BB23" s="9"/>
      <c r="BC23" s="26"/>
      <c r="BD23" s="9"/>
      <c r="BE23" s="26"/>
      <c r="BF23" s="9"/>
      <c r="BG23" s="26"/>
      <c r="BH23" s="7">
        <v>3320</v>
      </c>
      <c r="BI23" s="26" t="s">
        <v>6498</v>
      </c>
      <c r="BJ23" s="7"/>
      <c r="BK23" s="26"/>
      <c r="BL23" s="7"/>
      <c r="BM23" s="26"/>
      <c r="BN23" s="96"/>
      <c r="BO23" s="26"/>
      <c r="BP23" s="7"/>
      <c r="BQ23" s="26"/>
      <c r="BR23" s="7"/>
      <c r="BS23" s="26"/>
      <c r="BT23" s="7"/>
      <c r="BU23" s="26"/>
      <c r="BV23" s="7"/>
      <c r="BW23" s="26"/>
      <c r="BX23" s="7"/>
      <c r="BY23" s="26"/>
      <c r="BZ23" s="7"/>
      <c r="CA23" s="26"/>
      <c r="CB23" s="7"/>
      <c r="CC23" s="26"/>
      <c r="CD23" s="7"/>
      <c r="CE23" s="26"/>
      <c r="CF23" s="7"/>
      <c r="CG23" s="26"/>
      <c r="CH23" s="7"/>
      <c r="CI23" s="26"/>
      <c r="CJ23" s="7"/>
      <c r="CK23" s="26"/>
      <c r="CL23" s="7"/>
      <c r="CM23" s="26"/>
      <c r="CN23" s="7"/>
    </row>
    <row r="24" spans="1:92" x14ac:dyDescent="0.25">
      <c r="A24" s="41"/>
      <c r="B24" s="7"/>
      <c r="C24" s="26"/>
      <c r="D24" s="7">
        <v>374.42</v>
      </c>
      <c r="E24" s="26" t="s">
        <v>5248</v>
      </c>
      <c r="F24" s="9">
        <v>191.49</v>
      </c>
      <c r="G24" s="26" t="s">
        <v>5318</v>
      </c>
      <c r="H24" s="9">
        <v>1099</v>
      </c>
      <c r="I24" s="9" t="s">
        <v>5368</v>
      </c>
      <c r="J24" s="9">
        <v>24000</v>
      </c>
      <c r="K24" s="15" t="s">
        <v>5380</v>
      </c>
      <c r="L24" s="9"/>
      <c r="M24" s="15"/>
      <c r="N24" s="9"/>
      <c r="O24" s="15"/>
      <c r="P24" s="9">
        <v>3250</v>
      </c>
      <c r="Q24" s="15" t="s">
        <v>5525</v>
      </c>
      <c r="R24" s="9">
        <v>2064.9899999999998</v>
      </c>
      <c r="S24" s="15" t="s">
        <v>5567</v>
      </c>
      <c r="T24" s="9">
        <v>5200</v>
      </c>
      <c r="U24" s="15" t="s">
        <v>5630</v>
      </c>
      <c r="V24" s="9"/>
      <c r="W24" s="15"/>
      <c r="X24" s="9">
        <v>1099.01</v>
      </c>
      <c r="Y24" s="15" t="s">
        <v>5696</v>
      </c>
      <c r="Z24" s="112">
        <v>4967.7700000000004</v>
      </c>
      <c r="AA24" s="15" t="s">
        <v>5747</v>
      </c>
      <c r="AB24" s="72"/>
      <c r="AC24" s="86"/>
      <c r="AD24" s="9">
        <v>1970</v>
      </c>
      <c r="AE24" s="15" t="s">
        <v>5823</v>
      </c>
      <c r="AF24" s="7">
        <v>2040</v>
      </c>
      <c r="AG24" s="26" t="s">
        <v>5859</v>
      </c>
      <c r="AH24" s="87"/>
      <c r="AI24" s="26"/>
      <c r="AJ24" s="7">
        <v>1168.99</v>
      </c>
      <c r="AK24" s="26" t="s">
        <v>5956</v>
      </c>
      <c r="AL24" s="7">
        <v>116.46</v>
      </c>
      <c r="AM24" s="26" t="s">
        <v>6057</v>
      </c>
      <c r="AN24" s="9"/>
      <c r="AO24" s="26"/>
      <c r="AP24" s="7"/>
      <c r="AQ24" s="26"/>
      <c r="AR24" s="7">
        <v>628.51</v>
      </c>
      <c r="AS24" s="26" t="s">
        <v>6155</v>
      </c>
      <c r="AT24" s="9">
        <v>2040</v>
      </c>
      <c r="AU24" s="15" t="s">
        <v>6201</v>
      </c>
      <c r="AV24" s="9"/>
      <c r="AW24" s="15"/>
      <c r="AX24" s="7">
        <v>864.52</v>
      </c>
      <c r="AY24" s="26" t="s">
        <v>6339</v>
      </c>
      <c r="AZ24" s="9">
        <v>165.86</v>
      </c>
      <c r="BA24" s="15" t="s">
        <v>6330</v>
      </c>
      <c r="BB24" s="9"/>
      <c r="BC24" s="15"/>
      <c r="BD24" s="9"/>
      <c r="BE24" s="26"/>
      <c r="BF24" s="9"/>
      <c r="BG24" s="26"/>
      <c r="BH24" s="7">
        <v>336.17</v>
      </c>
      <c r="BI24" s="26" t="s">
        <v>6506</v>
      </c>
      <c r="BJ24" s="7"/>
      <c r="BK24" s="26"/>
      <c r="BL24" s="7"/>
      <c r="BM24" s="26"/>
      <c r="BN24" s="96"/>
      <c r="BO24" s="26"/>
      <c r="BP24" s="7"/>
      <c r="BQ24" s="26"/>
      <c r="BR24" s="7"/>
      <c r="BS24" s="26"/>
      <c r="BT24" s="7"/>
      <c r="BU24" s="26"/>
      <c r="BV24" s="7"/>
      <c r="BW24" s="26"/>
      <c r="BX24" s="7"/>
      <c r="BY24" s="26"/>
      <c r="BZ24" s="7"/>
      <c r="CA24" s="26"/>
      <c r="CB24" s="7"/>
      <c r="CC24" s="26"/>
      <c r="CD24" s="7"/>
      <c r="CE24" s="26"/>
      <c r="CF24" s="7"/>
      <c r="CG24" s="26"/>
      <c r="CH24" s="7"/>
      <c r="CI24" s="26"/>
      <c r="CJ24" s="7"/>
      <c r="CK24" s="26"/>
      <c r="CL24" s="7"/>
      <c r="CM24" s="26"/>
      <c r="CN24" s="7"/>
    </row>
    <row r="25" spans="1:92" x14ac:dyDescent="0.25">
      <c r="A25" s="41"/>
      <c r="B25" s="72"/>
      <c r="C25" s="24"/>
      <c r="D25" s="7">
        <v>556.29</v>
      </c>
      <c r="E25" s="26" t="s">
        <v>5249</v>
      </c>
      <c r="F25" s="9">
        <v>594.41999999999996</v>
      </c>
      <c r="G25" s="26" t="s">
        <v>5321</v>
      </c>
      <c r="H25" s="9">
        <v>1519.02</v>
      </c>
      <c r="I25" s="15" t="s">
        <v>5369</v>
      </c>
      <c r="J25" s="9"/>
      <c r="K25" s="15"/>
      <c r="L25" s="9"/>
      <c r="M25" s="15"/>
      <c r="N25" s="9"/>
      <c r="O25" s="15"/>
      <c r="P25" s="9">
        <v>577.01</v>
      </c>
      <c r="Q25" s="15" t="s">
        <v>5526</v>
      </c>
      <c r="R25" s="9"/>
      <c r="S25" s="15"/>
      <c r="T25" s="9">
        <v>2550</v>
      </c>
      <c r="U25" s="15" t="s">
        <v>5632</v>
      </c>
      <c r="V25" s="9"/>
      <c r="W25" s="15"/>
      <c r="X25" s="9"/>
      <c r="Y25" s="15"/>
      <c r="Z25" s="112">
        <v>1169</v>
      </c>
      <c r="AA25" s="15" t="s">
        <v>5748</v>
      </c>
      <c r="AB25" s="87"/>
      <c r="AC25" s="88"/>
      <c r="AD25" s="9">
        <v>1169</v>
      </c>
      <c r="AE25" s="26" t="s">
        <v>5824</v>
      </c>
      <c r="AF25" s="7">
        <v>70</v>
      </c>
      <c r="AG25" s="26" t="s">
        <v>5861</v>
      </c>
      <c r="AH25" s="87"/>
      <c r="AI25" s="26"/>
      <c r="AJ25" s="7">
        <v>2040</v>
      </c>
      <c r="AK25" s="26" t="s">
        <v>5962</v>
      </c>
      <c r="AL25" s="7">
        <v>3832.51</v>
      </c>
      <c r="AM25" s="26" t="s">
        <v>6058</v>
      </c>
      <c r="AN25" s="9"/>
      <c r="AO25" s="15"/>
      <c r="AP25" s="7"/>
      <c r="AQ25" s="26"/>
      <c r="AR25" s="7"/>
      <c r="AS25" s="26"/>
      <c r="AT25" s="9">
        <v>1169</v>
      </c>
      <c r="AU25" s="15" t="s">
        <v>6202</v>
      </c>
      <c r="AV25" s="9"/>
      <c r="AW25" s="15"/>
      <c r="AX25" s="7">
        <v>3320</v>
      </c>
      <c r="AY25" s="26" t="s">
        <v>6342</v>
      </c>
      <c r="AZ25" s="9"/>
      <c r="BA25" s="15"/>
      <c r="BB25" s="9"/>
      <c r="BC25" s="15"/>
      <c r="BD25" s="9"/>
      <c r="BE25" s="26"/>
      <c r="BF25" s="72"/>
      <c r="BG25" s="24"/>
      <c r="BH25" s="7">
        <v>570.08000000000004</v>
      </c>
      <c r="BI25" s="26" t="s">
        <v>6507</v>
      </c>
      <c r="BJ25" s="7"/>
      <c r="BK25" s="26"/>
      <c r="BL25" s="7"/>
      <c r="BM25" s="26"/>
      <c r="BN25" s="96"/>
      <c r="BO25" s="26"/>
      <c r="BP25" s="7"/>
      <c r="BQ25" s="26"/>
      <c r="BR25" s="7"/>
      <c r="BS25" s="26"/>
      <c r="BT25" s="7"/>
      <c r="BU25" s="26"/>
      <c r="BV25" s="7"/>
      <c r="BW25" s="26"/>
      <c r="BX25" s="7"/>
      <c r="BY25" s="26"/>
      <c r="BZ25" s="7"/>
      <c r="CA25" s="26"/>
      <c r="CB25" s="7"/>
      <c r="CC25" s="26"/>
      <c r="CD25" s="7"/>
      <c r="CE25" s="26"/>
      <c r="CF25" s="7"/>
      <c r="CG25" s="26"/>
      <c r="CH25" s="7"/>
      <c r="CI25" s="26"/>
      <c r="CJ25" s="7"/>
      <c r="CK25" s="26"/>
      <c r="CL25" s="7"/>
      <c r="CM25" s="26"/>
      <c r="CN25" s="7"/>
    </row>
    <row r="26" spans="1:92" x14ac:dyDescent="0.25">
      <c r="A26" s="41"/>
      <c r="B26" s="7"/>
      <c r="C26" s="26"/>
      <c r="D26" s="7"/>
      <c r="E26" s="26"/>
      <c r="F26" s="9"/>
      <c r="G26" s="26"/>
      <c r="H26" s="9">
        <v>594.41999999999996</v>
      </c>
      <c r="I26" s="15" t="s">
        <v>5375</v>
      </c>
      <c r="J26" s="9"/>
      <c r="K26" s="15"/>
      <c r="L26" s="9"/>
      <c r="M26" s="15"/>
      <c r="N26" s="9"/>
      <c r="O26" s="15"/>
      <c r="P26" s="7">
        <v>165.86</v>
      </c>
      <c r="Q26" s="26" t="s">
        <v>5527</v>
      </c>
      <c r="R26" s="7"/>
      <c r="S26" s="26"/>
      <c r="T26" s="72"/>
      <c r="U26" s="24"/>
      <c r="V26" s="9"/>
      <c r="W26" s="15"/>
      <c r="X26" s="9"/>
      <c r="Y26" s="15"/>
      <c r="Z26" s="112">
        <v>1099</v>
      </c>
      <c r="AA26" s="15" t="s">
        <v>5752</v>
      </c>
      <c r="AB26" s="149"/>
      <c r="AC26" s="86"/>
      <c r="AD26" s="87">
        <v>82.93</v>
      </c>
      <c r="AE26" s="26" t="s">
        <v>5827</v>
      </c>
      <c r="AF26" s="7">
        <v>2065</v>
      </c>
      <c r="AG26" s="26" t="s">
        <v>5862</v>
      </c>
      <c r="AH26" s="87"/>
      <c r="AI26" s="26"/>
      <c r="AJ26" s="7">
        <v>2384.0100000000002</v>
      </c>
      <c r="AK26" s="26" t="s">
        <v>5963</v>
      </c>
      <c r="AL26" s="7">
        <v>3250</v>
      </c>
      <c r="AM26" s="26" t="s">
        <v>6059</v>
      </c>
      <c r="AN26" s="9"/>
      <c r="AO26" s="15"/>
      <c r="AP26" s="7"/>
      <c r="AQ26" s="26"/>
      <c r="AR26" s="7"/>
      <c r="AS26" s="26"/>
      <c r="AT26" s="7">
        <v>2834.98</v>
      </c>
      <c r="AU26" s="26" t="s">
        <v>6204</v>
      </c>
      <c r="AV26" s="7"/>
      <c r="AW26" s="26"/>
      <c r="AX26" s="7">
        <v>363.79</v>
      </c>
      <c r="AY26" s="26" t="s">
        <v>6345</v>
      </c>
      <c r="AZ26" s="9"/>
      <c r="BA26" s="15"/>
      <c r="BB26" s="9"/>
      <c r="BC26" s="15"/>
      <c r="BD26" s="72"/>
      <c r="BE26" s="24"/>
      <c r="BF26" s="9"/>
      <c r="BG26" s="26"/>
      <c r="BH26" s="7"/>
      <c r="BI26" s="26"/>
      <c r="BJ26" s="7"/>
      <c r="BK26" s="26"/>
      <c r="BL26" s="7"/>
      <c r="BM26" s="26"/>
      <c r="BN26" s="96"/>
      <c r="BO26" s="26"/>
      <c r="BP26" s="7"/>
      <c r="BQ26" s="26"/>
      <c r="BR26" s="7"/>
      <c r="BS26" s="26"/>
      <c r="BT26" s="7"/>
      <c r="BU26" s="26"/>
      <c r="BV26" s="7"/>
      <c r="BW26" s="26"/>
      <c r="BX26" s="7"/>
      <c r="BY26" s="26"/>
      <c r="BZ26" s="7"/>
      <c r="CA26" s="26"/>
      <c r="CB26" s="7"/>
      <c r="CC26" s="26"/>
      <c r="CD26" s="7"/>
      <c r="CE26" s="26"/>
      <c r="CF26" s="7"/>
      <c r="CG26" s="26"/>
      <c r="CH26" s="7"/>
      <c r="CI26" s="26"/>
      <c r="CJ26" s="7"/>
      <c r="CK26" s="26"/>
      <c r="CL26" s="7"/>
      <c r="CM26" s="26"/>
      <c r="CN26" s="7"/>
    </row>
    <row r="27" spans="1:92" x14ac:dyDescent="0.25">
      <c r="A27" s="41"/>
      <c r="B27" s="7"/>
      <c r="C27" s="26"/>
      <c r="D27" s="7"/>
      <c r="E27" s="15"/>
      <c r="F27" s="7"/>
      <c r="G27" s="26"/>
      <c r="H27" s="9">
        <v>254.92</v>
      </c>
      <c r="I27" s="15" t="s">
        <v>5378</v>
      </c>
      <c r="J27" s="9"/>
      <c r="K27" s="9"/>
      <c r="L27" s="7"/>
      <c r="M27" s="26"/>
      <c r="N27" s="7"/>
      <c r="O27" s="26"/>
      <c r="P27" s="7"/>
      <c r="Q27" s="26"/>
      <c r="R27" s="7"/>
      <c r="S27" s="26"/>
      <c r="T27" s="9"/>
      <c r="U27" s="26"/>
      <c r="V27" s="7"/>
      <c r="W27" s="26"/>
      <c r="X27" s="9"/>
      <c r="Y27" s="26"/>
      <c r="Z27" s="112">
        <v>3319.99</v>
      </c>
      <c r="AA27" s="26" t="s">
        <v>5754</v>
      </c>
      <c r="AB27" s="87"/>
      <c r="AC27" s="88"/>
      <c r="AD27" s="87">
        <v>45.43</v>
      </c>
      <c r="AE27" s="26" t="s">
        <v>5828</v>
      </c>
      <c r="AF27" s="7">
        <v>2033</v>
      </c>
      <c r="AG27" s="26" t="s">
        <v>5866</v>
      </c>
      <c r="AH27" s="87"/>
      <c r="AI27" s="26"/>
      <c r="AJ27" s="7">
        <v>2040</v>
      </c>
      <c r="AK27" s="26" t="s">
        <v>5964</v>
      </c>
      <c r="AL27" s="7">
        <v>1000</v>
      </c>
      <c r="AM27" s="26" t="s">
        <v>6060</v>
      </c>
      <c r="AN27" s="9"/>
      <c r="AO27" s="26"/>
      <c r="AP27" s="7"/>
      <c r="AQ27" s="26"/>
      <c r="AR27" s="7"/>
      <c r="AS27" s="26"/>
      <c r="AT27" s="7">
        <v>696</v>
      </c>
      <c r="AU27" s="26" t="s">
        <v>6206</v>
      </c>
      <c r="AV27" s="7"/>
      <c r="AW27" s="26"/>
      <c r="AX27" s="7"/>
      <c r="AY27" s="26"/>
      <c r="AZ27" s="9"/>
      <c r="BA27" s="15"/>
      <c r="BB27" s="7"/>
      <c r="BC27" s="26"/>
      <c r="BD27" s="9"/>
      <c r="BE27" s="15"/>
      <c r="BF27" s="9"/>
      <c r="BG27" s="26"/>
      <c r="BH27" s="7"/>
      <c r="BI27" s="26"/>
      <c r="BJ27" s="7"/>
      <c r="BK27" s="26"/>
      <c r="BL27" s="7"/>
      <c r="BM27" s="26"/>
      <c r="BN27" s="96"/>
      <c r="BO27" s="26"/>
      <c r="BP27" s="7"/>
      <c r="BQ27" s="26"/>
      <c r="BR27" s="7"/>
      <c r="BS27" s="26"/>
      <c r="BT27" s="7"/>
      <c r="BU27" s="26"/>
      <c r="BV27" s="7"/>
      <c r="BW27" s="26"/>
      <c r="BX27" s="7"/>
      <c r="BY27" s="26"/>
      <c r="BZ27" s="7"/>
      <c r="CA27" s="26"/>
      <c r="CB27" s="7"/>
      <c r="CC27" s="26"/>
      <c r="CD27" s="7"/>
      <c r="CE27" s="26"/>
      <c r="CF27" s="7"/>
      <c r="CG27" s="26"/>
      <c r="CH27" s="7"/>
      <c r="CI27" s="26"/>
      <c r="CJ27" s="7"/>
      <c r="CK27" s="26"/>
      <c r="CL27" s="7"/>
      <c r="CM27" s="26"/>
      <c r="CN27" s="7"/>
    </row>
    <row r="28" spans="1:92" x14ac:dyDescent="0.25">
      <c r="A28" s="41"/>
      <c r="B28" s="7"/>
      <c r="C28" s="26"/>
      <c r="D28" s="7"/>
      <c r="E28" s="26"/>
      <c r="F28" s="7"/>
      <c r="G28" s="26"/>
      <c r="H28" s="9">
        <v>1392</v>
      </c>
      <c r="I28" s="15" t="s">
        <v>5364</v>
      </c>
      <c r="J28" s="9"/>
      <c r="K28" s="9"/>
      <c r="L28" s="7"/>
      <c r="M28" s="26"/>
      <c r="N28" s="7"/>
      <c r="O28" s="26"/>
      <c r="P28" s="7"/>
      <c r="Q28" s="26"/>
      <c r="R28" s="7"/>
      <c r="S28" s="26"/>
      <c r="T28" s="9"/>
      <c r="U28" s="26"/>
      <c r="V28" s="7"/>
      <c r="W28" s="26"/>
      <c r="X28" s="9"/>
      <c r="Y28" s="26"/>
      <c r="Z28" s="112">
        <v>60</v>
      </c>
      <c r="AA28" s="26" t="s">
        <v>5759</v>
      </c>
      <c r="AB28" s="7"/>
      <c r="AC28" s="26"/>
      <c r="AD28" s="87"/>
      <c r="AE28" s="26"/>
      <c r="AF28" s="7">
        <v>1970</v>
      </c>
      <c r="AG28" s="26" t="s">
        <v>5870</v>
      </c>
      <c r="AH28" s="87"/>
      <c r="AI28" s="15"/>
      <c r="AJ28" s="7">
        <v>1658.57</v>
      </c>
      <c r="AK28" s="26" t="s">
        <v>5971</v>
      </c>
      <c r="AL28" s="7">
        <v>357.18</v>
      </c>
      <c r="AM28" s="26" t="s">
        <v>6061</v>
      </c>
      <c r="AN28" s="7"/>
      <c r="AO28" s="26"/>
      <c r="AP28" s="7"/>
      <c r="AQ28" s="26"/>
      <c r="AR28" s="7"/>
      <c r="AS28" s="26"/>
      <c r="AT28" s="9">
        <v>1970</v>
      </c>
      <c r="AU28" s="15" t="s">
        <v>6207</v>
      </c>
      <c r="AV28" s="9"/>
      <c r="AW28" s="15"/>
      <c r="AX28" s="7"/>
      <c r="AY28" s="26"/>
      <c r="AZ28" s="9"/>
      <c r="BA28" s="15"/>
      <c r="BB28" s="7"/>
      <c r="BC28" s="26"/>
      <c r="BD28" s="9"/>
      <c r="BE28" s="15"/>
      <c r="BF28" s="7"/>
      <c r="BG28" s="26"/>
      <c r="BH28" s="7"/>
      <c r="BI28" s="26"/>
      <c r="BJ28" s="7"/>
      <c r="BK28" s="26"/>
      <c r="BL28" s="7"/>
      <c r="BM28" s="26"/>
      <c r="BN28" s="96"/>
      <c r="BO28" s="26"/>
      <c r="BP28" s="7"/>
      <c r="BQ28" s="26"/>
      <c r="BR28" s="7"/>
      <c r="BS28" s="26"/>
      <c r="BT28" s="7"/>
      <c r="BU28" s="26"/>
      <c r="BV28" s="7"/>
      <c r="BW28" s="26"/>
      <c r="BX28" s="7"/>
      <c r="BY28" s="26"/>
      <c r="BZ28" s="7"/>
      <c r="CA28" s="26"/>
      <c r="CB28" s="7"/>
      <c r="CC28" s="26"/>
      <c r="CD28" s="7"/>
      <c r="CE28" s="26"/>
      <c r="CF28" s="7"/>
      <c r="CG28" s="26"/>
      <c r="CH28" s="7"/>
      <c r="CI28" s="26"/>
      <c r="CJ28" s="7"/>
      <c r="CK28" s="26"/>
      <c r="CL28" s="7"/>
      <c r="CM28" s="26"/>
      <c r="CN28" s="7"/>
    </row>
    <row r="29" spans="1:92" x14ac:dyDescent="0.25">
      <c r="A29" s="41"/>
      <c r="B29" s="7"/>
      <c r="C29" s="26"/>
      <c r="D29" s="7"/>
      <c r="E29" s="26"/>
      <c r="F29" s="7"/>
      <c r="G29" s="26"/>
      <c r="H29" s="9">
        <v>505.01</v>
      </c>
      <c r="I29" s="15" t="s">
        <v>5371</v>
      </c>
      <c r="J29" s="9"/>
      <c r="K29" s="26"/>
      <c r="L29" s="7"/>
      <c r="M29" s="26"/>
      <c r="N29" s="7"/>
      <c r="O29" s="26"/>
      <c r="P29" s="7"/>
      <c r="Q29" s="26"/>
      <c r="R29" s="9"/>
      <c r="S29" s="15"/>
      <c r="T29" s="9"/>
      <c r="U29" s="26"/>
      <c r="V29" s="7"/>
      <c r="W29" s="26"/>
      <c r="X29" s="9"/>
      <c r="Y29" s="26"/>
      <c r="Z29" s="112">
        <v>127.46</v>
      </c>
      <c r="AA29" s="26" t="s">
        <v>5762</v>
      </c>
      <c r="AB29" s="7"/>
      <c r="AC29" s="26"/>
      <c r="AD29" s="7"/>
      <c r="AE29" s="26"/>
      <c r="AF29" s="7">
        <v>1970</v>
      </c>
      <c r="AG29" s="26" t="s">
        <v>5872</v>
      </c>
      <c r="AH29" s="87"/>
      <c r="AI29" s="26"/>
      <c r="AJ29" s="7">
        <v>1061.9100000000001</v>
      </c>
      <c r="AK29" s="26" t="s">
        <v>5972</v>
      </c>
      <c r="AL29" s="7">
        <f>4710.02-3000</f>
        <v>1710.0200000000004</v>
      </c>
      <c r="AM29" s="26" t="s">
        <v>6062</v>
      </c>
      <c r="AN29" s="7"/>
      <c r="AO29" s="26"/>
      <c r="AP29" s="7"/>
      <c r="AQ29" s="26"/>
      <c r="AR29" s="7"/>
      <c r="AS29" s="26"/>
      <c r="AT29" s="9">
        <v>3319.99</v>
      </c>
      <c r="AU29" s="15" t="s">
        <v>6208</v>
      </c>
      <c r="AV29" s="9"/>
      <c r="AW29" s="15"/>
      <c r="AX29" s="7"/>
      <c r="AY29" s="26"/>
      <c r="AZ29" s="9"/>
      <c r="BA29" s="15"/>
      <c r="BB29" s="7"/>
      <c r="BC29" s="26"/>
      <c r="BD29" s="7"/>
      <c r="BE29" s="26"/>
      <c r="BF29" s="7"/>
      <c r="BG29" s="26"/>
      <c r="BH29" s="7"/>
      <c r="BI29" s="26"/>
      <c r="BJ29" s="7"/>
      <c r="BK29" s="26"/>
      <c r="BL29" s="7"/>
      <c r="BM29" s="26"/>
      <c r="BN29" s="96"/>
      <c r="BO29" s="26"/>
      <c r="BP29" s="7"/>
      <c r="BQ29" s="26"/>
      <c r="BR29" s="7"/>
      <c r="BS29" s="26"/>
      <c r="BT29" s="7"/>
      <c r="BU29" s="26"/>
      <c r="BV29" s="7"/>
      <c r="BW29" s="26"/>
      <c r="BX29" s="7"/>
      <c r="BY29" s="26"/>
      <c r="BZ29" s="7"/>
      <c r="CA29" s="26"/>
      <c r="CB29" s="7"/>
      <c r="CC29" s="26"/>
      <c r="CD29" s="7"/>
      <c r="CE29" s="26"/>
      <c r="CF29" s="7"/>
      <c r="CG29" s="26"/>
      <c r="CH29" s="7"/>
      <c r="CI29" s="26"/>
      <c r="CJ29" s="7"/>
      <c r="CK29" s="26"/>
      <c r="CL29" s="7"/>
      <c r="CM29" s="26"/>
      <c r="CN29" s="7"/>
    </row>
    <row r="30" spans="1:92" x14ac:dyDescent="0.25">
      <c r="A30" s="41"/>
      <c r="B30" s="9"/>
      <c r="C30" s="15"/>
      <c r="D30" s="9"/>
      <c r="E30" s="15"/>
      <c r="F30" s="9"/>
      <c r="G30" s="15"/>
      <c r="H30" s="9">
        <v>85.04</v>
      </c>
      <c r="I30" s="15" t="s">
        <v>5081</v>
      </c>
      <c r="J30" s="9"/>
      <c r="K30" s="15"/>
      <c r="L30" s="9"/>
      <c r="M30" s="15"/>
      <c r="N30" s="9"/>
      <c r="O30" s="15"/>
      <c r="P30" s="7"/>
      <c r="Q30" s="26"/>
      <c r="R30" s="10"/>
      <c r="S30" s="12"/>
      <c r="T30" s="9"/>
      <c r="U30" s="15"/>
      <c r="V30" s="9"/>
      <c r="W30" s="15"/>
      <c r="X30" s="9"/>
      <c r="Y30" s="15"/>
      <c r="Z30" s="113">
        <v>2455</v>
      </c>
      <c r="AA30" s="13" t="s">
        <v>5757</v>
      </c>
      <c r="AB30" s="9"/>
      <c r="AC30" s="15"/>
      <c r="AD30" s="9"/>
      <c r="AE30" s="15"/>
      <c r="AF30" s="9">
        <v>374.42</v>
      </c>
      <c r="AG30" s="15" t="s">
        <v>5874</v>
      </c>
      <c r="AH30" s="72"/>
      <c r="AI30" s="15"/>
      <c r="AJ30" s="9">
        <v>494.08</v>
      </c>
      <c r="AK30" s="15" t="s">
        <v>5973</v>
      </c>
      <c r="AL30" s="9">
        <v>1169</v>
      </c>
      <c r="AM30" s="15" t="s">
        <v>6065</v>
      </c>
      <c r="AN30" s="9"/>
      <c r="AO30" s="15"/>
      <c r="AP30" s="9"/>
      <c r="AQ30" s="15"/>
      <c r="AR30" s="9"/>
      <c r="AS30" s="15"/>
      <c r="AT30" s="9">
        <v>2040</v>
      </c>
      <c r="AU30" s="15" t="s">
        <v>6210</v>
      </c>
      <c r="AV30" s="9"/>
      <c r="AW30" s="15"/>
      <c r="AX30" s="9"/>
      <c r="AY30" s="15"/>
      <c r="AZ30" s="11"/>
      <c r="BA30" s="13"/>
      <c r="BB30" s="9"/>
      <c r="BC30" s="15"/>
      <c r="BD30" s="9"/>
      <c r="BE30" s="15"/>
      <c r="BF30" s="9"/>
      <c r="BG30" s="15"/>
      <c r="BH30" s="9"/>
      <c r="BI30" s="15"/>
      <c r="BJ30" s="9"/>
      <c r="BK30" s="15"/>
      <c r="BL30" s="9"/>
      <c r="BM30" s="15"/>
      <c r="BN30" s="96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</row>
    <row r="31" spans="1:92" x14ac:dyDescent="0.25">
      <c r="A31" s="43"/>
      <c r="B31" s="10"/>
      <c r="C31" s="12"/>
      <c r="D31" s="10"/>
      <c r="E31" s="12"/>
      <c r="F31" s="10"/>
      <c r="G31" s="12"/>
      <c r="H31" s="9">
        <v>899.77</v>
      </c>
      <c r="I31" s="15" t="s">
        <v>5372</v>
      </c>
      <c r="J31" s="11"/>
      <c r="K31" s="12"/>
      <c r="L31" s="10"/>
      <c r="M31" s="12"/>
      <c r="N31" s="10"/>
      <c r="O31" s="12"/>
      <c r="P31" s="9"/>
      <c r="Q31" s="15"/>
      <c r="R31" s="7"/>
      <c r="S31" s="26"/>
      <c r="T31" s="11"/>
      <c r="U31" s="12"/>
      <c r="V31" s="10"/>
      <c r="W31" s="12"/>
      <c r="X31" s="11"/>
      <c r="Y31" s="12"/>
      <c r="Z31" s="10">
        <v>5000</v>
      </c>
      <c r="AA31" s="12" t="s">
        <v>5765</v>
      </c>
      <c r="AB31" s="10"/>
      <c r="AC31" s="12"/>
      <c r="AD31" s="10"/>
      <c r="AE31" s="12"/>
      <c r="AF31" s="10"/>
      <c r="AG31" s="12"/>
      <c r="AH31" s="87"/>
      <c r="AI31" s="12"/>
      <c r="AJ31" s="10">
        <v>1614.01</v>
      </c>
      <c r="AK31" s="12" t="s">
        <v>5975</v>
      </c>
      <c r="AL31" s="10">
        <v>1169</v>
      </c>
      <c r="AM31" s="12" t="s">
        <v>6066</v>
      </c>
      <c r="AN31" s="10"/>
      <c r="AO31" s="12"/>
      <c r="AP31" s="10"/>
      <c r="AQ31" s="12"/>
      <c r="AR31" s="10"/>
      <c r="AS31" s="12"/>
      <c r="AT31" s="10">
        <v>3319.99</v>
      </c>
      <c r="AU31" s="12" t="s">
        <v>6211</v>
      </c>
      <c r="AV31" s="10"/>
      <c r="AW31" s="12"/>
      <c r="AX31" s="10"/>
      <c r="AY31" s="12"/>
      <c r="AZ31" s="9"/>
      <c r="BA31" s="15"/>
      <c r="BB31" s="10"/>
      <c r="BC31" s="12"/>
      <c r="BD31" s="10"/>
      <c r="BE31" s="12"/>
      <c r="BF31" s="10"/>
      <c r="BG31" s="12"/>
      <c r="BH31" s="10"/>
      <c r="BI31" s="12"/>
      <c r="BJ31" s="10"/>
      <c r="BK31" s="12"/>
      <c r="BL31" s="10"/>
      <c r="BM31" s="12"/>
      <c r="BN31" s="114"/>
      <c r="BO31" s="12"/>
      <c r="BP31" s="10"/>
      <c r="BQ31" s="12"/>
      <c r="BR31" s="10"/>
      <c r="BS31" s="12"/>
      <c r="BT31" s="10"/>
      <c r="BU31" s="12"/>
      <c r="BV31" s="10"/>
      <c r="BW31" s="12"/>
      <c r="BX31" s="10"/>
      <c r="BY31" s="12"/>
      <c r="BZ31" s="10"/>
      <c r="CA31" s="12"/>
      <c r="CB31" s="10"/>
      <c r="CC31" s="12"/>
      <c r="CD31" s="10"/>
      <c r="CE31" s="12"/>
      <c r="CF31" s="10"/>
      <c r="CG31" s="12"/>
      <c r="CH31" s="10"/>
      <c r="CI31" s="12"/>
      <c r="CJ31" s="10"/>
      <c r="CK31" s="12"/>
      <c r="CL31" s="10"/>
      <c r="CM31" s="12"/>
      <c r="CN31" s="10"/>
    </row>
    <row r="32" spans="1:92" x14ac:dyDescent="0.25">
      <c r="A32" s="41"/>
      <c r="B32" s="7"/>
      <c r="C32" s="26"/>
      <c r="D32" s="7"/>
      <c r="E32" s="26"/>
      <c r="F32" s="7"/>
      <c r="G32" s="26"/>
      <c r="H32" s="9">
        <v>248.79</v>
      </c>
      <c r="I32" s="15" t="s">
        <v>5373</v>
      </c>
      <c r="J32" s="9"/>
      <c r="K32" s="26"/>
      <c r="L32" s="7"/>
      <c r="M32" s="26"/>
      <c r="N32" s="7"/>
      <c r="O32" s="26"/>
      <c r="P32" s="7"/>
      <c r="Q32" s="26"/>
      <c r="R32" s="7"/>
      <c r="S32" s="26"/>
      <c r="T32" s="9"/>
      <c r="U32" s="26"/>
      <c r="V32" s="7"/>
      <c r="W32" s="26"/>
      <c r="X32" s="9"/>
      <c r="Y32" s="26"/>
      <c r="Z32" s="7"/>
      <c r="AA32" s="26"/>
      <c r="AB32" s="7"/>
      <c r="AC32" s="26"/>
      <c r="AD32" s="7"/>
      <c r="AE32" s="26"/>
      <c r="AF32" s="7"/>
      <c r="AG32" s="26"/>
      <c r="AH32" s="7"/>
      <c r="AI32" s="26"/>
      <c r="AJ32" s="9">
        <v>1099.02</v>
      </c>
      <c r="AK32" s="15" t="s">
        <v>5968</v>
      </c>
      <c r="AL32" s="7"/>
      <c r="AM32" s="26"/>
      <c r="AN32" s="7"/>
      <c r="AO32" s="26"/>
      <c r="AP32" s="7"/>
      <c r="AQ32" s="26"/>
      <c r="AR32" s="7"/>
      <c r="AS32" s="26"/>
      <c r="AT32" s="7">
        <v>1099.01</v>
      </c>
      <c r="AU32" s="26" t="s">
        <v>6212</v>
      </c>
      <c r="AV32" s="7"/>
      <c r="AW32" s="26"/>
      <c r="AX32" s="7"/>
      <c r="AY32" s="26"/>
      <c r="AZ32" s="9"/>
      <c r="BA32" s="15"/>
      <c r="BB32" s="7"/>
      <c r="BC32" s="26"/>
      <c r="BD32" s="7"/>
      <c r="BE32" s="26"/>
      <c r="BF32" s="7"/>
      <c r="BG32" s="26"/>
      <c r="BH32" s="7"/>
      <c r="BI32" s="26"/>
      <c r="BJ32" s="7"/>
      <c r="BK32" s="26"/>
      <c r="BL32" s="7"/>
      <c r="BM32" s="26"/>
      <c r="BN32" s="96"/>
      <c r="BO32" s="26"/>
      <c r="BP32" s="7"/>
      <c r="BQ32" s="26"/>
      <c r="BR32" s="7"/>
      <c r="BS32" s="26"/>
      <c r="BT32" s="7"/>
      <c r="BU32" s="26"/>
      <c r="BV32" s="7"/>
      <c r="BW32" s="26"/>
      <c r="BX32" s="7"/>
      <c r="BY32" s="26"/>
      <c r="BZ32" s="7"/>
      <c r="CA32" s="26"/>
      <c r="CB32" s="7"/>
      <c r="CC32" s="26"/>
      <c r="CD32" s="7"/>
      <c r="CE32" s="26"/>
      <c r="CF32" s="7"/>
      <c r="CG32" s="26"/>
      <c r="CH32" s="7"/>
      <c r="CI32" s="26"/>
      <c r="CJ32" s="7"/>
      <c r="CK32" s="26"/>
      <c r="CL32" s="7"/>
      <c r="CM32" s="26"/>
      <c r="CN32" s="7"/>
    </row>
    <row r="33" spans="1:92" x14ac:dyDescent="0.25">
      <c r="A33" s="41"/>
      <c r="B33" s="7"/>
      <c r="C33" s="26"/>
      <c r="D33" s="7"/>
      <c r="E33" s="26"/>
      <c r="F33" s="7"/>
      <c r="G33" s="26"/>
      <c r="H33" s="9">
        <v>79.989999999999995</v>
      </c>
      <c r="I33" s="15" t="s">
        <v>5374</v>
      </c>
      <c r="J33" s="9"/>
      <c r="K33" s="26"/>
      <c r="L33" s="7"/>
      <c r="M33" s="26"/>
      <c r="N33" s="7"/>
      <c r="O33" s="26"/>
      <c r="P33" s="7"/>
      <c r="Q33" s="26"/>
      <c r="R33" s="7"/>
      <c r="S33" s="26"/>
      <c r="T33" s="9"/>
      <c r="U33" s="26"/>
      <c r="V33" s="7"/>
      <c r="W33" s="26"/>
      <c r="X33" s="9"/>
      <c r="Y33" s="26"/>
      <c r="Z33" s="7"/>
      <c r="AA33" s="26"/>
      <c r="AB33" s="7"/>
      <c r="AC33" s="26"/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/>
      <c r="AQ33" s="26"/>
      <c r="AR33" s="7"/>
      <c r="AS33" s="26"/>
      <c r="AT33" s="7">
        <v>1099</v>
      </c>
      <c r="AU33" s="26" t="s">
        <v>6213</v>
      </c>
      <c r="AV33" s="7"/>
      <c r="AW33" s="26"/>
      <c r="AX33" s="7"/>
      <c r="AY33" s="26"/>
      <c r="AZ33" s="9"/>
      <c r="BA33" s="15"/>
      <c r="BB33" s="7"/>
      <c r="BC33" s="26"/>
      <c r="BD33" s="7"/>
      <c r="BE33" s="26"/>
      <c r="BF33" s="7"/>
      <c r="BG33" s="26"/>
      <c r="BH33" s="7"/>
      <c r="BI33" s="26"/>
      <c r="BJ33" s="7"/>
      <c r="BK33" s="26"/>
      <c r="BL33" s="7"/>
      <c r="BM33" s="26"/>
      <c r="BN33" s="96"/>
      <c r="BO33" s="26"/>
      <c r="BP33" s="7"/>
      <c r="BQ33" s="26"/>
      <c r="BR33" s="7"/>
      <c r="BS33" s="26"/>
      <c r="BT33" s="7"/>
      <c r="BU33" s="26"/>
      <c r="BV33" s="7"/>
      <c r="BW33" s="26"/>
      <c r="BX33" s="7"/>
      <c r="BY33" s="26"/>
      <c r="BZ33" s="7"/>
      <c r="CA33" s="26"/>
      <c r="CB33" s="7"/>
      <c r="CC33" s="26"/>
      <c r="CD33" s="7"/>
      <c r="CE33" s="26"/>
      <c r="CF33" s="7"/>
      <c r="CG33" s="26"/>
      <c r="CH33" s="7"/>
      <c r="CI33" s="26"/>
      <c r="CJ33" s="7"/>
      <c r="CK33" s="26"/>
      <c r="CL33" s="7"/>
      <c r="CM33" s="26"/>
      <c r="CN33" s="7"/>
    </row>
    <row r="34" spans="1:92" x14ac:dyDescent="0.25">
      <c r="A34" s="41"/>
      <c r="B34" s="7"/>
      <c r="C34" s="26"/>
      <c r="D34" s="7"/>
      <c r="E34" s="26"/>
      <c r="F34" s="7"/>
      <c r="G34" s="26"/>
      <c r="H34" s="9"/>
      <c r="I34" s="15"/>
      <c r="J34" s="9"/>
      <c r="K34" s="26"/>
      <c r="L34" s="7"/>
      <c r="M34" s="26"/>
      <c r="N34" s="7"/>
      <c r="O34" s="26"/>
      <c r="P34" s="7"/>
      <c r="Q34" s="26"/>
      <c r="R34" s="7"/>
      <c r="S34" s="26"/>
      <c r="T34" s="9"/>
      <c r="U34" s="26"/>
      <c r="V34" s="7"/>
      <c r="W34" s="26"/>
      <c r="X34" s="9"/>
      <c r="Y34" s="26"/>
      <c r="Z34" s="7"/>
      <c r="AA34" s="26"/>
      <c r="AB34" s="7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/>
      <c r="AQ34" s="26"/>
      <c r="AR34" s="7"/>
      <c r="AS34" s="26"/>
      <c r="AT34" s="7"/>
      <c r="AU34" s="26"/>
      <c r="AV34" s="7"/>
      <c r="AW34" s="26"/>
      <c r="AX34" s="7"/>
      <c r="AY34" s="26"/>
      <c r="AZ34" s="9"/>
      <c r="BA34" s="15"/>
      <c r="BB34" s="7"/>
      <c r="BC34" s="26"/>
      <c r="BD34" s="7"/>
      <c r="BE34" s="26"/>
      <c r="BF34" s="7"/>
      <c r="BG34" s="26"/>
      <c r="BH34" s="7"/>
      <c r="BI34" s="26"/>
      <c r="BJ34" s="7"/>
      <c r="BK34" s="26"/>
      <c r="BL34" s="7"/>
      <c r="BM34" s="26"/>
      <c r="BN34" s="96"/>
      <c r="BO34" s="26"/>
      <c r="BP34" s="7"/>
      <c r="BQ34" s="26"/>
      <c r="BR34" s="7"/>
      <c r="BS34" s="26"/>
      <c r="BT34" s="7"/>
      <c r="BU34" s="26"/>
      <c r="BV34" s="7"/>
      <c r="BW34" s="26"/>
      <c r="BX34" s="7"/>
      <c r="BY34" s="26"/>
      <c r="BZ34" s="7"/>
      <c r="CA34" s="26"/>
      <c r="CB34" s="7"/>
      <c r="CC34" s="26"/>
      <c r="CD34" s="7"/>
      <c r="CE34" s="26"/>
      <c r="CF34" s="7"/>
      <c r="CG34" s="26"/>
      <c r="CH34" s="7"/>
      <c r="CI34" s="26"/>
      <c r="CJ34" s="7"/>
      <c r="CK34" s="26"/>
      <c r="CL34" s="7"/>
      <c r="CM34" s="26"/>
      <c r="CN34" s="7"/>
    </row>
    <row r="35" spans="1:92" x14ac:dyDescent="0.25">
      <c r="A35" s="41"/>
      <c r="B35" s="7"/>
      <c r="C35" s="26"/>
      <c r="D35" s="7"/>
      <c r="E35" s="26"/>
      <c r="F35" s="7"/>
      <c r="G35" s="26"/>
      <c r="H35" s="9"/>
      <c r="I35" s="15"/>
      <c r="J35" s="9"/>
      <c r="K35" s="26"/>
      <c r="L35" s="7"/>
      <c r="M35" s="26"/>
      <c r="N35" s="7"/>
      <c r="O35" s="26"/>
      <c r="P35" s="7"/>
      <c r="Q35" s="26"/>
      <c r="R35" s="7"/>
      <c r="S35" s="26"/>
      <c r="T35" s="9"/>
      <c r="U35" s="26"/>
      <c r="V35" s="7"/>
      <c r="W35" s="26"/>
      <c r="X35" s="7"/>
      <c r="Y35" s="26"/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/>
      <c r="AQ35" s="26"/>
      <c r="AR35" s="7"/>
      <c r="AS35" s="26"/>
      <c r="AT35" s="7"/>
      <c r="AU35" s="26"/>
      <c r="AV35" s="7"/>
      <c r="AW35" s="26"/>
      <c r="AX35" s="7"/>
      <c r="AY35" s="26"/>
      <c r="AZ35" s="9"/>
      <c r="BA35" s="15"/>
      <c r="BB35" s="7"/>
      <c r="BC35" s="26"/>
      <c r="BD35" s="7"/>
      <c r="BE35" s="26"/>
      <c r="BF35" s="7"/>
      <c r="BG35" s="26"/>
      <c r="BH35" s="7"/>
      <c r="BI35" s="26"/>
      <c r="BJ35" s="7"/>
      <c r="BK35" s="26"/>
      <c r="BL35" s="7"/>
      <c r="BM35" s="26"/>
      <c r="BN35" s="7"/>
      <c r="BO35" s="26"/>
      <c r="BP35" s="7"/>
      <c r="BQ35" s="26"/>
      <c r="BR35" s="7"/>
      <c r="BS35" s="26"/>
      <c r="BT35" s="7"/>
      <c r="BU35" s="26"/>
      <c r="BV35" s="7"/>
      <c r="BW35" s="26"/>
      <c r="BX35" s="7"/>
      <c r="BY35" s="26"/>
      <c r="BZ35" s="7"/>
      <c r="CA35" s="26"/>
      <c r="CB35" s="7"/>
      <c r="CC35" s="26"/>
      <c r="CD35" s="7"/>
      <c r="CE35" s="26"/>
      <c r="CF35" s="7"/>
      <c r="CG35" s="26"/>
      <c r="CH35" s="7"/>
      <c r="CI35" s="26"/>
      <c r="CJ35" s="7"/>
      <c r="CK35" s="26"/>
      <c r="CL35" s="7"/>
      <c r="CM35" s="26"/>
      <c r="CN35" s="7"/>
    </row>
    <row r="36" spans="1:92" x14ac:dyDescent="0.25">
      <c r="A36" s="41"/>
      <c r="B36" s="7"/>
      <c r="C36" s="26"/>
      <c r="D36" s="7"/>
      <c r="E36" s="26"/>
      <c r="F36" s="7"/>
      <c r="G36" s="26"/>
      <c r="H36" s="9"/>
      <c r="I36" s="15"/>
      <c r="J36" s="9"/>
      <c r="K36" s="26"/>
      <c r="L36" s="7"/>
      <c r="M36" s="26"/>
      <c r="N36" s="7"/>
      <c r="O36" s="26"/>
      <c r="P36" s="7"/>
      <c r="Q36" s="26"/>
      <c r="R36" s="7"/>
      <c r="S36" s="26"/>
      <c r="T36" s="9"/>
      <c r="U36" s="26"/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/>
      <c r="AU36" s="26"/>
      <c r="AV36" s="7"/>
      <c r="AW36" s="26"/>
      <c r="AX36" s="7"/>
      <c r="AY36" s="26"/>
      <c r="AZ36" s="9"/>
      <c r="BA36" s="15"/>
      <c r="BB36" s="7"/>
      <c r="BC36" s="26"/>
      <c r="BD36" s="7"/>
      <c r="BE36" s="26"/>
      <c r="BF36" s="7"/>
      <c r="BG36" s="26"/>
      <c r="BH36" s="7"/>
      <c r="BI36" s="26"/>
      <c r="BJ36" s="7"/>
      <c r="BK36" s="26"/>
      <c r="BL36" s="7"/>
      <c r="BM36" s="26"/>
      <c r="BN36" s="7"/>
      <c r="BO36" s="26"/>
      <c r="BP36" s="7"/>
      <c r="BQ36" s="26"/>
      <c r="BR36" s="7"/>
      <c r="BS36" s="26"/>
      <c r="BT36" s="7"/>
      <c r="BU36" s="26"/>
      <c r="BV36" s="7"/>
      <c r="BW36" s="26"/>
      <c r="BX36" s="7"/>
      <c r="BY36" s="26"/>
      <c r="BZ36" s="7"/>
      <c r="CA36" s="26"/>
      <c r="CB36" s="7"/>
      <c r="CC36" s="26"/>
      <c r="CD36" s="7"/>
      <c r="CE36" s="26"/>
      <c r="CF36" s="7"/>
      <c r="CG36" s="26"/>
      <c r="CH36" s="7"/>
      <c r="CI36" s="26"/>
      <c r="CJ36" s="7"/>
      <c r="CK36" s="26"/>
      <c r="CL36" s="7"/>
      <c r="CM36" s="26"/>
      <c r="CN36" s="7"/>
    </row>
    <row r="37" spans="1:92" x14ac:dyDescent="0.25">
      <c r="A37" s="41"/>
      <c r="B37" s="7"/>
      <c r="C37" s="26"/>
      <c r="D37" s="7"/>
      <c r="E37" s="26"/>
      <c r="F37" s="7"/>
      <c r="G37" s="26"/>
      <c r="H37" s="72"/>
      <c r="I37" s="24"/>
      <c r="J37" s="9"/>
      <c r="K37" s="26"/>
      <c r="L37" s="7"/>
      <c r="M37" s="26"/>
      <c r="N37" s="7"/>
      <c r="O37" s="26"/>
      <c r="P37" s="7"/>
      <c r="Q37" s="26"/>
      <c r="R37" s="7"/>
      <c r="S37" s="26"/>
      <c r="T37" s="9"/>
      <c r="U37" s="26"/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/>
      <c r="AU37" s="26"/>
      <c r="AV37" s="7"/>
      <c r="AW37" s="26"/>
      <c r="AX37" s="7"/>
      <c r="AY37" s="26"/>
      <c r="AZ37" s="9"/>
      <c r="BA37" s="15"/>
      <c r="BB37" s="7"/>
      <c r="BC37" s="26"/>
      <c r="BD37" s="7"/>
      <c r="BE37" s="26"/>
      <c r="BF37" s="7"/>
      <c r="BG37" s="26"/>
      <c r="BH37" s="7"/>
      <c r="BI37" s="26"/>
      <c r="BJ37" s="7"/>
      <c r="BK37" s="26"/>
      <c r="BL37" s="7"/>
      <c r="BM37" s="26"/>
      <c r="BN37" s="7"/>
      <c r="BO37" s="26"/>
      <c r="BP37" s="7"/>
      <c r="BQ37" s="26"/>
      <c r="BR37" s="7"/>
      <c r="BS37" s="26"/>
      <c r="BT37" s="7"/>
      <c r="BU37" s="26"/>
      <c r="BV37" s="7"/>
      <c r="BW37" s="26"/>
      <c r="BX37" s="7"/>
      <c r="BY37" s="26"/>
      <c r="BZ37" s="7"/>
      <c r="CA37" s="26"/>
      <c r="CB37" s="7"/>
      <c r="CC37" s="26"/>
      <c r="CD37" s="7"/>
      <c r="CE37" s="26"/>
      <c r="CF37" s="7"/>
      <c r="CG37" s="26"/>
      <c r="CH37" s="7"/>
      <c r="CI37" s="26"/>
      <c r="CJ37" s="7"/>
      <c r="CK37" s="26"/>
      <c r="CL37" s="7"/>
      <c r="CM37" s="26"/>
      <c r="CN37" s="7"/>
    </row>
    <row r="38" spans="1:92" x14ac:dyDescent="0.25">
      <c r="A38" s="41"/>
      <c r="B38" s="7"/>
      <c r="C38" s="26"/>
      <c r="D38" s="7"/>
      <c r="E38" s="26"/>
      <c r="F38" s="7"/>
      <c r="G38" s="26"/>
      <c r="H38" s="9"/>
      <c r="I38" s="15"/>
      <c r="J38" s="9"/>
      <c r="K38" s="26"/>
      <c r="L38" s="7"/>
      <c r="M38" s="26"/>
      <c r="N38" s="7"/>
      <c r="O38" s="26"/>
      <c r="P38" s="7"/>
      <c r="Q38" s="26"/>
      <c r="R38" s="7"/>
      <c r="S38" s="26"/>
      <c r="T38" s="9"/>
      <c r="U38" s="26"/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9"/>
      <c r="BA38" s="15"/>
      <c r="BB38" s="7"/>
      <c r="BC38" s="26"/>
      <c r="BD38" s="7"/>
      <c r="BE38" s="26"/>
      <c r="BF38" s="7"/>
      <c r="BG38" s="26"/>
      <c r="BH38" s="7"/>
      <c r="BI38" s="26"/>
      <c r="BJ38" s="7"/>
      <c r="BK38" s="26"/>
      <c r="BL38" s="7"/>
      <c r="BM38" s="26"/>
      <c r="BN38" s="7"/>
      <c r="BO38" s="26"/>
      <c r="BP38" s="7"/>
      <c r="BQ38" s="26"/>
      <c r="BR38" s="7"/>
      <c r="BS38" s="26"/>
      <c r="BT38" s="7"/>
      <c r="BU38" s="26"/>
      <c r="BV38" s="7"/>
      <c r="BW38" s="26"/>
      <c r="BX38" s="7"/>
      <c r="BY38" s="26"/>
      <c r="BZ38" s="7"/>
      <c r="CA38" s="26"/>
      <c r="CB38" s="7"/>
      <c r="CC38" s="26"/>
      <c r="CD38" s="7"/>
      <c r="CE38" s="26"/>
      <c r="CF38" s="7"/>
      <c r="CG38" s="26"/>
      <c r="CH38" s="7"/>
      <c r="CI38" s="26"/>
      <c r="CJ38" s="7"/>
      <c r="CK38" s="26"/>
      <c r="CL38" s="7"/>
      <c r="CM38" s="26"/>
      <c r="CN38" s="7"/>
    </row>
    <row r="39" spans="1:92" x14ac:dyDescent="0.25">
      <c r="A39" s="41"/>
      <c r="B39" s="7"/>
      <c r="C39" s="26"/>
      <c r="D39" s="7"/>
      <c r="E39" s="26"/>
      <c r="F39" s="7"/>
      <c r="G39" s="26"/>
      <c r="H39" s="9"/>
      <c r="I39" s="15"/>
      <c r="J39" s="9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9"/>
      <c r="BA39" s="15"/>
      <c r="BB39" s="7"/>
      <c r="BC39" s="26"/>
      <c r="BD39" s="7"/>
      <c r="BE39" s="26"/>
      <c r="BF39" s="7"/>
      <c r="BG39" s="26"/>
      <c r="BH39" s="7"/>
      <c r="BI39" s="26"/>
      <c r="BJ39" s="7"/>
      <c r="BK39" s="26"/>
      <c r="BL39" s="7"/>
      <c r="BM39" s="26"/>
      <c r="BN39" s="7"/>
      <c r="BO39" s="26"/>
      <c r="BP39" s="7"/>
      <c r="BQ39" s="26"/>
      <c r="BR39" s="7"/>
      <c r="BS39" s="26"/>
      <c r="BT39" s="7"/>
      <c r="BU39" s="26"/>
      <c r="BV39" s="7"/>
      <c r="BW39" s="26"/>
      <c r="BX39" s="7"/>
      <c r="BY39" s="26"/>
      <c r="BZ39" s="7"/>
      <c r="CA39" s="26"/>
      <c r="CB39" s="7"/>
      <c r="CC39" s="26"/>
      <c r="CD39" s="7"/>
      <c r="CE39" s="26"/>
      <c r="CF39" s="7"/>
      <c r="CG39" s="26"/>
      <c r="CH39" s="7"/>
      <c r="CI39" s="26"/>
      <c r="CJ39" s="7"/>
      <c r="CK39" s="26"/>
      <c r="CL39" s="7"/>
      <c r="CM39" s="26"/>
      <c r="CN39" s="7"/>
    </row>
    <row r="40" spans="1:92" x14ac:dyDescent="0.25">
      <c r="A40" s="41"/>
      <c r="B40" s="7"/>
      <c r="C40" s="26"/>
      <c r="D40" s="7"/>
      <c r="E40" s="26"/>
      <c r="F40" s="7"/>
      <c r="G40" s="26"/>
      <c r="H40" s="9"/>
      <c r="I40" s="15"/>
      <c r="J40" s="9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9"/>
      <c r="BA40" s="15"/>
      <c r="BB40" s="7"/>
      <c r="BC40" s="26"/>
      <c r="BD40" s="7"/>
      <c r="BE40" s="26"/>
      <c r="BF40" s="7"/>
      <c r="BG40" s="26"/>
      <c r="BH40" s="7"/>
      <c r="BI40" s="26"/>
      <c r="BJ40" s="7"/>
      <c r="BK40" s="26"/>
      <c r="BL40" s="7"/>
      <c r="BM40" s="26"/>
      <c r="BN40" s="7"/>
      <c r="BO40" s="26"/>
      <c r="BP40" s="7"/>
      <c r="BQ40" s="26"/>
      <c r="BR40" s="7"/>
      <c r="BS40" s="26"/>
      <c r="BT40" s="7"/>
      <c r="BU40" s="26"/>
      <c r="BV40" s="7"/>
      <c r="BW40" s="26"/>
      <c r="BX40" s="7"/>
      <c r="BY40" s="26"/>
      <c r="BZ40" s="7"/>
      <c r="CA40" s="26"/>
      <c r="CB40" s="7"/>
      <c r="CC40" s="26"/>
      <c r="CD40" s="7"/>
      <c r="CE40" s="26"/>
      <c r="CF40" s="7"/>
      <c r="CG40" s="26"/>
      <c r="CH40" s="7"/>
      <c r="CI40" s="26"/>
      <c r="CJ40" s="7"/>
      <c r="CK40" s="26"/>
      <c r="CL40" s="7"/>
      <c r="CM40" s="26"/>
      <c r="CN40" s="7"/>
    </row>
    <row r="41" spans="1:92" x14ac:dyDescent="0.25">
      <c r="A41" s="41"/>
      <c r="B41" s="7"/>
      <c r="C41" s="26"/>
      <c r="D41" s="7"/>
      <c r="E41" s="26"/>
      <c r="F41" s="7"/>
      <c r="G41" s="26"/>
      <c r="H41" s="9"/>
      <c r="I41" s="15"/>
      <c r="J41" s="9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197"/>
      <c r="AE41" s="26"/>
      <c r="AF41" s="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9"/>
      <c r="BA41" s="15"/>
      <c r="BB41" s="7"/>
      <c r="BC41" s="26"/>
      <c r="BD41" s="7"/>
      <c r="BE41" s="26"/>
      <c r="BF41" s="7"/>
      <c r="BG41" s="26"/>
      <c r="BH41" s="7"/>
      <c r="BI41" s="26"/>
      <c r="BJ41" s="7"/>
      <c r="BK41" s="26"/>
      <c r="BL41" s="7"/>
      <c r="BM41" s="26"/>
      <c r="BN41" s="7"/>
      <c r="BO41" s="26"/>
      <c r="BP41" s="7"/>
      <c r="BQ41" s="26"/>
      <c r="BR41" s="7"/>
      <c r="BS41" s="26"/>
      <c r="BT41" s="7"/>
      <c r="BU41" s="26"/>
      <c r="BV41" s="7"/>
      <c r="BW41" s="26"/>
      <c r="BX41" s="7"/>
      <c r="BY41" s="26"/>
      <c r="BZ41" s="7"/>
      <c r="CA41" s="26"/>
      <c r="CB41" s="7"/>
      <c r="CC41" s="26"/>
      <c r="CD41" s="7"/>
      <c r="CE41" s="26"/>
      <c r="CF41" s="7"/>
      <c r="CG41" s="26"/>
      <c r="CH41" s="7"/>
      <c r="CI41" s="26"/>
      <c r="CJ41" s="7"/>
      <c r="CK41" s="26"/>
      <c r="CL41" s="7"/>
      <c r="CM41" s="26"/>
      <c r="CN41" s="7"/>
    </row>
    <row r="42" spans="1:92" x14ac:dyDescent="0.25">
      <c r="A42" s="41"/>
      <c r="B42" s="7"/>
      <c r="C42" s="26"/>
      <c r="D42" s="7"/>
      <c r="E42" s="26"/>
      <c r="F42" s="7"/>
      <c r="G42" s="26"/>
      <c r="H42" s="9"/>
      <c r="I42" s="15"/>
      <c r="J42" s="9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9"/>
      <c r="BA42" s="15"/>
      <c r="BB42" s="7"/>
      <c r="BC42" s="26"/>
      <c r="BD42" s="7"/>
      <c r="BE42" s="26"/>
      <c r="BF42" s="7"/>
      <c r="BG42" s="26"/>
      <c r="BH42" s="7"/>
      <c r="BI42" s="26"/>
      <c r="BJ42" s="7"/>
      <c r="BK42" s="26"/>
      <c r="BL42" s="7"/>
      <c r="BM42" s="26"/>
      <c r="BN42" s="7"/>
      <c r="BO42" s="26"/>
      <c r="BP42" s="7"/>
      <c r="BQ42" s="26"/>
      <c r="BR42" s="7"/>
      <c r="BS42" s="26"/>
      <c r="BT42" s="7"/>
      <c r="BU42" s="26"/>
      <c r="BV42" s="7"/>
      <c r="BW42" s="26"/>
      <c r="BX42" s="7"/>
      <c r="BY42" s="26"/>
      <c r="BZ42" s="7"/>
      <c r="CA42" s="26"/>
      <c r="CB42" s="7"/>
      <c r="CC42" s="26"/>
      <c r="CD42" s="7"/>
      <c r="CE42" s="26"/>
      <c r="CF42" s="7"/>
      <c r="CG42" s="26"/>
      <c r="CH42" s="7"/>
      <c r="CI42" s="26"/>
      <c r="CJ42" s="7"/>
      <c r="CK42" s="26"/>
      <c r="CL42" s="7"/>
      <c r="CM42" s="26"/>
      <c r="CN42" s="7"/>
    </row>
    <row r="43" spans="1:92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9"/>
      <c r="BA43" s="15"/>
      <c r="BB43" s="7"/>
      <c r="BC43" s="26"/>
      <c r="BD43" s="7"/>
      <c r="BE43" s="26"/>
      <c r="BF43" s="7"/>
      <c r="BG43" s="26"/>
      <c r="BH43" s="7"/>
      <c r="BI43" s="26"/>
      <c r="BJ43" s="7"/>
      <c r="BK43" s="26"/>
      <c r="BL43" s="7"/>
      <c r="BM43" s="26"/>
      <c r="BN43" s="7"/>
      <c r="BO43" s="26"/>
      <c r="BP43" s="7"/>
      <c r="BQ43" s="26"/>
      <c r="BR43" s="7"/>
      <c r="BS43" s="26"/>
      <c r="BT43" s="7"/>
      <c r="BU43" s="26"/>
      <c r="BV43" s="7"/>
      <c r="BW43" s="26"/>
      <c r="BX43" s="7"/>
      <c r="BY43" s="26"/>
      <c r="BZ43" s="7"/>
      <c r="CA43" s="26"/>
      <c r="CB43" s="7"/>
      <c r="CC43" s="26"/>
      <c r="CD43" s="7"/>
      <c r="CE43" s="26"/>
      <c r="CF43" s="7"/>
      <c r="CG43" s="26"/>
      <c r="CH43" s="7"/>
      <c r="CI43" s="26"/>
      <c r="CJ43" s="7"/>
      <c r="CK43" s="26"/>
      <c r="CL43" s="7"/>
      <c r="CM43" s="26"/>
      <c r="CN43" s="7"/>
    </row>
    <row r="44" spans="1:92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9"/>
      <c r="BA44" s="15"/>
      <c r="BB44" s="7"/>
      <c r="BC44" s="26"/>
      <c r="BD44" s="7"/>
      <c r="BE44" s="26"/>
      <c r="BF44" s="7"/>
      <c r="BG44" s="26"/>
      <c r="BH44" s="7"/>
      <c r="BI44" s="26"/>
      <c r="BJ44" s="7"/>
      <c r="BK44" s="26"/>
      <c r="BL44" s="7"/>
      <c r="BM44" s="26"/>
      <c r="BN44" s="7"/>
      <c r="BO44" s="26"/>
      <c r="BP44" s="7"/>
      <c r="BQ44" s="26"/>
      <c r="BR44" s="7"/>
      <c r="BS44" s="26"/>
      <c r="BT44" s="7"/>
      <c r="BU44" s="26"/>
      <c r="BV44" s="7"/>
      <c r="BW44" s="26"/>
      <c r="BX44" s="7"/>
      <c r="BY44" s="26"/>
      <c r="BZ44" s="7"/>
      <c r="CA44" s="26"/>
      <c r="CB44" s="7"/>
      <c r="CC44" s="26"/>
      <c r="CD44" s="7"/>
      <c r="CE44" s="26"/>
      <c r="CF44" s="7"/>
      <c r="CG44" s="26"/>
      <c r="CH44" s="7"/>
      <c r="CI44" s="26"/>
      <c r="CJ44" s="7"/>
      <c r="CK44" s="26"/>
      <c r="CL44" s="7"/>
      <c r="CM44" s="26"/>
      <c r="CN44" s="7"/>
    </row>
    <row r="45" spans="1:92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9"/>
      <c r="BA45" s="15"/>
      <c r="BB45" s="7"/>
      <c r="BC45" s="26"/>
      <c r="BD45" s="7"/>
      <c r="BE45" s="26"/>
      <c r="BF45" s="7"/>
      <c r="BG45" s="26"/>
      <c r="BH45" s="7"/>
      <c r="BI45" s="26"/>
      <c r="BJ45" s="7"/>
      <c r="BK45" s="26"/>
      <c r="BL45" s="7"/>
      <c r="BM45" s="26"/>
      <c r="BN45" s="7"/>
      <c r="BO45" s="26"/>
      <c r="BP45" s="7"/>
      <c r="BQ45" s="26"/>
      <c r="BR45" s="7"/>
      <c r="BS45" s="26"/>
      <c r="BT45" s="7"/>
      <c r="BU45" s="26"/>
      <c r="BV45" s="7"/>
      <c r="BW45" s="26"/>
      <c r="BX45" s="7"/>
      <c r="BY45" s="26"/>
      <c r="BZ45" s="7"/>
      <c r="CA45" s="26"/>
      <c r="CB45" s="7"/>
      <c r="CC45" s="26"/>
      <c r="CD45" s="7"/>
      <c r="CE45" s="26"/>
      <c r="CF45" s="7"/>
      <c r="CG45" s="26"/>
      <c r="CH45" s="7"/>
      <c r="CI45" s="26"/>
      <c r="CJ45" s="7"/>
      <c r="CK45" s="26"/>
      <c r="CL45" s="7"/>
      <c r="CM45" s="26"/>
      <c r="CN45" s="7"/>
    </row>
    <row r="46" spans="1:92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9"/>
      <c r="BA46" s="15"/>
      <c r="BB46" s="7"/>
      <c r="BC46" s="26"/>
      <c r="BD46" s="7"/>
      <c r="BE46" s="26"/>
      <c r="BF46" s="7"/>
      <c r="BG46" s="26"/>
      <c r="BH46" s="7"/>
      <c r="BI46" s="26"/>
      <c r="BJ46" s="7"/>
      <c r="BK46" s="26"/>
      <c r="BL46" s="7"/>
      <c r="BM46" s="26"/>
      <c r="BN46" s="7"/>
      <c r="BO46" s="26"/>
      <c r="BP46" s="7"/>
      <c r="BQ46" s="26"/>
      <c r="BR46" s="7"/>
      <c r="BS46" s="26"/>
      <c r="BT46" s="7"/>
      <c r="BU46" s="26"/>
      <c r="BV46" s="7"/>
      <c r="BW46" s="26"/>
      <c r="BX46" s="7"/>
      <c r="BY46" s="26"/>
      <c r="BZ46" s="7"/>
      <c r="CA46" s="26"/>
      <c r="CB46" s="7"/>
      <c r="CC46" s="26"/>
      <c r="CD46" s="7"/>
      <c r="CE46" s="26"/>
      <c r="CF46" s="7"/>
      <c r="CG46" s="26"/>
      <c r="CH46" s="7"/>
      <c r="CI46" s="26"/>
      <c r="CJ46" s="7"/>
      <c r="CK46" s="26"/>
      <c r="CL46" s="7"/>
      <c r="CM46" s="26"/>
      <c r="CN46" s="7"/>
    </row>
    <row r="47" spans="1:92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9"/>
      <c r="BA47" s="15"/>
      <c r="BB47" s="7"/>
      <c r="BC47" s="26"/>
      <c r="BD47" s="7"/>
      <c r="BE47" s="26"/>
      <c r="BF47" s="7"/>
      <c r="BG47" s="26"/>
      <c r="BH47" s="7"/>
      <c r="BI47" s="26"/>
      <c r="BJ47" s="7"/>
      <c r="BK47" s="26"/>
      <c r="BL47" s="7"/>
      <c r="BM47" s="26"/>
      <c r="BN47" s="7"/>
      <c r="BO47" s="26"/>
      <c r="BP47" s="7"/>
      <c r="BQ47" s="26"/>
      <c r="BR47" s="7"/>
      <c r="BS47" s="26"/>
      <c r="BT47" s="7"/>
      <c r="BU47" s="26"/>
      <c r="BV47" s="7"/>
      <c r="BW47" s="26"/>
      <c r="BX47" s="7"/>
      <c r="BY47" s="26"/>
      <c r="BZ47" s="7"/>
      <c r="CA47" s="26"/>
      <c r="CB47" s="7"/>
      <c r="CC47" s="26"/>
      <c r="CD47" s="7"/>
      <c r="CE47" s="26"/>
      <c r="CF47" s="7"/>
      <c r="CG47" s="26"/>
      <c r="CH47" s="7"/>
      <c r="CI47" s="26"/>
      <c r="CJ47" s="7"/>
      <c r="CK47" s="26"/>
      <c r="CL47" s="7"/>
      <c r="CM47" s="26"/>
      <c r="CN47" s="7"/>
    </row>
    <row r="48" spans="1:92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9"/>
      <c r="BA48" s="15"/>
      <c r="BB48" s="7"/>
      <c r="BC48" s="26"/>
      <c r="BD48" s="7"/>
      <c r="BE48" s="26"/>
      <c r="BF48" s="7"/>
      <c r="BG48" s="26"/>
      <c r="BH48" s="7"/>
      <c r="BI48" s="26"/>
      <c r="BJ48" s="7"/>
      <c r="BK48" s="26"/>
      <c r="BL48" s="7"/>
      <c r="BM48" s="26"/>
      <c r="BN48" s="7"/>
      <c r="BO48" s="26"/>
      <c r="BP48" s="7"/>
      <c r="BQ48" s="26"/>
      <c r="BR48" s="7"/>
      <c r="BS48" s="26"/>
      <c r="BT48" s="7"/>
      <c r="BU48" s="26"/>
      <c r="BV48" s="7"/>
      <c r="BW48" s="26"/>
      <c r="BX48" s="7"/>
      <c r="BY48" s="26"/>
      <c r="BZ48" s="7"/>
      <c r="CA48" s="26"/>
      <c r="CB48" s="7"/>
      <c r="CC48" s="26"/>
      <c r="CD48" s="7"/>
      <c r="CE48" s="26"/>
      <c r="CF48" s="7"/>
      <c r="CG48" s="26"/>
      <c r="CH48" s="7"/>
      <c r="CI48" s="26"/>
      <c r="CJ48" s="7"/>
      <c r="CK48" s="26"/>
      <c r="CL48" s="7"/>
      <c r="CM48" s="26"/>
      <c r="CN48" s="7"/>
    </row>
    <row r="49" spans="1:92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9"/>
      <c r="BA49" s="15"/>
      <c r="BB49" s="7"/>
      <c r="BC49" s="26"/>
      <c r="BD49" s="7"/>
      <c r="BE49" s="26"/>
      <c r="BF49" s="7"/>
      <c r="BG49" s="26"/>
      <c r="BH49" s="7"/>
      <c r="BI49" s="26"/>
      <c r="BJ49" s="7"/>
      <c r="BK49" s="26"/>
      <c r="BL49" s="7"/>
      <c r="BM49" s="26"/>
      <c r="BN49" s="7"/>
      <c r="BO49" s="26"/>
      <c r="BP49" s="7"/>
      <c r="BQ49" s="26"/>
      <c r="BR49" s="7"/>
      <c r="BS49" s="26"/>
      <c r="BT49" s="7"/>
      <c r="BU49" s="26"/>
      <c r="BV49" s="7"/>
      <c r="BW49" s="26"/>
      <c r="BX49" s="7"/>
      <c r="BY49" s="26"/>
      <c r="BZ49" s="7"/>
      <c r="CA49" s="26"/>
      <c r="CB49" s="7"/>
      <c r="CC49" s="26"/>
      <c r="CD49" s="7"/>
      <c r="CE49" s="26"/>
      <c r="CF49" s="7"/>
      <c r="CG49" s="26"/>
      <c r="CH49" s="7"/>
      <c r="CI49" s="26"/>
      <c r="CJ49" s="7"/>
      <c r="CK49" s="26"/>
      <c r="CL49" s="7"/>
      <c r="CM49" s="26"/>
      <c r="CN49" s="7"/>
    </row>
    <row r="50" spans="1:92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9"/>
      <c r="BA50" s="15"/>
      <c r="BB50" s="7"/>
      <c r="BC50" s="26"/>
      <c r="BD50" s="7"/>
      <c r="BE50" s="26"/>
      <c r="BF50" s="7"/>
      <c r="BG50" s="26"/>
      <c r="BH50" s="7"/>
      <c r="BI50" s="26"/>
      <c r="BJ50" s="7"/>
      <c r="BK50" s="26"/>
      <c r="BL50" s="7"/>
      <c r="BM50" s="26"/>
      <c r="BN50" s="7"/>
      <c r="BO50" s="26"/>
      <c r="BP50" s="7"/>
      <c r="BQ50" s="26"/>
      <c r="BR50" s="7"/>
      <c r="BS50" s="26"/>
      <c r="BT50" s="7"/>
      <c r="BU50" s="26"/>
      <c r="BV50" s="7"/>
      <c r="BW50" s="26"/>
      <c r="BX50" s="7"/>
      <c r="BY50" s="26"/>
      <c r="BZ50" s="7"/>
      <c r="CA50" s="26"/>
      <c r="CB50" s="7"/>
      <c r="CC50" s="26"/>
      <c r="CD50" s="7"/>
      <c r="CE50" s="26"/>
      <c r="CF50" s="7"/>
      <c r="CG50" s="26"/>
      <c r="CH50" s="7"/>
      <c r="CI50" s="26"/>
      <c r="CJ50" s="7"/>
      <c r="CK50" s="26"/>
      <c r="CL50" s="7"/>
      <c r="CM50" s="26"/>
      <c r="CN50" s="7"/>
    </row>
    <row r="51" spans="1:92" x14ac:dyDescent="0.25">
      <c r="A51" s="39" t="s">
        <v>1</v>
      </c>
      <c r="B51" s="7">
        <f>+B3+B4</f>
        <v>135000</v>
      </c>
      <c r="C51" s="26"/>
      <c r="D51" s="7">
        <f>+D3+D4</f>
        <v>83419.820000000007</v>
      </c>
      <c r="E51" s="26"/>
      <c r="F51" s="7">
        <f>+F3+F4</f>
        <v>275211.23</v>
      </c>
      <c r="G51" s="26"/>
      <c r="H51" s="7">
        <f>+H3+H4</f>
        <v>52794.94</v>
      </c>
      <c r="I51" s="26"/>
      <c r="J51" s="7">
        <f>+J3+J4</f>
        <v>90117.77</v>
      </c>
      <c r="K51" s="26"/>
      <c r="L51" s="7">
        <f>+L3+L4</f>
        <v>51026.54</v>
      </c>
      <c r="M51" s="26"/>
      <c r="N51" s="7"/>
      <c r="O51" s="26"/>
      <c r="P51" s="7">
        <f>+P3+P4</f>
        <v>134971.29999999999</v>
      </c>
      <c r="Q51" s="26"/>
      <c r="R51" s="7">
        <f>+R3+R4</f>
        <v>189625.58</v>
      </c>
      <c r="S51" s="26"/>
      <c r="T51" s="7">
        <f>+T3+T4</f>
        <v>34093.21</v>
      </c>
      <c r="U51" s="26"/>
      <c r="V51" s="7">
        <f>+V3+V4</f>
        <v>66910.41</v>
      </c>
      <c r="W51" s="26"/>
      <c r="X51" s="7">
        <f>+X3+X4</f>
        <v>57743.82</v>
      </c>
      <c r="Y51" s="26"/>
      <c r="Z51" s="7">
        <f>+Z3+Z4</f>
        <v>113982.21</v>
      </c>
      <c r="AA51" s="26"/>
      <c r="AB51" s="7"/>
      <c r="AC51" s="26"/>
      <c r="AD51" s="7">
        <f>+AD3+AD4</f>
        <v>307164.63</v>
      </c>
      <c r="AE51" s="26"/>
      <c r="AF51" s="7">
        <f>+AF3+AF4</f>
        <v>133953.18</v>
      </c>
      <c r="AG51" s="26"/>
      <c r="AH51" s="7">
        <f>+AH3+AH4</f>
        <v>25442.510000000002</v>
      </c>
      <c r="AI51" s="26"/>
      <c r="AJ51" s="7">
        <f>+AJ3+AJ4</f>
        <v>147009.15</v>
      </c>
      <c r="AK51" s="26"/>
      <c r="AL51" s="7">
        <f>+AL3+AL4</f>
        <v>73072.25</v>
      </c>
      <c r="AM51" s="26"/>
      <c r="AN51" s="7">
        <f>+AN3+AN4</f>
        <v>53769.48</v>
      </c>
      <c r="AO51" s="26"/>
      <c r="AP51" s="7">
        <f>+AP3+AP4</f>
        <v>17590.419999999998</v>
      </c>
      <c r="AQ51" s="26"/>
      <c r="AR51" s="7">
        <f>+AR3+AR4</f>
        <v>720166.52</v>
      </c>
      <c r="AS51" s="26"/>
      <c r="AT51" s="7">
        <f>+AT3+AT4</f>
        <v>94000.65</v>
      </c>
      <c r="AU51" s="26"/>
      <c r="AV51" s="7">
        <f>+AV3+AV4</f>
        <v>31124.5</v>
      </c>
      <c r="AW51" s="26"/>
      <c r="AX51" s="7">
        <f>+AX3+AX4</f>
        <v>214239.14</v>
      </c>
      <c r="AY51" s="26"/>
      <c r="AZ51" s="7">
        <f>+AZ3+AZ4</f>
        <v>39644.81</v>
      </c>
      <c r="BA51" s="15"/>
      <c r="BB51" s="7">
        <f>+BB3+BB4</f>
        <v>90000</v>
      </c>
      <c r="BC51" s="26"/>
      <c r="BD51" s="7">
        <f>+BD3+BD4</f>
        <v>47149.1</v>
      </c>
      <c r="BE51" s="26"/>
      <c r="BF51" s="7">
        <f>+BF3+BF4</f>
        <v>49066.520000000004</v>
      </c>
      <c r="BG51" s="26"/>
      <c r="BH51" s="7">
        <f>+BH3+BH4</f>
        <v>137617.25</v>
      </c>
      <c r="BI51" s="26"/>
      <c r="BJ51" s="7"/>
      <c r="BK51" s="26"/>
      <c r="BL51" s="7"/>
      <c r="BM51" s="26"/>
      <c r="BN51" s="7"/>
      <c r="BO51" s="26"/>
      <c r="BP51" s="7"/>
      <c r="BQ51" s="26"/>
      <c r="BR51" s="7"/>
      <c r="BS51" s="26"/>
      <c r="BT51" s="7"/>
      <c r="BU51" s="26"/>
      <c r="BV51" s="7"/>
      <c r="BW51" s="26"/>
      <c r="BX51" s="7"/>
      <c r="BY51" s="26"/>
      <c r="BZ51" s="7"/>
      <c r="CA51" s="26"/>
      <c r="CB51" s="7"/>
      <c r="CC51" s="26"/>
      <c r="CD51" s="8"/>
      <c r="CE51" s="16"/>
      <c r="CF51" s="8"/>
      <c r="CG51" s="16"/>
      <c r="CH51" s="8"/>
      <c r="CI51" s="16"/>
      <c r="CJ51" s="8"/>
      <c r="CK51" s="16"/>
      <c r="CL51" s="8"/>
      <c r="CM51" s="16"/>
      <c r="CN51" s="8"/>
    </row>
    <row r="52" spans="1:92" x14ac:dyDescent="0.25">
      <c r="A52" s="39" t="s">
        <v>2</v>
      </c>
      <c r="B52" s="26">
        <f>+SUM(B5:B48)</f>
        <v>135000</v>
      </c>
      <c r="C52" s="26"/>
      <c r="D52" s="26">
        <f>+SUM(D5:D48)</f>
        <v>83420.12</v>
      </c>
      <c r="E52" s="26"/>
      <c r="F52" s="26">
        <f>+SUM(F5:F48)</f>
        <v>275210.24000000005</v>
      </c>
      <c r="G52" s="26"/>
      <c r="H52" s="26">
        <f>+SUM(H5:H48)</f>
        <v>52796.499999999978</v>
      </c>
      <c r="I52" s="26"/>
      <c r="J52" s="26">
        <f>+SUM(J5:J48)</f>
        <v>90117.77</v>
      </c>
      <c r="K52" s="26"/>
      <c r="L52" s="26">
        <f>+SUM(L5:L48)</f>
        <v>51027.540000000008</v>
      </c>
      <c r="M52" s="26"/>
      <c r="N52" s="26"/>
      <c r="O52" s="26"/>
      <c r="P52" s="26">
        <f>+SUM(P5:P48)</f>
        <v>134971.28000000003</v>
      </c>
      <c r="Q52" s="26"/>
      <c r="R52" s="26">
        <f>+SUM(R5:R48)</f>
        <v>189625.58</v>
      </c>
      <c r="S52" s="26"/>
      <c r="T52" s="26">
        <f>+SUM(T5:T48)</f>
        <v>34093.199999999997</v>
      </c>
      <c r="U52" s="26"/>
      <c r="V52" s="26">
        <f>+SUM(V5:V48)</f>
        <v>66910.41</v>
      </c>
      <c r="W52" s="26"/>
      <c r="X52" s="26">
        <f>+SUM(X5:X48)</f>
        <v>57743.810000000005</v>
      </c>
      <c r="Y52" s="26"/>
      <c r="Z52" s="26">
        <f>+SUM(Z5:Z48)</f>
        <v>113982.19</v>
      </c>
      <c r="AA52" s="26"/>
      <c r="AB52" s="26"/>
      <c r="AC52" s="26"/>
      <c r="AD52" s="26">
        <f>+SUM(AD5:AD48)</f>
        <v>307164.61</v>
      </c>
      <c r="AE52" s="26"/>
      <c r="AF52" s="26">
        <f>+SUM(AF5:AF48)</f>
        <v>133954.18000000002</v>
      </c>
      <c r="AG52" s="26"/>
      <c r="AH52" s="26">
        <f>+SUM(AH5:AH48)</f>
        <v>25445.51</v>
      </c>
      <c r="AI52" s="26"/>
      <c r="AJ52" s="26">
        <f>+SUM(AJ5:AJ48)</f>
        <v>147009.15000000002</v>
      </c>
      <c r="AK52" s="26"/>
      <c r="AL52" s="26">
        <f>+SUM(AL5:AL48)</f>
        <v>73072.27</v>
      </c>
      <c r="AM52" s="26"/>
      <c r="AN52" s="26">
        <f>+SUM(AN5:AN48)</f>
        <v>53769.46</v>
      </c>
      <c r="AO52" s="26"/>
      <c r="AP52" s="26">
        <f>+SUM(AP5:AP48)</f>
        <v>17590.329999999998</v>
      </c>
      <c r="AQ52" s="26"/>
      <c r="AR52" s="26">
        <f>+SUM(AR5:AR48)</f>
        <v>720166.52</v>
      </c>
      <c r="AS52" s="26"/>
      <c r="AT52" s="26">
        <f>+SUM(AT5:AT48)</f>
        <v>94000.650000000009</v>
      </c>
      <c r="AU52" s="26"/>
      <c r="AV52" s="26">
        <f>+SUM(AV5:AV48)</f>
        <v>31124.599999999995</v>
      </c>
      <c r="AW52" s="26"/>
      <c r="AX52" s="26">
        <f>+SUM(AX5:AX48)</f>
        <v>214239.13</v>
      </c>
      <c r="AY52" s="26"/>
      <c r="AZ52" s="26">
        <f>+SUM(AZ5:AZ48)</f>
        <v>39644.81</v>
      </c>
      <c r="BA52" s="15"/>
      <c r="BB52" s="26">
        <f>+SUM(BB5:BB48)</f>
        <v>90000</v>
      </c>
      <c r="BC52" s="26"/>
      <c r="BD52" s="26">
        <f>+SUM(BD5:BD48)</f>
        <v>47149.1</v>
      </c>
      <c r="BE52" s="26"/>
      <c r="BF52" s="26">
        <f>+SUM(BF5:BF48)</f>
        <v>49066.509999999987</v>
      </c>
      <c r="BG52" s="26"/>
      <c r="BH52" s="26">
        <f>+SUM(BH5:BH48)</f>
        <v>137617.25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</row>
    <row r="53" spans="1:92" x14ac:dyDescent="0.25">
      <c r="A53" s="39" t="s">
        <v>3</v>
      </c>
      <c r="B53" s="117">
        <f>+B51-B52</f>
        <v>0</v>
      </c>
      <c r="C53" s="117"/>
      <c r="D53" s="117">
        <f>+D51-D52</f>
        <v>-0.29999999998835847</v>
      </c>
      <c r="E53" s="117"/>
      <c r="F53" s="117">
        <f>+F51-F52</f>
        <v>0.98999999993247911</v>
      </c>
      <c r="G53" s="117"/>
      <c r="H53" s="117">
        <f>+H51-H52</f>
        <v>-1.5599999999758438</v>
      </c>
      <c r="I53" s="117"/>
      <c r="J53" s="117">
        <f>+J51-J52</f>
        <v>0</v>
      </c>
      <c r="K53" s="117"/>
      <c r="L53" s="117">
        <f>+L51-L52</f>
        <v>-1.000000000007276</v>
      </c>
      <c r="M53" s="117"/>
      <c r="N53" s="117"/>
      <c r="O53" s="117"/>
      <c r="P53" s="117">
        <f>+P51-P52</f>
        <v>1.9999999960418791E-2</v>
      </c>
      <c r="Q53" s="117"/>
      <c r="R53" s="117">
        <f>+R51-R52</f>
        <v>0</v>
      </c>
      <c r="S53" s="117"/>
      <c r="T53" s="117">
        <f>+T51-T52</f>
        <v>1.0000000002037268E-2</v>
      </c>
      <c r="U53" s="117"/>
      <c r="V53" s="117">
        <f>+V51-V52</f>
        <v>0</v>
      </c>
      <c r="W53" s="117"/>
      <c r="X53" s="117">
        <f>+X51-X52</f>
        <v>9.9999999947613105E-3</v>
      </c>
      <c r="Y53" s="117"/>
      <c r="Z53" s="117">
        <f>+Z51-Z52</f>
        <v>2.0000000004074536E-2</v>
      </c>
      <c r="AA53" s="117"/>
      <c r="AB53" s="117"/>
      <c r="AC53" s="117"/>
      <c r="AD53" s="117">
        <f>+AD51-AD52</f>
        <v>2.0000000018626451E-2</v>
      </c>
      <c r="AE53" s="117"/>
      <c r="AF53" s="117">
        <f>+AF51-AF52</f>
        <v>-1.0000000000291038</v>
      </c>
      <c r="AG53" s="117"/>
      <c r="AH53" s="117">
        <f>+AH51-AH52</f>
        <v>-2.999999999996362</v>
      </c>
      <c r="AI53" s="117"/>
      <c r="AJ53" s="117">
        <f>+AJ51-AJ52</f>
        <v>0</v>
      </c>
      <c r="AK53" s="117"/>
      <c r="AL53" s="117">
        <f>+AL51-AL52</f>
        <v>-2.0000000004074536E-2</v>
      </c>
      <c r="AM53" s="117"/>
      <c r="AN53" s="117">
        <f>+AN51-AN52</f>
        <v>2.0000000004074536E-2</v>
      </c>
      <c r="AO53" s="117"/>
      <c r="AP53" s="117">
        <f>+AP51-AP52</f>
        <v>9.0000000000145519E-2</v>
      </c>
      <c r="AQ53" s="117"/>
      <c r="AR53" s="117">
        <f>+AR51-AR52</f>
        <v>0</v>
      </c>
      <c r="AS53" s="117"/>
      <c r="AT53" s="117">
        <f>+AT51-AT52</f>
        <v>0</v>
      </c>
      <c r="AU53" s="117"/>
      <c r="AV53" s="117">
        <f>+AV51-AV52</f>
        <v>-9.999999999490683E-2</v>
      </c>
      <c r="AW53" s="117"/>
      <c r="AX53" s="117">
        <f>+AX51-AX52</f>
        <v>1.0000000009313226E-2</v>
      </c>
      <c r="AY53" s="117"/>
      <c r="AZ53" s="117">
        <f>+AZ51-AZ52</f>
        <v>0</v>
      </c>
      <c r="BA53" s="134"/>
      <c r="BB53" s="117">
        <f>+BB51-BB52</f>
        <v>0</v>
      </c>
      <c r="BC53" s="117"/>
      <c r="BD53" s="117">
        <f>+BD51-BD52</f>
        <v>0</v>
      </c>
      <c r="BE53" s="117"/>
      <c r="BF53" s="117">
        <f>+BF51-BF52</f>
        <v>1.0000000016589183E-2</v>
      </c>
      <c r="BG53" s="117"/>
      <c r="BH53" s="117">
        <f>+BH51-BH52</f>
        <v>0</v>
      </c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</row>
    <row r="54" spans="1:92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18"/>
      <c r="AA54" s="59"/>
      <c r="AB54" s="18"/>
      <c r="AC54" s="59"/>
      <c r="AD54" s="18"/>
      <c r="AE54" s="59"/>
      <c r="AF54" s="18"/>
      <c r="AG54" s="59"/>
      <c r="AH54" s="18"/>
      <c r="AI54" s="59"/>
      <c r="AJ54" s="18"/>
      <c r="AK54" s="59"/>
      <c r="AL54" s="18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59"/>
      <c r="AX54" s="18"/>
      <c r="AY54" s="59"/>
      <c r="AZ54" s="75"/>
      <c r="BA54" s="25"/>
      <c r="BB54" s="18"/>
      <c r="BC54" s="59"/>
      <c r="BD54" s="18"/>
      <c r="BE54" s="59"/>
      <c r="BF54" s="18"/>
      <c r="BG54" s="59"/>
      <c r="BH54" s="18"/>
      <c r="BI54" s="59"/>
      <c r="BJ54" s="18"/>
      <c r="BK54" s="59"/>
      <c r="BL54" s="18"/>
      <c r="BM54" s="59"/>
      <c r="BN54" s="18"/>
      <c r="BO54" s="59"/>
      <c r="BP54" s="18"/>
      <c r="BQ54" s="59"/>
      <c r="BR54" s="18"/>
      <c r="BS54" s="59"/>
      <c r="BT54" s="18"/>
      <c r="BU54" s="59"/>
      <c r="BV54" s="18"/>
      <c r="BW54" s="59"/>
      <c r="BX54" s="18"/>
      <c r="BY54" s="59"/>
      <c r="BZ54" s="18"/>
      <c r="CA54" s="59"/>
      <c r="CB54" s="18"/>
      <c r="CC54" s="59"/>
      <c r="CD54" s="6"/>
      <c r="CE54" s="56"/>
      <c r="CF54" s="6"/>
      <c r="CG54" s="56"/>
      <c r="CH54" s="6"/>
      <c r="CI54" s="56"/>
      <c r="CJ54" s="6"/>
      <c r="CK54" s="56"/>
      <c r="CL54" s="6"/>
      <c r="CM54" s="56"/>
      <c r="CN54" s="6"/>
    </row>
    <row r="55" spans="1:92" x14ac:dyDescent="0.25">
      <c r="A55" s="48"/>
      <c r="B55" s="163"/>
      <c r="C55" s="59"/>
      <c r="D55" s="163"/>
      <c r="E55" s="59"/>
      <c r="F55" s="163"/>
      <c r="G55" s="59"/>
      <c r="H55" s="163"/>
      <c r="I55" s="59"/>
      <c r="J55" s="163"/>
      <c r="K55" s="59"/>
      <c r="L55" s="163"/>
      <c r="M55" s="59"/>
      <c r="N55" s="163"/>
      <c r="O55" s="59"/>
      <c r="P55" s="163"/>
      <c r="Q55" s="59"/>
      <c r="R55" s="18"/>
      <c r="S55" s="59"/>
      <c r="T55" s="141"/>
      <c r="U55" s="59"/>
      <c r="V55" s="141"/>
      <c r="W55" s="59"/>
      <c r="X55" s="163"/>
      <c r="Y55" s="59"/>
      <c r="Z55" s="18"/>
      <c r="AA55" s="59"/>
      <c r="AB55" s="18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59"/>
      <c r="AX55" s="18"/>
      <c r="AY55" s="59"/>
      <c r="AZ55" s="75"/>
      <c r="BA55" s="25"/>
      <c r="BB55" s="18"/>
      <c r="BC55" s="59"/>
      <c r="BD55" s="18"/>
      <c r="BE55" s="59"/>
      <c r="BF55" s="18"/>
      <c r="BG55" s="59"/>
      <c r="BH55" s="18"/>
      <c r="BI55" s="59"/>
      <c r="BJ55" s="18"/>
      <c r="BK55" s="59"/>
      <c r="BL55" s="18"/>
      <c r="BM55" s="59"/>
      <c r="BN55" s="18"/>
      <c r="BO55" s="59"/>
      <c r="BP55" s="18"/>
      <c r="BQ55" s="59"/>
      <c r="BR55" s="18"/>
      <c r="BS55" s="59"/>
      <c r="BT55" s="18"/>
      <c r="BU55" s="59"/>
      <c r="BV55" s="18"/>
      <c r="BW55" s="59"/>
      <c r="BX55" s="18"/>
      <c r="BY55" s="59"/>
      <c r="BZ55" s="18"/>
      <c r="CA55" s="59"/>
      <c r="CB55" s="18"/>
      <c r="CC55" s="59"/>
      <c r="CD55" s="6"/>
      <c r="CE55" s="56"/>
      <c r="CF55" s="6"/>
      <c r="CG55" s="56"/>
      <c r="CH55" s="6"/>
      <c r="CI55" s="56"/>
      <c r="CJ55" s="6"/>
      <c r="CK55" s="56"/>
      <c r="CL55" s="6"/>
      <c r="CM55" s="56"/>
      <c r="CN55" s="6"/>
    </row>
    <row r="56" spans="1:92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1"/>
      <c r="BA56" s="13"/>
      <c r="BB56" s="10"/>
      <c r="BC56" s="12"/>
      <c r="BD56" s="10"/>
      <c r="BE56" s="12"/>
      <c r="BF56" s="10"/>
      <c r="BG56" s="12"/>
      <c r="BH56" s="10"/>
      <c r="BI56" s="12"/>
      <c r="BJ56" s="10"/>
      <c r="BK56" s="12"/>
      <c r="BL56" s="10"/>
      <c r="BM56" s="12"/>
      <c r="BN56" s="10"/>
      <c r="BO56" s="12"/>
      <c r="BP56" s="10"/>
      <c r="BQ56" s="12"/>
      <c r="BR56" s="10"/>
      <c r="BS56" s="12"/>
      <c r="BT56" s="10"/>
      <c r="BU56" s="12"/>
      <c r="BV56" s="10"/>
      <c r="BW56" s="12"/>
      <c r="BX56" s="10"/>
      <c r="BY56" s="12"/>
      <c r="BZ56" s="10"/>
      <c r="CA56" s="12"/>
      <c r="CB56" s="10"/>
      <c r="CC56" s="12"/>
      <c r="CD56" s="10"/>
      <c r="CE56" s="12"/>
      <c r="CF56" s="10"/>
      <c r="CG56" s="12"/>
      <c r="CH56" s="10"/>
      <c r="CI56" s="12"/>
      <c r="CJ56" s="10"/>
      <c r="CK56" s="12"/>
      <c r="CL56" s="10"/>
      <c r="CM56" s="12"/>
      <c r="CN56" s="10"/>
    </row>
    <row r="57" spans="1:92" x14ac:dyDescent="0.25">
      <c r="A57" s="40" t="s">
        <v>4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</row>
    <row r="58" spans="1:92" x14ac:dyDescent="0.25">
      <c r="A58" s="49"/>
      <c r="B58" s="19"/>
      <c r="C58" s="21"/>
      <c r="D58" s="19"/>
      <c r="E58" s="21"/>
      <c r="F58" s="19"/>
      <c r="G58" s="21"/>
      <c r="H58" s="19"/>
      <c r="I58" s="21"/>
      <c r="J58" s="19"/>
      <c r="K58" s="21"/>
      <c r="L58" s="19"/>
      <c r="M58" s="21"/>
      <c r="N58" s="19"/>
      <c r="O58" s="21"/>
      <c r="P58" s="19"/>
      <c r="Q58" s="21"/>
      <c r="R58" s="19"/>
      <c r="S58" s="21"/>
      <c r="T58" s="19"/>
      <c r="U58" s="21"/>
      <c r="V58" s="19"/>
      <c r="W58" s="21"/>
      <c r="X58" s="68"/>
      <c r="Y58" s="21"/>
      <c r="Z58" s="19"/>
      <c r="AA58" s="21"/>
      <c r="AB58" s="19"/>
      <c r="AC58" s="21"/>
      <c r="AD58" s="19"/>
      <c r="AE58" s="21"/>
      <c r="AF58" s="19"/>
      <c r="AG58" s="21"/>
      <c r="AH58" s="19"/>
      <c r="AI58" s="21"/>
      <c r="AJ58" s="19"/>
      <c r="AK58" s="21"/>
      <c r="AL58" s="19"/>
      <c r="AM58" s="21"/>
      <c r="AN58" s="19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68"/>
      <c r="BA58" s="135"/>
      <c r="BB58" s="19"/>
      <c r="BC58" s="21"/>
      <c r="BD58" s="19"/>
      <c r="BE58" s="21"/>
      <c r="BF58" s="19"/>
      <c r="BG58" s="21"/>
      <c r="BH58" s="19"/>
      <c r="BI58" s="21"/>
      <c r="BJ58" s="19"/>
      <c r="BK58" s="21"/>
      <c r="BL58" s="19"/>
      <c r="BM58" s="21"/>
      <c r="BN58" s="68"/>
      <c r="BO58" s="21"/>
      <c r="BP58" s="19"/>
      <c r="BQ58" s="21"/>
      <c r="BR58" s="19"/>
      <c r="BS58" s="21"/>
      <c r="BT58" s="19"/>
      <c r="BU58" s="21"/>
      <c r="BV58" s="19"/>
      <c r="BW58" s="21"/>
      <c r="BX58" s="19"/>
      <c r="BY58" s="21"/>
      <c r="BZ58" s="19"/>
      <c r="CA58" s="21"/>
      <c r="CB58" s="19"/>
      <c r="CC58" s="21"/>
      <c r="CD58" s="19"/>
      <c r="CE58" s="21"/>
      <c r="CF58" s="19"/>
      <c r="CG58" s="21"/>
      <c r="CH58" s="19"/>
      <c r="CI58" s="21"/>
      <c r="CJ58" s="19"/>
      <c r="CK58" s="21"/>
      <c r="CL58" s="19"/>
      <c r="CM58" s="21"/>
      <c r="CN58" s="19"/>
    </row>
    <row r="59" spans="1:92" x14ac:dyDescent="0.25">
      <c r="A59" s="41" t="s">
        <v>5</v>
      </c>
      <c r="B59" s="9">
        <v>20000</v>
      </c>
      <c r="C59" s="15" t="s">
        <v>5205</v>
      </c>
      <c r="D59" s="9"/>
      <c r="E59" s="15"/>
      <c r="F59" s="9">
        <v>3000</v>
      </c>
      <c r="G59" s="15" t="s">
        <v>5261</v>
      </c>
      <c r="H59" s="9">
        <v>2392.9899999999998</v>
      </c>
      <c r="I59" s="15" t="s">
        <v>5328</v>
      </c>
      <c r="J59" s="9">
        <v>9527.02</v>
      </c>
      <c r="K59" s="15" t="s">
        <v>5389</v>
      </c>
      <c r="L59" s="9">
        <v>5000</v>
      </c>
      <c r="M59" s="15" t="s">
        <v>5439</v>
      </c>
      <c r="N59" s="9"/>
      <c r="O59" s="15"/>
      <c r="P59" s="9">
        <v>20000</v>
      </c>
      <c r="Q59" s="15" t="s">
        <v>5495</v>
      </c>
      <c r="R59" s="9">
        <v>1970</v>
      </c>
      <c r="S59" s="15" t="s">
        <v>5537</v>
      </c>
      <c r="T59" s="9">
        <v>4991.13</v>
      </c>
      <c r="U59" s="15" t="s">
        <v>5591</v>
      </c>
      <c r="V59" s="9">
        <v>10000.540000000001</v>
      </c>
      <c r="W59" s="15" t="s">
        <v>5633</v>
      </c>
      <c r="X59" s="9">
        <v>5000</v>
      </c>
      <c r="Y59" s="15" t="s">
        <v>5672</v>
      </c>
      <c r="Z59" s="9">
        <v>254.92</v>
      </c>
      <c r="AA59" s="15" t="s">
        <v>5718</v>
      </c>
      <c r="AB59" s="9"/>
      <c r="AC59" s="15"/>
      <c r="AD59" s="51">
        <v>182.86</v>
      </c>
      <c r="AE59" s="15" t="s">
        <v>5778</v>
      </c>
      <c r="AF59" s="9">
        <v>3249.08</v>
      </c>
      <c r="AG59" s="15" t="s">
        <v>5831</v>
      </c>
      <c r="AH59" s="9">
        <v>11121.85</v>
      </c>
      <c r="AI59" s="15" t="s">
        <v>5884</v>
      </c>
      <c r="AJ59" s="9">
        <v>229.91</v>
      </c>
      <c r="AK59" s="15" t="s">
        <v>5917</v>
      </c>
      <c r="AL59" s="9">
        <v>700</v>
      </c>
      <c r="AM59" s="15" t="s">
        <v>5981</v>
      </c>
      <c r="AN59" s="9">
        <v>1000</v>
      </c>
      <c r="AO59" s="15" t="s">
        <v>6017</v>
      </c>
      <c r="AP59" s="9">
        <v>1970</v>
      </c>
      <c r="AQ59" s="15" t="s">
        <v>6049</v>
      </c>
      <c r="AR59" s="9">
        <v>1970</v>
      </c>
      <c r="AS59" s="15" t="s">
        <v>6116</v>
      </c>
      <c r="AT59" s="9">
        <v>2884.64</v>
      </c>
      <c r="AU59" s="15" t="s">
        <v>6164</v>
      </c>
      <c r="AV59" s="9">
        <v>10000</v>
      </c>
      <c r="AW59" s="15" t="s">
        <v>6221</v>
      </c>
      <c r="AX59" s="9">
        <v>361</v>
      </c>
      <c r="AY59" s="15" t="s">
        <v>6275</v>
      </c>
      <c r="AZ59" s="9">
        <v>1548.99</v>
      </c>
      <c r="BA59" s="15" t="s">
        <v>6305</v>
      </c>
      <c r="BB59" s="9"/>
      <c r="BC59" s="15"/>
      <c r="BD59" s="9">
        <v>1037.72</v>
      </c>
      <c r="BE59" s="15" t="s">
        <v>6355</v>
      </c>
      <c r="BF59">
        <v>5000</v>
      </c>
      <c r="BG59" t="s">
        <v>6432</v>
      </c>
      <c r="BH59" s="9">
        <v>1381.1</v>
      </c>
      <c r="BI59" s="9" t="s">
        <v>6407</v>
      </c>
      <c r="BJ59" s="9"/>
      <c r="BK59" s="15"/>
      <c r="BL59" s="9"/>
      <c r="BM59" s="15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</row>
    <row r="60" spans="1:92" x14ac:dyDescent="0.25">
      <c r="A60" s="41"/>
      <c r="B60" s="9">
        <v>20000</v>
      </c>
      <c r="C60" s="15" t="s">
        <v>5206</v>
      </c>
      <c r="D60" s="9"/>
      <c r="E60" s="15"/>
      <c r="F60" s="9">
        <v>5681.57</v>
      </c>
      <c r="G60" s="15" t="s">
        <v>5263</v>
      </c>
      <c r="H60" s="9">
        <v>5864.07</v>
      </c>
      <c r="I60" s="15" t="s">
        <v>5330</v>
      </c>
      <c r="J60" s="72">
        <v>1217.01</v>
      </c>
      <c r="K60" s="24" t="s">
        <v>5390</v>
      </c>
      <c r="L60" s="9">
        <v>2311.21</v>
      </c>
      <c r="M60" s="15" t="s">
        <v>5440</v>
      </c>
      <c r="N60" s="9"/>
      <c r="O60" s="15"/>
      <c r="P60" s="9">
        <v>1278</v>
      </c>
      <c r="Q60" s="15" t="s">
        <v>5501</v>
      </c>
      <c r="R60" s="9">
        <v>2040</v>
      </c>
      <c r="S60" s="15" t="s">
        <v>5542</v>
      </c>
      <c r="T60" s="9">
        <v>1099.02</v>
      </c>
      <c r="U60" s="15" t="s">
        <v>5599</v>
      </c>
      <c r="V60" s="9">
        <v>1200</v>
      </c>
      <c r="W60" s="15" t="s">
        <v>5643</v>
      </c>
      <c r="X60" s="9">
        <v>20000</v>
      </c>
      <c r="Y60" s="15" t="s">
        <v>5673</v>
      </c>
      <c r="Z60" s="9">
        <v>635</v>
      </c>
      <c r="AA60" s="15" t="s">
        <v>5753</v>
      </c>
      <c r="AB60" s="72"/>
      <c r="AC60" s="15"/>
      <c r="AD60" s="72">
        <v>15000</v>
      </c>
      <c r="AE60" s="26" t="s">
        <v>5799</v>
      </c>
      <c r="AF60" s="9">
        <v>4216</v>
      </c>
      <c r="AG60" s="15" t="s">
        <v>5837</v>
      </c>
      <c r="AH60" s="72">
        <v>1168.99</v>
      </c>
      <c r="AI60" s="15" t="s">
        <v>5898</v>
      </c>
      <c r="AJ60" s="9">
        <v>1645.43</v>
      </c>
      <c r="AK60" s="15" t="s">
        <v>5918</v>
      </c>
      <c r="AL60" s="9">
        <v>1200</v>
      </c>
      <c r="AM60" s="15" t="s">
        <v>5985</v>
      </c>
      <c r="AN60" s="9">
        <v>970</v>
      </c>
      <c r="AO60" s="15" t="s">
        <v>6025</v>
      </c>
      <c r="AP60" s="9">
        <v>1084.95</v>
      </c>
      <c r="AQ60" s="15" t="s">
        <v>6050</v>
      </c>
      <c r="AR60" s="9"/>
      <c r="AS60" s="15"/>
      <c r="AT60" s="9">
        <v>2369.1799999999998</v>
      </c>
      <c r="AU60" s="15" t="s">
        <v>6166</v>
      </c>
      <c r="AV60" s="9">
        <v>741.31</v>
      </c>
      <c r="AW60" s="15" t="s">
        <v>6226</v>
      </c>
      <c r="AX60" s="9">
        <v>1099</v>
      </c>
      <c r="AY60" s="15" t="s">
        <v>6279</v>
      </c>
      <c r="AZ60" s="9">
        <v>1549.01</v>
      </c>
      <c r="BA60" s="15" t="s">
        <v>6306</v>
      </c>
      <c r="BB60" s="9"/>
      <c r="BC60" s="15"/>
      <c r="BD60" s="9">
        <v>2904.53</v>
      </c>
      <c r="BE60" s="15" t="s">
        <v>6356</v>
      </c>
      <c r="BF60">
        <v>1995</v>
      </c>
      <c r="BG60" t="s">
        <v>6433</v>
      </c>
      <c r="BH60" s="9">
        <v>13136</v>
      </c>
      <c r="BI60" s="15" t="s">
        <v>6410</v>
      </c>
      <c r="BJ60" s="9"/>
      <c r="BK60" s="15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</row>
    <row r="61" spans="1:92" x14ac:dyDescent="0.25">
      <c r="A61" s="43"/>
      <c r="B61" s="95">
        <f>+B60+B59</f>
        <v>40000</v>
      </c>
      <c r="C61" s="15"/>
      <c r="D61" s="10"/>
      <c r="E61" s="12"/>
      <c r="F61" s="192">
        <v>20000</v>
      </c>
      <c r="G61" s="12" t="s">
        <v>5264</v>
      </c>
      <c r="H61" s="11">
        <v>1144</v>
      </c>
      <c r="I61" s="13" t="s">
        <v>5331</v>
      </c>
      <c r="J61" s="72">
        <v>1362.48</v>
      </c>
      <c r="K61" s="24" t="s">
        <v>5391</v>
      </c>
      <c r="L61" s="11">
        <v>1970</v>
      </c>
      <c r="M61" s="12" t="s">
        <v>5453</v>
      </c>
      <c r="N61" s="10"/>
      <c r="O61" s="12"/>
      <c r="P61" s="11">
        <v>961</v>
      </c>
      <c r="Q61" s="12" t="s">
        <v>5508</v>
      </c>
      <c r="R61" s="11">
        <v>1169</v>
      </c>
      <c r="S61" s="12" t="s">
        <v>5546</v>
      </c>
      <c r="T61" s="10">
        <v>6129</v>
      </c>
      <c r="U61" s="12" t="s">
        <v>5602</v>
      </c>
      <c r="V61" s="10">
        <v>4465</v>
      </c>
      <c r="W61" s="12" t="s">
        <v>5652</v>
      </c>
      <c r="X61" s="11">
        <v>2015.51</v>
      </c>
      <c r="Y61" s="12" t="s">
        <v>5692</v>
      </c>
      <c r="Z61" s="10">
        <v>78.849999999999994</v>
      </c>
      <c r="AA61" s="12" t="s">
        <v>5763</v>
      </c>
      <c r="AB61" s="120"/>
      <c r="AC61" s="120"/>
      <c r="AD61" s="11">
        <v>3250.01</v>
      </c>
      <c r="AE61" s="12" t="s">
        <v>5804</v>
      </c>
      <c r="AF61" s="111">
        <f>+AF60+AF59</f>
        <v>7465.08</v>
      </c>
      <c r="AG61" s="12"/>
      <c r="AH61" s="87">
        <v>1168.99</v>
      </c>
      <c r="AI61" s="12" t="s">
        <v>5901</v>
      </c>
      <c r="AJ61" s="152">
        <f>+AJ59+AJ60</f>
        <v>1875.3400000000001</v>
      </c>
      <c r="AK61" s="12"/>
      <c r="AL61" s="9">
        <v>40000</v>
      </c>
      <c r="AM61" s="15" t="s">
        <v>5986</v>
      </c>
      <c r="AN61" s="9">
        <v>3238.99</v>
      </c>
      <c r="AO61" s="12" t="s">
        <v>6030</v>
      </c>
      <c r="AP61" s="10">
        <v>3000</v>
      </c>
      <c r="AQ61" s="12" t="s">
        <v>6051</v>
      </c>
      <c r="AR61" s="9">
        <v>20000</v>
      </c>
      <c r="AS61" s="15" t="s">
        <v>6120</v>
      </c>
      <c r="AT61" s="152">
        <f>+AT60+AT59</f>
        <v>5253.82</v>
      </c>
      <c r="AU61" s="12"/>
      <c r="AV61" s="152">
        <f>+AV59+AV60</f>
        <v>10741.31</v>
      </c>
      <c r="AW61" s="12"/>
      <c r="AX61" s="10">
        <v>1099</v>
      </c>
      <c r="AY61" s="12" t="s">
        <v>6290</v>
      </c>
      <c r="AZ61" s="11">
        <v>1169</v>
      </c>
      <c r="BA61" s="13" t="s">
        <v>6309</v>
      </c>
      <c r="BB61" s="10"/>
      <c r="BC61" s="12"/>
      <c r="BD61" s="10">
        <v>360</v>
      </c>
      <c r="BE61" s="12" t="s">
        <v>6357</v>
      </c>
      <c r="BF61" s="95">
        <f>+BF59+BF60</f>
        <v>6995</v>
      </c>
      <c r="BG61" s="15"/>
      <c r="BH61" s="10">
        <v>1099.01</v>
      </c>
      <c r="BI61" s="12" t="s">
        <v>6414</v>
      </c>
      <c r="BJ61" s="161"/>
      <c r="BK61" s="12"/>
      <c r="BL61" s="10"/>
      <c r="BM61" s="12"/>
      <c r="BN61" s="11"/>
      <c r="BO61" s="12"/>
      <c r="BP61" s="10"/>
      <c r="BQ61" s="12"/>
      <c r="BR61" s="10"/>
      <c r="BS61" s="12"/>
      <c r="BT61" s="10"/>
      <c r="BU61" s="12"/>
      <c r="BV61" s="10"/>
      <c r="BW61" s="12"/>
      <c r="BX61" s="10"/>
      <c r="BY61" s="12"/>
      <c r="BZ61" s="10"/>
      <c r="CA61" s="12"/>
      <c r="CB61" s="10"/>
      <c r="CC61" s="12"/>
      <c r="CD61" s="10"/>
      <c r="CE61" s="12"/>
      <c r="CF61" s="10"/>
      <c r="CG61" s="12"/>
      <c r="CH61" s="10"/>
      <c r="CI61" s="12"/>
      <c r="CJ61" s="10"/>
      <c r="CK61" s="12"/>
      <c r="CL61" s="10"/>
      <c r="CM61" s="12"/>
      <c r="CN61" s="10"/>
    </row>
    <row r="62" spans="1:92" x14ac:dyDescent="0.25">
      <c r="A62" s="41"/>
      <c r="B62" s="9"/>
      <c r="C62" s="26"/>
      <c r="D62" s="9"/>
      <c r="E62" s="15"/>
      <c r="F62" s="9">
        <v>1099</v>
      </c>
      <c r="G62" s="15" t="s">
        <v>5276</v>
      </c>
      <c r="H62" s="9">
        <v>4442.67</v>
      </c>
      <c r="I62" s="15" t="s">
        <v>5338</v>
      </c>
      <c r="J62" s="9">
        <v>4639.99</v>
      </c>
      <c r="K62" s="15" t="s">
        <v>5398</v>
      </c>
      <c r="L62" s="9">
        <v>2482.0100000000002</v>
      </c>
      <c r="M62" s="15" t="s">
        <v>5456</v>
      </c>
      <c r="N62" s="9"/>
      <c r="O62" s="15"/>
      <c r="P62" s="9">
        <v>1970</v>
      </c>
      <c r="Q62" s="26" t="s">
        <v>5512</v>
      </c>
      <c r="R62" s="9">
        <v>1168.99</v>
      </c>
      <c r="S62" s="26" t="s">
        <v>5555</v>
      </c>
      <c r="T62" s="9">
        <v>1995</v>
      </c>
      <c r="U62" s="15" t="s">
        <v>5604</v>
      </c>
      <c r="V62" s="9">
        <v>696</v>
      </c>
      <c r="W62" s="15" t="s">
        <v>5656</v>
      </c>
      <c r="X62" s="9">
        <v>3399.99</v>
      </c>
      <c r="Y62" s="26" t="s">
        <v>5694</v>
      </c>
      <c r="Z62" s="95">
        <f>+SUM(Z59:Z61)</f>
        <v>968.77</v>
      </c>
      <c r="AA62" s="15"/>
      <c r="AB62" s="72"/>
      <c r="AC62" s="15"/>
      <c r="AD62" s="9">
        <v>2040</v>
      </c>
      <c r="AE62" s="15" t="s">
        <v>5815</v>
      </c>
      <c r="AF62" s="9"/>
      <c r="AG62" s="15"/>
      <c r="AH62" s="99">
        <f>+AH59+AH60+AH61</f>
        <v>13459.83</v>
      </c>
      <c r="AI62" s="15"/>
      <c r="AJ62" s="9"/>
      <c r="AK62" s="15"/>
      <c r="AL62" s="9">
        <v>1099.01</v>
      </c>
      <c r="AM62" s="15" t="s">
        <v>4629</v>
      </c>
      <c r="AN62" s="9">
        <v>3250.01</v>
      </c>
      <c r="AO62" s="15" t="s">
        <v>6031</v>
      </c>
      <c r="AP62" s="95">
        <f>+SUM(AP59:AP61)</f>
        <v>6054.95</v>
      </c>
      <c r="AQ62" s="15"/>
      <c r="AR62" s="9">
        <v>5000</v>
      </c>
      <c r="AS62" s="15" t="s">
        <v>6121</v>
      </c>
      <c r="AT62" s="9"/>
      <c r="AU62" s="15"/>
      <c r="AV62" s="9"/>
      <c r="AW62" s="15"/>
      <c r="AX62" s="7">
        <v>1970</v>
      </c>
      <c r="AY62" s="26" t="s">
        <v>6296</v>
      </c>
      <c r="AZ62" s="9">
        <v>4465</v>
      </c>
      <c r="BA62" s="15" t="s">
        <v>6310</v>
      </c>
      <c r="BB62" s="9"/>
      <c r="BC62" s="15"/>
      <c r="BD62" s="9">
        <v>3372.49</v>
      </c>
      <c r="BE62" s="15" t="s">
        <v>6358</v>
      </c>
      <c r="BF62" s="7"/>
      <c r="BG62" s="26"/>
      <c r="BH62" s="9">
        <v>432.39</v>
      </c>
      <c r="BI62" s="15" t="s">
        <v>6418</v>
      </c>
      <c r="BJ62" s="9"/>
      <c r="BK62" s="15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</row>
    <row r="63" spans="1:92" x14ac:dyDescent="0.25">
      <c r="A63" s="41"/>
      <c r="B63" s="9"/>
      <c r="C63" s="15"/>
      <c r="D63" s="7"/>
      <c r="E63" s="26"/>
      <c r="F63" s="7">
        <v>9977.86</v>
      </c>
      <c r="G63" s="26" t="s">
        <v>5284</v>
      </c>
      <c r="H63" s="9">
        <v>764</v>
      </c>
      <c r="I63" s="15" t="s">
        <v>5339</v>
      </c>
      <c r="J63" s="9">
        <v>1169</v>
      </c>
      <c r="K63" s="26" t="s">
        <v>5399</v>
      </c>
      <c r="L63" s="9">
        <v>1099.01</v>
      </c>
      <c r="M63" s="26" t="s">
        <v>5458</v>
      </c>
      <c r="N63" s="7"/>
      <c r="O63" s="26"/>
      <c r="P63" s="9">
        <v>4464.99</v>
      </c>
      <c r="Q63" s="15" t="s">
        <v>5515</v>
      </c>
      <c r="R63" s="9">
        <f>12335.73-7500</f>
        <v>4835.7299999999996</v>
      </c>
      <c r="S63" s="26" t="s">
        <v>5569</v>
      </c>
      <c r="T63" s="7">
        <v>3238.99</v>
      </c>
      <c r="U63" s="26" t="s">
        <v>5609</v>
      </c>
      <c r="V63" s="9">
        <v>1169</v>
      </c>
      <c r="W63" s="15" t="s">
        <v>5657</v>
      </c>
      <c r="X63" s="9">
        <v>4395.01</v>
      </c>
      <c r="Y63" s="26" t="s">
        <v>5695</v>
      </c>
      <c r="Z63" s="7"/>
      <c r="AA63" s="26"/>
      <c r="AB63" s="87"/>
      <c r="AC63" s="26"/>
      <c r="AD63" s="9">
        <v>2040</v>
      </c>
      <c r="AE63" s="26" t="s">
        <v>5825</v>
      </c>
      <c r="AF63" s="9"/>
      <c r="AG63" s="26"/>
      <c r="AH63" s="87"/>
      <c r="AI63" s="26"/>
      <c r="AJ63" s="7">
        <v>20000</v>
      </c>
      <c r="AK63" s="26" t="s">
        <v>5930</v>
      </c>
      <c r="AL63" s="9">
        <v>1199</v>
      </c>
      <c r="AM63" s="26" t="s">
        <v>5996</v>
      </c>
      <c r="AN63" s="7">
        <v>2935.99</v>
      </c>
      <c r="AO63" s="26" t="s">
        <v>6032</v>
      </c>
      <c r="AP63" s="7"/>
      <c r="AQ63" s="26"/>
      <c r="AR63" s="7">
        <v>20000</v>
      </c>
      <c r="AS63" s="26" t="s">
        <v>6110</v>
      </c>
      <c r="AT63" s="9">
        <v>4735</v>
      </c>
      <c r="AU63" s="15" t="s">
        <v>6180</v>
      </c>
      <c r="AV63" s="9">
        <v>985</v>
      </c>
      <c r="AW63" s="15" t="s">
        <v>6236</v>
      </c>
      <c r="AX63" s="9">
        <v>416.81</v>
      </c>
      <c r="AY63" s="15" t="s">
        <v>6297</v>
      </c>
      <c r="AZ63" s="9">
        <v>3320</v>
      </c>
      <c r="BA63" s="15" t="s">
        <v>6311</v>
      </c>
      <c r="BB63" s="7"/>
      <c r="BC63" s="26"/>
      <c r="BD63" s="7">
        <v>464</v>
      </c>
      <c r="BE63" s="26" t="s">
        <v>6366</v>
      </c>
      <c r="BF63" s="9"/>
      <c r="BG63" s="15"/>
      <c r="BH63" s="81">
        <f>+SUM(BH59:BH62)</f>
        <v>16048.5</v>
      </c>
      <c r="BI63" s="26"/>
      <c r="BJ63" s="112"/>
      <c r="BK63" s="26"/>
      <c r="BL63" s="7"/>
      <c r="BM63" s="26"/>
      <c r="BN63" s="9"/>
      <c r="BO63" s="26"/>
      <c r="BP63" s="7"/>
      <c r="BQ63" s="26"/>
      <c r="BR63" s="7"/>
      <c r="BS63" s="26"/>
      <c r="BT63" s="7"/>
      <c r="BU63" s="26"/>
      <c r="BV63" s="7"/>
      <c r="BW63" s="26"/>
      <c r="BX63" s="7"/>
      <c r="BY63" s="26"/>
      <c r="BZ63" s="7"/>
      <c r="CA63" s="26"/>
      <c r="CB63" s="7"/>
      <c r="CC63" s="26"/>
      <c r="CD63" s="7"/>
      <c r="CE63" s="26"/>
      <c r="CF63" s="7"/>
      <c r="CG63" s="26"/>
      <c r="CH63" s="7"/>
      <c r="CI63" s="26"/>
      <c r="CJ63" s="7"/>
      <c r="CK63" s="26"/>
      <c r="CL63" s="7"/>
      <c r="CM63" s="26"/>
      <c r="CN63" s="7"/>
    </row>
    <row r="64" spans="1:92" x14ac:dyDescent="0.25">
      <c r="A64" s="41"/>
      <c r="B64" s="9"/>
      <c r="C64" s="15"/>
      <c r="D64" s="9"/>
      <c r="E64" s="15"/>
      <c r="F64" s="9">
        <v>2040</v>
      </c>
      <c r="G64" s="15" t="s">
        <v>5288</v>
      </c>
      <c r="H64" s="9">
        <v>3529</v>
      </c>
      <c r="I64" s="15" t="s">
        <v>5340</v>
      </c>
      <c r="J64" s="9">
        <v>2065</v>
      </c>
      <c r="K64" s="15" t="s">
        <v>5401</v>
      </c>
      <c r="L64" s="9">
        <v>2039.99</v>
      </c>
      <c r="M64" s="15" t="s">
        <v>5459</v>
      </c>
      <c r="N64" s="9"/>
      <c r="O64" s="15"/>
      <c r="P64" s="9">
        <v>1168.99</v>
      </c>
      <c r="Q64" s="15" t="s">
        <v>5517</v>
      </c>
      <c r="R64" s="9">
        <v>5680.03</v>
      </c>
      <c r="S64" s="15" t="s">
        <v>5570</v>
      </c>
      <c r="T64" s="9">
        <v>481.89</v>
      </c>
      <c r="U64" s="15" t="s">
        <v>5614</v>
      </c>
      <c r="V64" s="9">
        <v>1168.99</v>
      </c>
      <c r="W64" s="15" t="s">
        <v>5663</v>
      </c>
      <c r="X64" s="9">
        <v>1169</v>
      </c>
      <c r="Y64" s="15" t="s">
        <v>5697</v>
      </c>
      <c r="Z64" s="9"/>
      <c r="AA64" s="15"/>
      <c r="AB64" s="72"/>
      <c r="AC64" s="15"/>
      <c r="AD64" s="95">
        <f>+SUM(AD60:AD63)</f>
        <v>22330.010000000002</v>
      </c>
      <c r="AE64" s="15"/>
      <c r="AF64" s="9"/>
      <c r="AG64" s="15"/>
      <c r="AH64" s="72">
        <v>18</v>
      </c>
      <c r="AI64" s="15" t="s">
        <v>5904</v>
      </c>
      <c r="AJ64" s="9">
        <v>20000</v>
      </c>
      <c r="AK64" s="15" t="s">
        <v>5931</v>
      </c>
      <c r="AL64" s="9">
        <v>1099.01</v>
      </c>
      <c r="AM64" s="15" t="s">
        <v>5997</v>
      </c>
      <c r="AN64" s="9">
        <v>1963</v>
      </c>
      <c r="AO64" s="15" t="s">
        <v>6035</v>
      </c>
      <c r="AP64" s="9">
        <v>25000</v>
      </c>
      <c r="AQ64" s="15" t="s">
        <v>6074</v>
      </c>
      <c r="AR64" s="137">
        <v>1099.01</v>
      </c>
      <c r="AS64" s="15" t="s">
        <v>6132</v>
      </c>
      <c r="AT64" s="11">
        <v>1970</v>
      </c>
      <c r="AU64" s="13" t="s">
        <v>6188</v>
      </c>
      <c r="AV64" s="11">
        <v>3567.45</v>
      </c>
      <c r="AW64" s="13" t="s">
        <v>6238</v>
      </c>
      <c r="AX64" s="95">
        <f>+SUM(AX58:AX63)</f>
        <v>4945.8100000000004</v>
      </c>
      <c r="AY64" s="15"/>
      <c r="AZ64" s="9">
        <v>2040</v>
      </c>
      <c r="BA64" s="15" t="s">
        <v>6312</v>
      </c>
      <c r="BB64" s="9"/>
      <c r="BC64" s="15"/>
      <c r="BD64" s="9">
        <v>1970</v>
      </c>
      <c r="BE64" s="15" t="s">
        <v>6368</v>
      </c>
      <c r="BF64" s="9"/>
      <c r="BG64" s="15"/>
      <c r="BH64" s="9"/>
      <c r="BI64" s="15"/>
      <c r="BJ64" s="112"/>
      <c r="BK64" s="15"/>
      <c r="BL64" s="15"/>
      <c r="BM64" s="15"/>
      <c r="BN64" s="9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</row>
    <row r="65" spans="1:92" x14ac:dyDescent="0.25">
      <c r="A65" s="41"/>
      <c r="B65" s="9"/>
      <c r="C65" s="15"/>
      <c r="D65" s="15"/>
      <c r="E65" s="15"/>
      <c r="F65" s="9">
        <v>1719</v>
      </c>
      <c r="G65" s="15" t="s">
        <v>5291</v>
      </c>
      <c r="H65" s="9">
        <v>1970</v>
      </c>
      <c r="I65" s="15" t="s">
        <v>5345</v>
      </c>
      <c r="J65" s="72">
        <v>3250</v>
      </c>
      <c r="K65" s="24" t="s">
        <v>5403</v>
      </c>
      <c r="L65" s="95">
        <f>+SUM(L59:L64)</f>
        <v>14902.22</v>
      </c>
      <c r="M65" s="15"/>
      <c r="N65" s="9"/>
      <c r="O65" s="15"/>
      <c r="P65" s="9">
        <v>1099.01</v>
      </c>
      <c r="Q65" s="15" t="s">
        <v>5518</v>
      </c>
      <c r="R65" s="9">
        <v>505.01</v>
      </c>
      <c r="S65" s="15" t="s">
        <v>5578</v>
      </c>
      <c r="T65" s="9">
        <v>2040</v>
      </c>
      <c r="U65" s="15" t="s">
        <v>5616</v>
      </c>
      <c r="V65" s="7">
        <v>1549.9</v>
      </c>
      <c r="W65" s="26" t="s">
        <v>5665</v>
      </c>
      <c r="X65" s="9">
        <v>2863.01</v>
      </c>
      <c r="Y65" s="15" t="s">
        <v>5700</v>
      </c>
      <c r="Z65" s="7"/>
      <c r="AA65" s="26"/>
      <c r="AB65" s="72"/>
      <c r="AC65" s="15"/>
      <c r="AD65" s="9"/>
      <c r="AE65" s="15"/>
      <c r="AF65" s="9"/>
      <c r="AG65" s="15"/>
      <c r="AH65" s="72">
        <v>1099</v>
      </c>
      <c r="AI65" s="15" t="s">
        <v>5906</v>
      </c>
      <c r="AJ65" s="9">
        <v>5000</v>
      </c>
      <c r="AK65" s="15" t="s">
        <v>5933</v>
      </c>
      <c r="AL65" s="9">
        <v>1099.01</v>
      </c>
      <c r="AM65" s="15" t="s">
        <v>6005</v>
      </c>
      <c r="AN65" s="9">
        <v>1970</v>
      </c>
      <c r="AO65" s="15" t="s">
        <v>6037</v>
      </c>
      <c r="AP65" s="9">
        <v>10000</v>
      </c>
      <c r="AQ65" s="15" t="s">
        <v>6077</v>
      </c>
      <c r="AR65" s="9">
        <v>232</v>
      </c>
      <c r="AS65" s="15" t="s">
        <v>6133</v>
      </c>
      <c r="AT65" s="9">
        <v>232</v>
      </c>
      <c r="AU65" s="26" t="s">
        <v>6191</v>
      </c>
      <c r="AV65" s="9">
        <v>4425.01</v>
      </c>
      <c r="AW65" s="26" t="s">
        <v>6243</v>
      </c>
      <c r="AX65" s="9"/>
      <c r="AY65" s="15"/>
      <c r="AZ65" s="11">
        <v>2064.9899999999998</v>
      </c>
      <c r="BA65" s="13" t="s">
        <v>6313</v>
      </c>
      <c r="BB65" s="9"/>
      <c r="BC65" s="15"/>
      <c r="BD65" s="9">
        <v>1519</v>
      </c>
      <c r="BE65" s="15" t="s">
        <v>6376</v>
      </c>
      <c r="BF65" s="9"/>
      <c r="BG65" s="15"/>
      <c r="BH65" s="112">
        <v>20000</v>
      </c>
      <c r="BI65" s="15" t="s">
        <v>6471</v>
      </c>
      <c r="BJ65" s="112"/>
      <c r="BK65" s="15"/>
      <c r="BL65" s="15"/>
      <c r="BM65" s="15"/>
      <c r="BN65" s="9"/>
      <c r="BO65" s="15"/>
      <c r="BP65" s="9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</row>
    <row r="66" spans="1:92" x14ac:dyDescent="0.25">
      <c r="A66" s="41"/>
      <c r="B66" s="11"/>
      <c r="C66" s="13"/>
      <c r="D66" s="9"/>
      <c r="E66" s="15"/>
      <c r="F66" s="9">
        <v>2899.42</v>
      </c>
      <c r="G66" s="15" t="s">
        <v>5293</v>
      </c>
      <c r="H66" s="11">
        <v>1970</v>
      </c>
      <c r="I66" s="13" t="s">
        <v>5353</v>
      </c>
      <c r="J66" s="9">
        <v>6899.02</v>
      </c>
      <c r="K66" s="15" t="s">
        <v>5418</v>
      </c>
      <c r="L66" s="11"/>
      <c r="M66" s="13"/>
      <c r="N66" s="11"/>
      <c r="O66" s="13"/>
      <c r="P66" s="11">
        <v>15948.56</v>
      </c>
      <c r="Q66" s="13" t="s">
        <v>5520</v>
      </c>
      <c r="R66" s="193">
        <v>4395</v>
      </c>
      <c r="S66" s="15" t="s">
        <v>5579</v>
      </c>
      <c r="T66" s="9">
        <v>1970</v>
      </c>
      <c r="U66" s="15" t="s">
        <v>5617</v>
      </c>
      <c r="V66" s="9">
        <v>1316.86</v>
      </c>
      <c r="W66" s="15" t="s">
        <v>5666</v>
      </c>
      <c r="X66" s="11">
        <v>2404.9899999999998</v>
      </c>
      <c r="Y66" s="13" t="s">
        <v>5701</v>
      </c>
      <c r="Z66" s="9"/>
      <c r="AA66" s="26"/>
      <c r="AB66" s="72"/>
      <c r="AC66" s="15"/>
      <c r="AD66" s="9"/>
      <c r="AE66" s="15"/>
      <c r="AF66" s="9"/>
      <c r="AG66" s="15"/>
      <c r="AH66" s="72">
        <v>3320</v>
      </c>
      <c r="AI66" s="15" t="s">
        <v>5909</v>
      </c>
      <c r="AJ66" s="9">
        <v>7632</v>
      </c>
      <c r="AK66" s="15" t="s">
        <v>5941</v>
      </c>
      <c r="AL66" s="111">
        <f>+SUM(AL59:AL65)</f>
        <v>46396.030000000006</v>
      </c>
      <c r="AM66" s="13"/>
      <c r="AN66" s="9">
        <v>2040</v>
      </c>
      <c r="AO66" s="15" t="s">
        <v>6038</v>
      </c>
      <c r="AP66" s="9">
        <v>1169</v>
      </c>
      <c r="AQ66" s="15" t="s">
        <v>6098</v>
      </c>
      <c r="AR66" s="9">
        <v>7320.4</v>
      </c>
      <c r="AS66" s="15" t="s">
        <v>6138</v>
      </c>
      <c r="AT66" s="9">
        <v>1099.01</v>
      </c>
      <c r="AU66" s="26" t="s">
        <v>6194</v>
      </c>
      <c r="AV66" s="9">
        <v>1970</v>
      </c>
      <c r="AW66" s="26" t="s">
        <v>6244</v>
      </c>
      <c r="AX66" s="9">
        <v>1169</v>
      </c>
      <c r="AY66" s="15" t="s">
        <v>6340</v>
      </c>
      <c r="AZ66" s="9">
        <v>3320</v>
      </c>
      <c r="BA66" s="15" t="s">
        <v>6314</v>
      </c>
      <c r="BB66" s="9"/>
      <c r="BC66" s="15"/>
      <c r="BD66" s="11">
        <f>3319.99-50</f>
        <v>3269.99</v>
      </c>
      <c r="BE66" s="13" t="s">
        <v>6377</v>
      </c>
      <c r="BF66" s="15"/>
      <c r="BG66" s="13"/>
      <c r="BH66" s="113">
        <v>527.99</v>
      </c>
      <c r="BI66" s="13" t="s">
        <v>6474</v>
      </c>
      <c r="BJ66" s="112"/>
      <c r="BK66" s="15"/>
      <c r="BL66" s="9"/>
      <c r="BM66" s="15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</row>
    <row r="67" spans="1:92" x14ac:dyDescent="0.25">
      <c r="A67" s="43"/>
      <c r="B67" s="9"/>
      <c r="C67" s="26"/>
      <c r="D67" s="11"/>
      <c r="E67" s="13"/>
      <c r="F67" s="11">
        <v>1970</v>
      </c>
      <c r="G67" s="13" t="s">
        <v>5294</v>
      </c>
      <c r="H67" s="9">
        <v>3320</v>
      </c>
      <c r="I67" s="15" t="s">
        <v>5355</v>
      </c>
      <c r="J67" s="9">
        <v>7145.86</v>
      </c>
      <c r="K67" s="13" t="s">
        <v>5419</v>
      </c>
      <c r="L67" s="9"/>
      <c r="M67" s="26"/>
      <c r="N67" s="7"/>
      <c r="O67" s="26"/>
      <c r="P67" s="9">
        <v>3469.99</v>
      </c>
      <c r="Q67" s="15" t="s">
        <v>5521</v>
      </c>
      <c r="R67" s="11">
        <v>2320</v>
      </c>
      <c r="S67" s="13" t="s">
        <v>5580</v>
      </c>
      <c r="T67" s="11">
        <v>3320</v>
      </c>
      <c r="U67" s="13" t="s">
        <v>5622</v>
      </c>
      <c r="V67" s="95">
        <f>+SUM(V59:V66)</f>
        <v>21566.290000000005</v>
      </c>
      <c r="W67" s="15"/>
      <c r="X67" s="9">
        <v>12160</v>
      </c>
      <c r="Y67" s="26" t="s">
        <v>5707</v>
      </c>
      <c r="Z67" s="11"/>
      <c r="AA67" s="13"/>
      <c r="AB67" s="72"/>
      <c r="AC67" s="13"/>
      <c r="AD67" s="72"/>
      <c r="AE67" s="13"/>
      <c r="AF67" s="11"/>
      <c r="AG67" s="13"/>
      <c r="AH67" s="72">
        <v>3246</v>
      </c>
      <c r="AI67" s="13" t="s">
        <v>5912</v>
      </c>
      <c r="AJ67" s="11">
        <v>4184</v>
      </c>
      <c r="AK67" s="13" t="s">
        <v>5943</v>
      </c>
      <c r="AL67" s="9"/>
      <c r="AM67" s="15"/>
      <c r="AN67" s="11">
        <v>457.35</v>
      </c>
      <c r="AO67" s="13" t="s">
        <v>6043</v>
      </c>
      <c r="AP67" s="9">
        <v>1589</v>
      </c>
      <c r="AQ67" s="15" t="s">
        <v>6099</v>
      </c>
      <c r="AR67" s="11">
        <v>1995</v>
      </c>
      <c r="AS67" s="13" t="s">
        <v>6143</v>
      </c>
      <c r="AT67" s="9">
        <v>4465</v>
      </c>
      <c r="AU67" s="15" t="s">
        <v>6197</v>
      </c>
      <c r="AV67" s="9">
        <v>5000</v>
      </c>
      <c r="AW67" s="15" t="s">
        <v>6245</v>
      </c>
      <c r="AX67" s="11">
        <v>3619</v>
      </c>
      <c r="AY67" s="13" t="s">
        <v>6341</v>
      </c>
      <c r="AZ67" s="9">
        <v>1169</v>
      </c>
      <c r="BA67" s="15" t="s">
        <v>6315</v>
      </c>
      <c r="BB67" s="11"/>
      <c r="BC67" s="13"/>
      <c r="BD67" s="7">
        <f>4263.44-3000</f>
        <v>1263.4399999999996</v>
      </c>
      <c r="BE67" s="26" t="s">
        <v>6378</v>
      </c>
      <c r="BF67" s="9"/>
      <c r="BG67" s="26"/>
      <c r="BH67" s="112">
        <v>1934</v>
      </c>
      <c r="BI67" s="26" t="s">
        <v>6475</v>
      </c>
      <c r="BJ67" s="112"/>
      <c r="BK67" s="26"/>
      <c r="BL67" s="11"/>
      <c r="BM67" s="13"/>
      <c r="BN67" s="11"/>
      <c r="BO67" s="13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</row>
    <row r="68" spans="1:92" x14ac:dyDescent="0.25">
      <c r="A68" s="41"/>
      <c r="B68" s="9"/>
      <c r="C68" s="15"/>
      <c r="D68" s="72"/>
      <c r="E68" s="15"/>
      <c r="F68" s="7">
        <v>2112.64</v>
      </c>
      <c r="G68" s="26" t="s">
        <v>5297</v>
      </c>
      <c r="H68" s="9">
        <v>1169</v>
      </c>
      <c r="I68" s="15" t="s">
        <v>5358</v>
      </c>
      <c r="J68" s="9">
        <v>1970</v>
      </c>
      <c r="K68" s="15" t="s">
        <v>5422</v>
      </c>
      <c r="L68" s="9"/>
      <c r="M68" s="15"/>
      <c r="N68" s="9"/>
      <c r="O68" s="15"/>
      <c r="P68" s="99">
        <f>+SUM(P59:P67)</f>
        <v>50360.539999999994</v>
      </c>
      <c r="Q68" s="15"/>
      <c r="R68" s="9">
        <v>6291.12</v>
      </c>
      <c r="S68" s="26" t="s">
        <v>5581</v>
      </c>
      <c r="T68" s="9">
        <v>1068.06</v>
      </c>
      <c r="U68" s="26" t="s">
        <v>5628</v>
      </c>
      <c r="V68" s="15"/>
      <c r="W68" s="15"/>
      <c r="X68" s="95">
        <f>+SUM(X58:X67)</f>
        <v>53407.51</v>
      </c>
      <c r="Y68" s="15"/>
      <c r="Z68" s="7"/>
      <c r="AA68" s="26"/>
      <c r="AB68" s="87"/>
      <c r="AC68" s="26"/>
      <c r="AD68" s="9"/>
      <c r="AE68" s="26"/>
      <c r="AF68" s="9"/>
      <c r="AG68" s="26"/>
      <c r="AH68" s="72">
        <v>10453</v>
      </c>
      <c r="AI68" s="85" t="s">
        <v>5913</v>
      </c>
      <c r="AJ68" s="9">
        <v>529</v>
      </c>
      <c r="AK68" s="26" t="s">
        <v>5945</v>
      </c>
      <c r="AL68" s="15">
        <v>1970</v>
      </c>
      <c r="AM68" s="15" t="s">
        <v>6063</v>
      </c>
      <c r="AN68" s="7">
        <v>304.92</v>
      </c>
      <c r="AO68" s="26" t="s">
        <v>6044</v>
      </c>
      <c r="AP68" s="7">
        <v>1099</v>
      </c>
      <c r="AQ68" s="26" t="s">
        <v>6102</v>
      </c>
      <c r="AR68" s="9">
        <v>558.01</v>
      </c>
      <c r="AS68" s="15" t="s">
        <v>6145</v>
      </c>
      <c r="AT68" s="9">
        <v>1168.99</v>
      </c>
      <c r="AU68" s="15" t="s">
        <v>6198</v>
      </c>
      <c r="AV68" s="9">
        <f>1680.99-985</f>
        <v>695.99</v>
      </c>
      <c r="AW68" s="15" t="s">
        <v>6249</v>
      </c>
      <c r="AX68" s="95">
        <f>+AX66+AX67</f>
        <v>4788</v>
      </c>
      <c r="AY68" s="26"/>
      <c r="AZ68" s="9">
        <v>2040</v>
      </c>
      <c r="BA68" s="15" t="s">
        <v>6317</v>
      </c>
      <c r="BB68" s="7"/>
      <c r="BC68" s="26"/>
      <c r="BD68" s="9">
        <v>4238.99</v>
      </c>
      <c r="BE68" s="15" t="s">
        <v>6383</v>
      </c>
      <c r="BF68" s="9"/>
      <c r="BG68" s="15"/>
      <c r="BH68" s="112">
        <v>575</v>
      </c>
      <c r="BI68" s="15" t="s">
        <v>6482</v>
      </c>
      <c r="BJ68" s="112"/>
      <c r="BK68" s="15"/>
      <c r="BL68" s="7"/>
      <c r="BM68" s="26"/>
      <c r="BN68" s="9"/>
      <c r="BO68" s="26"/>
      <c r="BP68" s="7"/>
      <c r="BQ68" s="26"/>
      <c r="BR68" s="7"/>
      <c r="BS68" s="26"/>
      <c r="BT68" s="7"/>
      <c r="BU68" s="26"/>
      <c r="BV68" s="7"/>
      <c r="BW68" s="26"/>
      <c r="BX68" s="7"/>
      <c r="BY68" s="26"/>
      <c r="BZ68" s="7"/>
      <c r="CA68" s="26"/>
      <c r="CB68" s="7"/>
      <c r="CC68" s="26"/>
      <c r="CD68" s="7"/>
      <c r="CE68" s="26"/>
      <c r="CF68" s="7"/>
      <c r="CG68" s="26"/>
      <c r="CH68" s="7"/>
      <c r="CI68" s="26"/>
      <c r="CJ68" s="7"/>
      <c r="CK68" s="26"/>
      <c r="CL68" s="7"/>
      <c r="CM68" s="26"/>
      <c r="CN68" s="7"/>
    </row>
    <row r="69" spans="1:92" x14ac:dyDescent="0.25">
      <c r="A69" s="41"/>
      <c r="B69" s="9"/>
      <c r="C69" s="15"/>
      <c r="D69" s="9"/>
      <c r="E69" s="15"/>
      <c r="F69" s="9">
        <v>150</v>
      </c>
      <c r="G69" s="15" t="s">
        <v>5299</v>
      </c>
      <c r="H69" s="9">
        <v>575</v>
      </c>
      <c r="I69" s="15" t="s">
        <v>5359</v>
      </c>
      <c r="J69" s="9">
        <v>1169</v>
      </c>
      <c r="K69" s="15" t="s">
        <v>5423</v>
      </c>
      <c r="L69" s="9"/>
      <c r="M69" s="15"/>
      <c r="N69" s="9"/>
      <c r="O69" s="15"/>
      <c r="P69" s="72"/>
      <c r="Q69" s="15"/>
      <c r="R69" s="9">
        <v>1169</v>
      </c>
      <c r="S69" s="26" t="s">
        <v>5575</v>
      </c>
      <c r="T69" s="9">
        <v>594.41999999999996</v>
      </c>
      <c r="U69" s="15" t="s">
        <v>5629</v>
      </c>
      <c r="V69" s="15"/>
      <c r="W69" s="15"/>
      <c r="X69" s="9"/>
      <c r="Y69" s="15"/>
      <c r="Z69" s="9"/>
      <c r="AA69" s="15"/>
      <c r="AB69" s="72"/>
      <c r="AC69" s="15"/>
      <c r="AD69" s="9"/>
      <c r="AE69" s="15"/>
      <c r="AF69" s="9"/>
      <c r="AG69" s="15"/>
      <c r="AH69" s="99">
        <f>+SUM(AH64:AH68)</f>
        <v>18136</v>
      </c>
      <c r="AI69" s="15"/>
      <c r="AJ69" s="9">
        <v>1169</v>
      </c>
      <c r="AK69" s="15" t="s">
        <v>5947</v>
      </c>
      <c r="AL69" s="15"/>
      <c r="AM69" s="15"/>
      <c r="AN69" s="95">
        <f>+SUM(AN59:AN68)</f>
        <v>18130.259999999995</v>
      </c>
      <c r="AO69" s="15"/>
      <c r="AP69" s="9">
        <v>449.02</v>
      </c>
      <c r="AQ69" s="15" t="s">
        <v>6106</v>
      </c>
      <c r="AR69" s="9">
        <v>1099.01</v>
      </c>
      <c r="AS69" s="15" t="s">
        <v>6147</v>
      </c>
      <c r="AT69" s="9">
        <v>1099.01</v>
      </c>
      <c r="AU69" s="15" t="s">
        <v>6199</v>
      </c>
      <c r="AV69" s="9">
        <v>1970</v>
      </c>
      <c r="AW69" s="15" t="s">
        <v>6254</v>
      </c>
      <c r="AX69" s="9"/>
      <c r="AY69" s="15"/>
      <c r="AZ69" s="9">
        <v>3320</v>
      </c>
      <c r="BA69" s="15" t="s">
        <v>6278</v>
      </c>
      <c r="BB69" s="9"/>
      <c r="BC69" s="15"/>
      <c r="BD69" s="9">
        <v>879.26</v>
      </c>
      <c r="BE69" s="15" t="s">
        <v>6387</v>
      </c>
      <c r="BF69" s="9"/>
      <c r="BG69" s="15"/>
      <c r="BH69" s="112">
        <v>1169</v>
      </c>
      <c r="BI69" s="15" t="s">
        <v>6486</v>
      </c>
      <c r="BJ69" s="112"/>
      <c r="BK69" s="15"/>
      <c r="BL69" s="15"/>
      <c r="BM69" s="15"/>
      <c r="BN69" s="9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</row>
    <row r="70" spans="1:92" x14ac:dyDescent="0.25">
      <c r="A70" s="41"/>
      <c r="B70" s="24"/>
      <c r="C70" s="15"/>
      <c r="D70" s="15"/>
      <c r="E70" s="15"/>
      <c r="F70" s="9">
        <f>6593.54-3354.55</f>
        <v>3238.99</v>
      </c>
      <c r="G70" s="15" t="s">
        <v>5302</v>
      </c>
      <c r="H70" s="9">
        <v>1169</v>
      </c>
      <c r="I70" s="15" t="s">
        <v>5360</v>
      </c>
      <c r="J70" s="9">
        <v>1169</v>
      </c>
      <c r="K70" s="15" t="s">
        <v>5425</v>
      </c>
      <c r="L70" s="9"/>
      <c r="M70" s="15"/>
      <c r="N70" s="9"/>
      <c r="O70" s="15"/>
      <c r="P70" s="9"/>
      <c r="Q70" s="15"/>
      <c r="R70" s="9">
        <v>224.11</v>
      </c>
      <c r="S70" s="26" t="s">
        <v>5586</v>
      </c>
      <c r="T70" s="9">
        <v>628.51</v>
      </c>
      <c r="U70" s="15" t="s">
        <v>5631</v>
      </c>
      <c r="V70" s="9"/>
      <c r="W70" s="15"/>
      <c r="X70" s="9"/>
      <c r="Y70" s="15"/>
      <c r="Z70" s="9"/>
      <c r="AA70" s="15"/>
      <c r="AB70" s="72"/>
      <c r="AC70" s="85"/>
      <c r="AD70" s="9"/>
      <c r="AE70" s="15"/>
      <c r="AF70" s="72"/>
      <c r="AG70" s="24"/>
      <c r="AH70" s="9"/>
      <c r="AI70" s="15"/>
      <c r="AJ70" s="9">
        <v>4168.99</v>
      </c>
      <c r="AK70" s="15" t="s">
        <v>5954</v>
      </c>
      <c r="AL70" s="9"/>
      <c r="AM70" s="15"/>
      <c r="AN70" s="9"/>
      <c r="AO70" s="15"/>
      <c r="AP70" s="95">
        <f>+SUM(AP64:AP69)</f>
        <v>39306.019999999997</v>
      </c>
      <c r="AQ70" s="15"/>
      <c r="AR70" s="9">
        <v>659.94</v>
      </c>
      <c r="AS70" s="15" t="s">
        <v>6153</v>
      </c>
      <c r="AT70" s="72">
        <v>1469</v>
      </c>
      <c r="AU70" s="15" t="s">
        <v>6203</v>
      </c>
      <c r="AV70" s="72">
        <v>944.88</v>
      </c>
      <c r="AW70" s="15" t="s">
        <v>6258</v>
      </c>
      <c r="AX70" s="9"/>
      <c r="AY70" s="15"/>
      <c r="AZ70" s="9">
        <v>211.03</v>
      </c>
      <c r="BA70" s="15" t="s">
        <v>6328</v>
      </c>
      <c r="BB70" s="9"/>
      <c r="BC70" s="15"/>
      <c r="BD70" s="9">
        <v>540.33000000000004</v>
      </c>
      <c r="BE70" s="15" t="s">
        <v>6388</v>
      </c>
      <c r="BF70" s="72"/>
      <c r="BG70" s="15"/>
      <c r="BH70" s="112">
        <v>2460</v>
      </c>
      <c r="BI70" s="15" t="s">
        <v>6489</v>
      </c>
      <c r="BJ70" s="112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</row>
    <row r="71" spans="1:92" x14ac:dyDescent="0.25">
      <c r="A71" s="41"/>
      <c r="B71" s="24"/>
      <c r="C71" s="15"/>
      <c r="D71" s="15"/>
      <c r="E71" s="15"/>
      <c r="F71" s="9">
        <v>4465</v>
      </c>
      <c r="G71" s="15" t="s">
        <v>5304</v>
      </c>
      <c r="H71" s="72">
        <v>3250.01</v>
      </c>
      <c r="I71" s="24" t="s">
        <v>5363</v>
      </c>
      <c r="J71" s="9">
        <v>1099</v>
      </c>
      <c r="K71" s="15" t="s">
        <v>5430</v>
      </c>
      <c r="L71" s="72"/>
      <c r="M71" s="15"/>
      <c r="N71" s="72"/>
      <c r="O71" s="15"/>
      <c r="P71" s="9"/>
      <c r="Q71" s="15"/>
      <c r="R71" s="95">
        <f>+SUM(R59:R70)</f>
        <v>31767.989999999998</v>
      </c>
      <c r="S71" s="15"/>
      <c r="T71" s="95">
        <f>+SUM(T59:T70)</f>
        <v>27556.019999999997</v>
      </c>
      <c r="U71" s="15"/>
      <c r="V71" s="9"/>
      <c r="W71" s="15"/>
      <c r="X71" s="9"/>
      <c r="Y71" s="9"/>
      <c r="Z71" s="9"/>
      <c r="AA71" s="15"/>
      <c r="AB71" s="72"/>
      <c r="AC71" s="15"/>
      <c r="AD71" s="9"/>
      <c r="AE71" s="15"/>
      <c r="AF71" s="9"/>
      <c r="AG71" s="15"/>
      <c r="AH71" s="72"/>
      <c r="AI71" s="15"/>
      <c r="AJ71" s="9">
        <v>3983.99</v>
      </c>
      <c r="AK71" s="15" t="s">
        <v>5955</v>
      </c>
      <c r="AL71" s="9"/>
      <c r="AM71" s="15"/>
      <c r="AN71" s="9"/>
      <c r="AO71" s="15"/>
      <c r="AP71" s="9"/>
      <c r="AQ71" s="15"/>
      <c r="AR71" s="9">
        <v>628.51</v>
      </c>
      <c r="AS71" s="15" t="s">
        <v>6154</v>
      </c>
      <c r="AT71" s="9">
        <v>2272</v>
      </c>
      <c r="AU71" s="15" t="s">
        <v>6214</v>
      </c>
      <c r="AV71" s="9">
        <v>527.57000000000005</v>
      </c>
      <c r="AW71" s="15" t="s">
        <v>6259</v>
      </c>
      <c r="AX71" s="9"/>
      <c r="AY71" s="15"/>
      <c r="AZ71" s="95">
        <f>+SUM(AZ59:AZ70)</f>
        <v>26217.019999999997</v>
      </c>
      <c r="BA71" s="15"/>
      <c r="BB71" s="137"/>
      <c r="BC71" s="15"/>
      <c r="BD71" s="9">
        <v>1129.17</v>
      </c>
      <c r="BE71" s="15" t="s">
        <v>6389</v>
      </c>
      <c r="BF71" s="72"/>
      <c r="BG71" s="15"/>
      <c r="BH71" s="112">
        <v>2039.99</v>
      </c>
      <c r="BI71" s="15" t="s">
        <v>6487</v>
      </c>
      <c r="BJ71" s="112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</row>
    <row r="72" spans="1:92" x14ac:dyDescent="0.25">
      <c r="A72" s="41"/>
      <c r="B72" s="15"/>
      <c r="C72" s="15"/>
      <c r="D72" s="15"/>
      <c r="E72" s="15"/>
      <c r="F72" s="9">
        <v>1169</v>
      </c>
      <c r="G72" s="15" t="s">
        <v>5306</v>
      </c>
      <c r="H72" s="9">
        <v>1168.99</v>
      </c>
      <c r="I72" s="15" t="s">
        <v>5365</v>
      </c>
      <c r="J72" s="9">
        <v>1075.3399999999999</v>
      </c>
      <c r="K72" s="15" t="s">
        <v>5433</v>
      </c>
      <c r="L72" s="15"/>
      <c r="M72" s="15"/>
      <c r="N72" s="72"/>
      <c r="O72" s="15"/>
      <c r="P72" s="9"/>
      <c r="Q72" s="15"/>
      <c r="R72" s="9"/>
      <c r="S72" s="15"/>
      <c r="T72" s="9"/>
      <c r="U72" s="15"/>
      <c r="V72" s="9"/>
      <c r="W72" s="15"/>
      <c r="X72" s="9"/>
      <c r="Y72" s="15"/>
      <c r="Z72" s="9"/>
      <c r="AA72" s="15"/>
      <c r="AB72" s="9"/>
      <c r="AC72" s="15"/>
      <c r="AD72" s="9"/>
      <c r="AE72" s="15"/>
      <c r="AF72" s="9"/>
      <c r="AG72" s="15"/>
      <c r="AH72" s="72"/>
      <c r="AI72" s="15"/>
      <c r="AJ72" s="9">
        <v>1099</v>
      </c>
      <c r="AK72" s="15" t="s">
        <v>5957</v>
      </c>
      <c r="AL72" s="9"/>
      <c r="AM72" s="15"/>
      <c r="AN72" s="9"/>
      <c r="AO72" s="15"/>
      <c r="AP72" s="9"/>
      <c r="AQ72" s="15"/>
      <c r="AR72" s="95">
        <f>+SUM(AR61:AR71)</f>
        <v>58591.880000000012</v>
      </c>
      <c r="AS72" s="15"/>
      <c r="AT72" s="9">
        <v>3319.99</v>
      </c>
      <c r="AU72" s="15" t="s">
        <v>6215</v>
      </c>
      <c r="AV72" s="9">
        <v>1477.2</v>
      </c>
      <c r="AW72" s="15" t="s">
        <v>6260</v>
      </c>
      <c r="AX72" s="9"/>
      <c r="AY72" s="15"/>
      <c r="AZ72" s="9"/>
      <c r="BA72" s="15"/>
      <c r="BB72" s="133"/>
      <c r="BC72" s="15"/>
      <c r="BD72" s="95">
        <f>+SUM(BD59:BD71)</f>
        <v>22948.92</v>
      </c>
      <c r="BE72" s="15"/>
      <c r="BF72" s="9"/>
      <c r="BG72" s="15"/>
      <c r="BH72" s="112">
        <v>1169</v>
      </c>
      <c r="BI72" s="15" t="s">
        <v>6491</v>
      </c>
      <c r="BJ72" s="112"/>
      <c r="BK72" s="15"/>
      <c r="BL72" s="15"/>
      <c r="BM72" s="15"/>
      <c r="BN72" s="9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</row>
    <row r="73" spans="1:92" x14ac:dyDescent="0.25">
      <c r="A73" s="41"/>
      <c r="B73" s="9"/>
      <c r="C73" s="15"/>
      <c r="D73" s="9"/>
      <c r="E73" s="15"/>
      <c r="F73" s="9">
        <v>1169</v>
      </c>
      <c r="G73" s="15" t="s">
        <v>5308</v>
      </c>
      <c r="H73" s="9">
        <f>6365-4200</f>
        <v>2165</v>
      </c>
      <c r="I73" s="15" t="s">
        <v>5361</v>
      </c>
      <c r="J73" s="9">
        <v>254.92</v>
      </c>
      <c r="K73" s="15" t="s">
        <v>5434</v>
      </c>
      <c r="L73" s="9"/>
      <c r="M73" s="15"/>
      <c r="N73" s="72"/>
      <c r="O73" s="15"/>
      <c r="P73" s="9"/>
      <c r="Q73" s="15"/>
      <c r="R73" s="9"/>
      <c r="S73" s="15"/>
      <c r="T73" s="9"/>
      <c r="U73" s="15"/>
      <c r="V73" s="9"/>
      <c r="W73" s="15"/>
      <c r="X73" s="9"/>
      <c r="Y73" s="15"/>
      <c r="Z73" s="15"/>
      <c r="AA73" s="15"/>
      <c r="AB73" s="9"/>
      <c r="AC73" s="15"/>
      <c r="AD73" s="9"/>
      <c r="AE73" s="15"/>
      <c r="AF73" s="15"/>
      <c r="AG73" s="15"/>
      <c r="AH73" s="15"/>
      <c r="AI73" s="15"/>
      <c r="AJ73" s="9">
        <v>3208.99</v>
      </c>
      <c r="AK73" s="15" t="s">
        <v>5958</v>
      </c>
      <c r="AL73" s="9"/>
      <c r="AM73" s="15"/>
      <c r="AN73" s="9"/>
      <c r="AO73" s="15"/>
      <c r="AP73" s="15"/>
      <c r="AQ73" s="15"/>
      <c r="AR73" s="9"/>
      <c r="AS73" s="15"/>
      <c r="AT73" s="95">
        <f>+SUM(AT63:AT72)</f>
        <v>21830</v>
      </c>
      <c r="AU73" s="15"/>
      <c r="AV73" s="95">
        <f>+SUM(AV63:AV72)</f>
        <v>21563.100000000002</v>
      </c>
      <c r="AW73" s="15"/>
      <c r="AX73" s="24"/>
      <c r="AY73" s="15"/>
      <c r="AZ73" s="9"/>
      <c r="BA73" s="15"/>
      <c r="BB73" s="9"/>
      <c r="BC73" s="15"/>
      <c r="BD73" s="9"/>
      <c r="BE73" s="15"/>
      <c r="BF73" s="9"/>
      <c r="BG73" s="15"/>
      <c r="BH73" s="112">
        <v>1970</v>
      </c>
      <c r="BI73" s="15" t="s">
        <v>6492</v>
      </c>
      <c r="BJ73" s="112"/>
      <c r="BK73" s="26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</row>
    <row r="74" spans="1:92" x14ac:dyDescent="0.25">
      <c r="A74" s="41"/>
      <c r="B74" s="9"/>
      <c r="C74" s="15"/>
      <c r="D74" s="9"/>
      <c r="E74" s="15"/>
      <c r="F74" s="9">
        <v>635</v>
      </c>
      <c r="G74" s="15" t="s">
        <v>5309</v>
      </c>
      <c r="H74" s="95">
        <f>+SUM(H59:H73)</f>
        <v>34893.729999999996</v>
      </c>
      <c r="I74" s="15"/>
      <c r="J74" s="95">
        <f>+SUM(J58:J73)</f>
        <v>44012.639999999992</v>
      </c>
      <c r="K74" s="15"/>
      <c r="L74" s="15"/>
      <c r="M74" s="15"/>
      <c r="N74" s="9"/>
      <c r="O74" s="15"/>
      <c r="P74" s="15"/>
      <c r="Q74" s="15"/>
      <c r="R74" s="9"/>
      <c r="S74" s="15"/>
      <c r="T74" s="9"/>
      <c r="U74" s="15"/>
      <c r="V74" s="9"/>
      <c r="W74" s="15"/>
      <c r="X74" s="15"/>
      <c r="Y74" s="15"/>
      <c r="Z74" s="15"/>
      <c r="AA74" s="15"/>
      <c r="AB74" s="9"/>
      <c r="AC74" s="15"/>
      <c r="AD74" s="9"/>
      <c r="AE74" s="15"/>
      <c r="AF74" s="9"/>
      <c r="AG74" s="15"/>
      <c r="AH74" s="72"/>
      <c r="AI74" s="15"/>
      <c r="AJ74" s="9">
        <v>5361</v>
      </c>
      <c r="AK74" s="15" t="s">
        <v>5961</v>
      </c>
      <c r="AL74" s="9"/>
      <c r="AM74" s="15"/>
      <c r="AN74" s="9"/>
      <c r="AO74" s="15"/>
      <c r="AP74" s="9"/>
      <c r="AQ74" s="15"/>
      <c r="AR74" s="9"/>
      <c r="AS74" s="15"/>
      <c r="AT74" s="15">
        <v>24497.73</v>
      </c>
      <c r="AU74" s="15"/>
      <c r="AV74" s="9"/>
      <c r="AW74" s="15"/>
      <c r="AX74" s="9"/>
      <c r="AY74" s="15"/>
      <c r="AZ74" s="9"/>
      <c r="BA74" s="15"/>
      <c r="BB74" s="9"/>
      <c r="BC74" s="15"/>
      <c r="BD74" s="9">
        <v>50</v>
      </c>
      <c r="BE74" s="15" t="s">
        <v>6391</v>
      </c>
      <c r="BF74" s="9"/>
      <c r="BG74" s="15"/>
      <c r="BH74" s="112">
        <v>1969.99</v>
      </c>
      <c r="BI74" s="15" t="s">
        <v>6495</v>
      </c>
      <c r="BJ74" s="112"/>
      <c r="BK74" s="15"/>
      <c r="BL74" s="9"/>
      <c r="BM74" s="15"/>
      <c r="BN74" s="15"/>
      <c r="BO74" s="15"/>
      <c r="BP74" s="9"/>
      <c r="BQ74" s="15"/>
      <c r="BR74" s="9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</row>
    <row r="75" spans="1:92" x14ac:dyDescent="0.25">
      <c r="A75" s="41"/>
      <c r="B75" s="9"/>
      <c r="C75" s="15"/>
      <c r="D75" s="9"/>
      <c r="E75" s="15"/>
      <c r="F75" s="9">
        <v>1836.94</v>
      </c>
      <c r="G75" s="15" t="s">
        <v>5319</v>
      </c>
      <c r="H75" s="9"/>
      <c r="I75" s="15"/>
      <c r="J75" s="15"/>
      <c r="K75" s="15"/>
      <c r="L75" s="9"/>
      <c r="M75" s="15"/>
      <c r="N75" s="9"/>
      <c r="O75" s="15"/>
      <c r="P75" s="15"/>
      <c r="Q75" s="15"/>
      <c r="R75" s="9"/>
      <c r="S75" s="15"/>
      <c r="T75" s="9"/>
      <c r="U75" s="15"/>
      <c r="V75" s="133"/>
      <c r="W75" s="120"/>
      <c r="X75" s="9"/>
      <c r="Y75" s="9"/>
      <c r="Z75" s="9"/>
      <c r="AA75" s="15"/>
      <c r="AB75" s="9"/>
      <c r="AC75" s="15"/>
      <c r="AD75" s="9"/>
      <c r="AE75" s="15"/>
      <c r="AF75" s="9"/>
      <c r="AG75" s="15"/>
      <c r="AH75" s="72"/>
      <c r="AI75" s="15"/>
      <c r="AJ75" s="7">
        <v>1963.01</v>
      </c>
      <c r="AK75" s="26" t="s">
        <v>5967</v>
      </c>
      <c r="AL75" s="15"/>
      <c r="AM75" s="15"/>
      <c r="AN75" s="9"/>
      <c r="AO75" s="15"/>
      <c r="AP75" s="24"/>
      <c r="AQ75" s="15"/>
      <c r="AR75" s="15"/>
      <c r="AS75" s="15"/>
      <c r="AT75" s="15">
        <f>+AT74-AT73</f>
        <v>2667.7299999999996</v>
      </c>
      <c r="AU75" s="15"/>
      <c r="AV75" s="15"/>
      <c r="AW75" s="15"/>
      <c r="AX75" s="9"/>
      <c r="AY75" s="15"/>
      <c r="AZ75" s="9"/>
      <c r="BA75" s="15"/>
      <c r="BB75" s="9"/>
      <c r="BC75" s="15"/>
      <c r="BD75" s="7">
        <v>2499.92</v>
      </c>
      <c r="BE75" s="26" t="s">
        <v>6394</v>
      </c>
      <c r="BF75" s="9"/>
      <c r="BG75" s="15"/>
      <c r="BH75" s="112">
        <v>3250</v>
      </c>
      <c r="BI75" s="15" t="s">
        <v>6497</v>
      </c>
      <c r="BJ75" s="112"/>
      <c r="BK75" s="15"/>
      <c r="BL75" s="9"/>
      <c r="BM75" s="15"/>
      <c r="BN75" s="15"/>
      <c r="BO75" s="15"/>
      <c r="BP75" s="9"/>
      <c r="BQ75" s="15"/>
      <c r="BR75" s="9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</row>
    <row r="76" spans="1:92" x14ac:dyDescent="0.25">
      <c r="A76" s="41"/>
      <c r="B76" s="9"/>
      <c r="C76" s="15"/>
      <c r="D76" s="9"/>
      <c r="E76" s="15"/>
      <c r="F76" s="95">
        <f>+SUM(F58:F75)</f>
        <v>63163.42</v>
      </c>
      <c r="G76" s="15"/>
      <c r="H76" s="15"/>
      <c r="I76" s="15"/>
      <c r="J76" s="15"/>
      <c r="K76" s="9"/>
      <c r="L76" s="9"/>
      <c r="M76" s="15"/>
      <c r="N76" s="15"/>
      <c r="O76" s="15"/>
      <c r="P76" s="9"/>
      <c r="Q76" s="15"/>
      <c r="R76" s="9"/>
      <c r="S76" s="15"/>
      <c r="T76" s="9"/>
      <c r="U76" s="15"/>
      <c r="V76" s="120"/>
      <c r="W76" s="120"/>
      <c r="X76" s="9"/>
      <c r="Y76" s="15"/>
      <c r="Z76" s="9"/>
      <c r="AA76" s="15"/>
      <c r="AB76" s="9"/>
      <c r="AC76" s="15"/>
      <c r="AD76" s="9"/>
      <c r="AE76" s="15"/>
      <c r="AF76" s="9"/>
      <c r="AG76" s="15"/>
      <c r="AH76" s="72"/>
      <c r="AI76" s="15"/>
      <c r="AJ76" s="72">
        <v>1169</v>
      </c>
      <c r="AK76" s="15" t="s">
        <v>5969</v>
      </c>
      <c r="AL76" s="9"/>
      <c r="AM76" s="15"/>
      <c r="AN76" s="15"/>
      <c r="AO76" s="15"/>
      <c r="AP76" s="9"/>
      <c r="AQ76" s="15"/>
      <c r="AR76" s="9"/>
      <c r="AS76" s="15"/>
      <c r="AT76" s="9"/>
      <c r="AU76" s="15"/>
      <c r="AV76" s="9"/>
      <c r="AW76" s="15"/>
      <c r="AX76" s="9"/>
      <c r="AY76" s="15"/>
      <c r="AZ76" s="9"/>
      <c r="BA76" s="26"/>
      <c r="BB76" s="15"/>
      <c r="BC76" s="15"/>
      <c r="BD76" s="72">
        <v>1449</v>
      </c>
      <c r="BE76" s="15" t="s">
        <v>6399</v>
      </c>
      <c r="BF76" s="9"/>
      <c r="BG76" s="15"/>
      <c r="BH76" s="112">
        <f>3141.36-464</f>
        <v>2677.36</v>
      </c>
      <c r="BI76" s="15" t="s">
        <v>6500</v>
      </c>
      <c r="BJ76" s="162"/>
      <c r="BK76" s="15"/>
      <c r="BL76" s="9"/>
      <c r="BM76" s="15"/>
      <c r="BN76" s="9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</row>
    <row r="77" spans="1:92" x14ac:dyDescent="0.25">
      <c r="A77" s="41"/>
      <c r="B77" s="9"/>
      <c r="C77" s="15"/>
      <c r="D77" s="9"/>
      <c r="E77" s="15"/>
      <c r="F77" s="95"/>
      <c r="G77" s="15"/>
      <c r="H77" s="9"/>
      <c r="I77" s="15"/>
      <c r="J77" s="9"/>
      <c r="K77" s="9"/>
      <c r="L77" s="9"/>
      <c r="M77" s="15"/>
      <c r="N77" s="9"/>
      <c r="O77" s="15"/>
      <c r="P77" s="9"/>
      <c r="Q77" s="15"/>
      <c r="R77" s="9"/>
      <c r="S77" s="15"/>
      <c r="T77" s="9"/>
      <c r="U77" s="15"/>
      <c r="V77" s="120"/>
      <c r="W77" s="120"/>
      <c r="X77" s="9"/>
      <c r="Y77" s="15"/>
      <c r="Z77" s="9"/>
      <c r="AA77" s="15"/>
      <c r="AB77" s="9"/>
      <c r="AC77" s="15"/>
      <c r="AD77" s="9"/>
      <c r="AE77" s="15"/>
      <c r="AF77" s="9"/>
      <c r="AG77" s="15"/>
      <c r="AH77" s="72"/>
      <c r="AI77" s="15"/>
      <c r="AJ77" s="9">
        <v>4238.99</v>
      </c>
      <c r="AK77" s="15" t="s">
        <v>5970</v>
      </c>
      <c r="AL77" s="9"/>
      <c r="AM77" s="15"/>
      <c r="AN77" s="15"/>
      <c r="AO77" s="15"/>
      <c r="AP77" s="9"/>
      <c r="AQ77" s="15"/>
      <c r="AR77" s="24"/>
      <c r="AS77" s="15"/>
      <c r="AT77" s="9"/>
      <c r="AU77" s="15"/>
      <c r="AV77" s="9"/>
      <c r="AW77" s="15"/>
      <c r="AX77" s="9"/>
      <c r="AY77" s="15"/>
      <c r="AZ77" s="15"/>
      <c r="BA77" s="15"/>
      <c r="BB77" s="9"/>
      <c r="BC77" s="15"/>
      <c r="BD77" s="99">
        <f>+BD76+BD75+BD74</f>
        <v>3998.92</v>
      </c>
      <c r="BE77" s="15"/>
      <c r="BF77" s="9"/>
      <c r="BG77" s="15"/>
      <c r="BH77" s="112">
        <v>1169</v>
      </c>
      <c r="BI77" s="15" t="s">
        <v>6501</v>
      </c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</row>
    <row r="78" spans="1:92" x14ac:dyDescent="0.25">
      <c r="A78" s="41"/>
      <c r="B78" s="9"/>
      <c r="C78" s="15"/>
      <c r="D78" s="9"/>
      <c r="E78" s="15"/>
      <c r="F78" s="9"/>
      <c r="G78" s="15"/>
      <c r="H78" s="9"/>
      <c r="I78" s="15"/>
      <c r="J78" s="9"/>
      <c r="K78" s="15"/>
      <c r="L78" s="9"/>
      <c r="M78" s="15"/>
      <c r="N78" s="24"/>
      <c r="O78" s="15"/>
      <c r="P78" s="15"/>
      <c r="Q78" s="15"/>
      <c r="R78" s="9"/>
      <c r="S78" s="15"/>
      <c r="T78" s="9"/>
      <c r="U78" s="15"/>
      <c r="V78" s="9"/>
      <c r="W78" s="15"/>
      <c r="X78" s="9"/>
      <c r="Y78" s="15"/>
      <c r="Z78" s="9"/>
      <c r="AA78" s="15"/>
      <c r="AB78" s="9"/>
      <c r="AC78" s="15"/>
      <c r="AD78" s="9"/>
      <c r="AE78" s="15"/>
      <c r="AF78" s="9"/>
      <c r="AG78" s="15"/>
      <c r="AH78" s="72"/>
      <c r="AI78" s="15"/>
      <c r="AJ78" s="9">
        <v>2320</v>
      </c>
      <c r="AK78" s="15" t="s">
        <v>5974</v>
      </c>
      <c r="AL78" s="9"/>
      <c r="AM78" s="15"/>
      <c r="AN78" s="9"/>
      <c r="AO78" s="15"/>
      <c r="AP78" s="9"/>
      <c r="AQ78" s="15"/>
      <c r="AR78" s="9"/>
      <c r="AS78" s="15"/>
      <c r="AT78" s="133"/>
      <c r="AU78" s="15"/>
      <c r="AV78" s="133"/>
      <c r="AW78" s="15"/>
      <c r="AX78" s="9"/>
      <c r="AY78" s="15"/>
      <c r="AZ78" s="133"/>
      <c r="BA78" s="15"/>
      <c r="BB78" s="9"/>
      <c r="BC78" s="15"/>
      <c r="BD78" s="9"/>
      <c r="BE78" s="15"/>
      <c r="BF78" s="9"/>
      <c r="BG78" s="15"/>
      <c r="BH78" s="112">
        <v>307.76</v>
      </c>
      <c r="BI78" s="15" t="s">
        <v>6504</v>
      </c>
      <c r="BJ78" s="9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</row>
    <row r="79" spans="1:92" x14ac:dyDescent="0.25">
      <c r="A79" s="41"/>
      <c r="B79" s="9"/>
      <c r="C79" s="15"/>
      <c r="D79" s="9"/>
      <c r="E79" s="15"/>
      <c r="F79" s="9"/>
      <c r="G79" s="15"/>
      <c r="H79" s="9"/>
      <c r="I79" s="15"/>
      <c r="J79" s="9"/>
      <c r="K79" s="15"/>
      <c r="L79" s="9"/>
      <c r="M79" s="15"/>
      <c r="N79" s="9"/>
      <c r="O79" s="15"/>
      <c r="P79" s="9"/>
      <c r="Q79" s="15"/>
      <c r="R79" s="9"/>
      <c r="S79" s="15"/>
      <c r="T79" s="9"/>
      <c r="U79" s="15"/>
      <c r="V79" s="9"/>
      <c r="W79" s="15"/>
      <c r="X79" s="9"/>
      <c r="Y79" s="15"/>
      <c r="Z79" s="9"/>
      <c r="AA79" s="15"/>
      <c r="AB79" s="9"/>
      <c r="AC79" s="15"/>
      <c r="AD79" s="9"/>
      <c r="AE79" s="15"/>
      <c r="AF79" s="15"/>
      <c r="AG79" s="15"/>
      <c r="AH79" s="72"/>
      <c r="AI79" s="15"/>
      <c r="AJ79" s="95">
        <f>+SUM(AJ62:AJ78)</f>
        <v>86026.97</v>
      </c>
      <c r="AK79" s="15"/>
      <c r="AL79" s="9"/>
      <c r="AM79" s="15"/>
      <c r="AN79" s="9"/>
      <c r="AO79" s="15"/>
      <c r="AP79" s="9"/>
      <c r="AQ79" s="15"/>
      <c r="AR79" s="120"/>
      <c r="AS79" s="120"/>
      <c r="AT79" s="9"/>
      <c r="AU79" s="15"/>
      <c r="AV79" s="9"/>
      <c r="AW79" s="15"/>
      <c r="AX79" s="9"/>
      <c r="AY79" s="15"/>
      <c r="AZ79" s="24"/>
      <c r="BA79" s="15"/>
      <c r="BB79" s="9"/>
      <c r="BC79" s="15"/>
      <c r="BD79" s="9"/>
      <c r="BE79" s="15"/>
      <c r="BF79" s="15"/>
      <c r="BG79" s="15"/>
      <c r="BH79" s="112">
        <f>25504.69-20000</f>
        <v>5504.6899999999987</v>
      </c>
      <c r="BI79" s="15" t="s">
        <v>6505</v>
      </c>
      <c r="BJ79" s="9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</row>
    <row r="80" spans="1:92" x14ac:dyDescent="0.25">
      <c r="A80" s="41"/>
      <c r="B80" s="9"/>
      <c r="C80" s="15"/>
      <c r="D80" s="9"/>
      <c r="E80" s="15"/>
      <c r="F80" s="24"/>
      <c r="G80" s="15"/>
      <c r="H80" s="9"/>
      <c r="I80" s="15"/>
      <c r="J80" s="9"/>
      <c r="K80" s="15"/>
      <c r="L80" s="9"/>
      <c r="M80" s="15"/>
      <c r="N80" s="9"/>
      <c r="O80" s="15"/>
      <c r="P80" s="9"/>
      <c r="Q80" s="15"/>
      <c r="R80" s="9"/>
      <c r="S80" s="15"/>
      <c r="T80" s="9"/>
      <c r="U80" s="15"/>
      <c r="V80" s="9"/>
      <c r="W80" s="15"/>
      <c r="X80" s="120"/>
      <c r="Y80" s="15"/>
      <c r="Z80" s="9"/>
      <c r="AA80" s="15"/>
      <c r="AB80" s="15"/>
      <c r="AC80" s="15"/>
      <c r="AD80" s="9"/>
      <c r="AE80" s="15"/>
      <c r="AF80" s="120"/>
      <c r="AG80" s="15"/>
      <c r="AH80" s="72"/>
      <c r="AI80" s="15"/>
      <c r="AJ80" s="95"/>
      <c r="AK80" s="15"/>
      <c r="AL80" s="9"/>
      <c r="AM80" s="15"/>
      <c r="AN80" s="9"/>
      <c r="AO80" s="15"/>
      <c r="AP80" s="9"/>
      <c r="AQ80" s="15"/>
      <c r="AR80" s="9"/>
      <c r="AS80" s="15"/>
      <c r="AT80" s="133"/>
      <c r="AU80" s="15"/>
      <c r="AV80" s="133"/>
      <c r="AW80" s="15"/>
      <c r="AX80" s="9"/>
      <c r="AY80" s="15"/>
      <c r="AZ80" s="9"/>
      <c r="BA80" s="9"/>
      <c r="BB80" s="9"/>
      <c r="BC80" s="15"/>
      <c r="BD80" s="9"/>
      <c r="BE80" s="15"/>
      <c r="BF80" s="9"/>
      <c r="BG80" s="15"/>
      <c r="BH80" s="9">
        <v>1370.01</v>
      </c>
      <c r="BI80" s="15" t="s">
        <v>6487</v>
      </c>
      <c r="BJ80" s="9"/>
      <c r="BK80" s="15"/>
      <c r="BL80" s="9"/>
      <c r="BM80" s="15"/>
      <c r="BN80" s="15"/>
      <c r="BO80" s="15"/>
      <c r="BP80" s="9"/>
      <c r="BQ80" s="15"/>
      <c r="BR80" s="9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</row>
    <row r="81" spans="1:92" x14ac:dyDescent="0.25">
      <c r="A81" s="41"/>
      <c r="B81" s="9"/>
      <c r="C81" s="15"/>
      <c r="D81" s="9"/>
      <c r="E81" s="15"/>
      <c r="F81" s="9"/>
      <c r="G81" s="15"/>
      <c r="H81" s="9"/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9"/>
      <c r="W81" s="15"/>
      <c r="X81" s="15"/>
      <c r="Y81" s="15"/>
      <c r="Z81" s="9"/>
      <c r="AA81" s="15"/>
      <c r="AB81" s="9"/>
      <c r="AC81" s="15"/>
      <c r="AD81" s="15"/>
      <c r="AE81" s="15"/>
      <c r="AF81" s="9"/>
      <c r="AG81" s="15"/>
      <c r="AH81" s="72"/>
      <c r="AI81" s="15"/>
      <c r="AJ81" s="9"/>
      <c r="AK81" s="15"/>
      <c r="AL81" s="9"/>
      <c r="AM81" s="15"/>
      <c r="AN81" s="9"/>
      <c r="AO81" s="15"/>
      <c r="AP81" s="9"/>
      <c r="AQ81" s="15"/>
      <c r="AR81" s="9"/>
      <c r="AS81" s="15"/>
      <c r="AT81" s="9"/>
      <c r="AU81" s="15"/>
      <c r="AV81" s="9"/>
      <c r="AW81" s="15"/>
      <c r="AX81" s="9"/>
      <c r="AY81" s="15"/>
      <c r="AZ81" s="9"/>
      <c r="BA81" s="15"/>
      <c r="BB81" s="9"/>
      <c r="BC81" s="15"/>
      <c r="BD81" s="9"/>
      <c r="BE81" s="15"/>
      <c r="BF81" s="9"/>
      <c r="BG81" s="15"/>
      <c r="BH81" s="95">
        <f>+SUM(BH65:BH80)</f>
        <v>48093.79</v>
      </c>
      <c r="BI81" s="15"/>
      <c r="BJ81" s="9"/>
      <c r="BK81" s="15"/>
      <c r="BL81" s="9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</row>
    <row r="82" spans="1:92" x14ac:dyDescent="0.25">
      <c r="A82" s="42"/>
      <c r="B82" s="23"/>
      <c r="C82" s="23"/>
      <c r="D82" s="23"/>
      <c r="E82" s="23"/>
      <c r="F82" s="23"/>
      <c r="G82" s="23"/>
      <c r="H82" s="14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14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4"/>
      <c r="AI82" s="23"/>
      <c r="AJ82" s="23"/>
      <c r="AK82" s="23"/>
      <c r="AL82" s="14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</row>
    <row r="83" spans="1:92" x14ac:dyDescent="0.25">
      <c r="A83" s="41"/>
      <c r="B83" s="9"/>
      <c r="C83" s="15"/>
      <c r="D83" s="9"/>
      <c r="E83" s="15"/>
      <c r="F83" s="9"/>
      <c r="G83" s="15"/>
      <c r="H83" s="15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9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24"/>
      <c r="AM83" s="15"/>
      <c r="AN83" s="9"/>
      <c r="AO83" s="15"/>
      <c r="AP83" s="9"/>
      <c r="AQ83" s="15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</row>
    <row r="84" spans="1:92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9"/>
      <c r="Q84" s="15"/>
      <c r="R84" s="9"/>
      <c r="S84" s="15"/>
      <c r="T84" s="9"/>
      <c r="U84" s="15"/>
      <c r="V84" s="9"/>
      <c r="W84" s="15"/>
      <c r="X84" s="9"/>
      <c r="Y84" s="15"/>
      <c r="Z84" s="9"/>
      <c r="AA84" s="15"/>
      <c r="AB84" s="120"/>
      <c r="AC84" s="120"/>
      <c r="AD84" s="9"/>
      <c r="AE84" s="15"/>
      <c r="AF84" s="9"/>
      <c r="AG84" s="15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</row>
    <row r="85" spans="1:92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9"/>
      <c r="M85" s="15"/>
      <c r="N85" s="9"/>
      <c r="O85" s="15"/>
      <c r="P85" s="9"/>
      <c r="Q85" s="15"/>
      <c r="R85" s="9"/>
      <c r="S85" s="15"/>
      <c r="T85" s="15"/>
      <c r="U85" s="15"/>
      <c r="V85" s="9"/>
      <c r="W85" s="15"/>
      <c r="X85" s="9"/>
      <c r="Y85" s="15"/>
      <c r="Z85" s="9"/>
      <c r="AA85" s="15"/>
      <c r="AB85" s="120"/>
      <c r="AC85" s="120"/>
      <c r="AD85" s="9"/>
      <c r="AE85" s="15"/>
      <c r="AF85" s="9"/>
      <c r="AG85" s="15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</row>
    <row r="86" spans="1:92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9"/>
      <c r="AA86" s="15"/>
      <c r="AB86" s="120"/>
      <c r="AC86" s="120"/>
      <c r="AD86" s="9"/>
      <c r="AE86" s="15"/>
      <c r="AF86" s="9"/>
      <c r="AG86" s="15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</row>
    <row r="87" spans="1:92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1"/>
      <c r="AA87" s="13"/>
      <c r="AB87" s="120"/>
      <c r="AC87" s="120"/>
      <c r="AD87" s="11"/>
      <c r="AE87" s="13"/>
      <c r="AF87" s="11"/>
      <c r="AG87" s="13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</row>
    <row r="88" spans="1:92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23"/>
      <c r="Y88" s="13"/>
      <c r="Z88" s="13"/>
      <c r="AA88" s="13"/>
      <c r="AB88" s="120"/>
      <c r="AC88" s="120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</row>
    <row r="89" spans="1:92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</row>
    <row r="90" spans="1:92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</row>
    <row r="91" spans="1:92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</row>
    <row r="92" spans="1:92" x14ac:dyDescent="0.25">
      <c r="A92" s="41" t="s">
        <v>6</v>
      </c>
      <c r="B92" s="9"/>
      <c r="C92" s="15"/>
      <c r="D92" s="9">
        <v>186.3</v>
      </c>
      <c r="E92" s="15" t="s">
        <v>5221</v>
      </c>
      <c r="F92" s="9">
        <v>1160</v>
      </c>
      <c r="G92" s="15" t="s">
        <v>5262</v>
      </c>
      <c r="H92" s="9">
        <v>1000</v>
      </c>
      <c r="I92" s="15" t="s">
        <v>5329</v>
      </c>
      <c r="J92" s="9">
        <v>1084.95</v>
      </c>
      <c r="K92" s="15" t="s">
        <v>5381</v>
      </c>
      <c r="L92" s="9">
        <v>254.92</v>
      </c>
      <c r="M92" s="15" t="s">
        <v>5436</v>
      </c>
      <c r="N92" s="9">
        <v>1000</v>
      </c>
      <c r="O92" s="15" t="s">
        <v>5485</v>
      </c>
      <c r="P92" s="9">
        <v>5000</v>
      </c>
      <c r="Q92" s="15" t="s">
        <v>5486</v>
      </c>
      <c r="R92" s="9">
        <v>2360</v>
      </c>
      <c r="S92" s="15" t="s">
        <v>5533</v>
      </c>
      <c r="T92" s="9">
        <v>1300</v>
      </c>
      <c r="U92" s="15" t="s">
        <v>5592</v>
      </c>
      <c r="V92" s="9">
        <v>2040</v>
      </c>
      <c r="W92" s="15" t="s">
        <v>5641</v>
      </c>
      <c r="X92" s="9">
        <v>2065</v>
      </c>
      <c r="Y92" s="15" t="s">
        <v>5687</v>
      </c>
      <c r="Z92" s="112">
        <v>4000</v>
      </c>
      <c r="AA92" s="15" t="s">
        <v>5714</v>
      </c>
      <c r="AB92" s="9">
        <v>10000</v>
      </c>
      <c r="AC92" s="15" t="s">
        <v>5766</v>
      </c>
      <c r="AD92" s="9">
        <v>1169</v>
      </c>
      <c r="AE92" s="15" t="s">
        <v>5775</v>
      </c>
      <c r="AF92" s="9">
        <f>16774.93+500</f>
        <v>17274.93</v>
      </c>
      <c r="AG92" s="15" t="s">
        <v>5833</v>
      </c>
      <c r="AH92" s="9">
        <v>4975</v>
      </c>
      <c r="AI92" s="15" t="s">
        <v>5886</v>
      </c>
      <c r="AJ92" s="9">
        <v>1589</v>
      </c>
      <c r="AK92" s="15" t="s">
        <v>5920</v>
      </c>
      <c r="AL92" s="9">
        <v>6334.54</v>
      </c>
      <c r="AM92" s="15" t="s">
        <v>5984</v>
      </c>
      <c r="AN92" s="9">
        <v>1169</v>
      </c>
      <c r="AO92" s="15" t="s">
        <v>6022</v>
      </c>
      <c r="AP92" s="15">
        <v>2033</v>
      </c>
      <c r="AQ92" s="15" t="s">
        <v>6053</v>
      </c>
      <c r="AR92" s="9">
        <v>522.46</v>
      </c>
      <c r="AS92" s="15" t="s">
        <v>6113</v>
      </c>
      <c r="AT92" s="9">
        <v>8668.99</v>
      </c>
      <c r="AU92" s="15" t="s">
        <v>6192</v>
      </c>
      <c r="AV92" s="51">
        <v>594.30999999999995</v>
      </c>
      <c r="AW92" s="15" t="s">
        <v>6227</v>
      </c>
      <c r="AX92" s="9">
        <v>1168.99</v>
      </c>
      <c r="AY92" s="15" t="s">
        <v>6271</v>
      </c>
      <c r="AZ92" s="95">
        <v>2639.99</v>
      </c>
      <c r="BA92" s="15" t="s">
        <v>6318</v>
      </c>
      <c r="BB92" s="9"/>
      <c r="BC92" s="15"/>
      <c r="BD92" s="9">
        <v>500</v>
      </c>
      <c r="BE92" s="15" t="s">
        <v>6349</v>
      </c>
      <c r="BF92" s="9">
        <v>4228.9799999999996</v>
      </c>
      <c r="BG92" s="15" t="s">
        <v>6404</v>
      </c>
      <c r="BH92" s="9">
        <v>4380</v>
      </c>
      <c r="BI92" s="15" t="s">
        <v>6415</v>
      </c>
      <c r="BJ92" s="9"/>
      <c r="BK92" s="15"/>
      <c r="BL92" s="9"/>
      <c r="BM92" s="15"/>
      <c r="BN92" s="157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</row>
    <row r="93" spans="1:92" x14ac:dyDescent="0.25">
      <c r="A93" s="41"/>
      <c r="B93" s="9"/>
      <c r="C93" s="15"/>
      <c r="D93" s="121">
        <v>3354.55</v>
      </c>
      <c r="E93" s="15" t="s">
        <v>5225</v>
      </c>
      <c r="F93" s="9">
        <v>996.5</v>
      </c>
      <c r="G93" s="15" t="s">
        <v>5277</v>
      </c>
      <c r="H93" s="9">
        <v>2027.61</v>
      </c>
      <c r="I93" s="15" t="s">
        <v>5335</v>
      </c>
      <c r="J93" s="9">
        <v>7830.97</v>
      </c>
      <c r="K93" s="15" t="s">
        <v>5386</v>
      </c>
      <c r="L93" s="9">
        <v>254.92</v>
      </c>
      <c r="M93" s="15" t="s">
        <v>5444</v>
      </c>
      <c r="N93" s="9"/>
      <c r="O93" s="15"/>
      <c r="P93" s="9">
        <v>1970</v>
      </c>
      <c r="Q93" s="15" t="s">
        <v>5489</v>
      </c>
      <c r="R93" s="9">
        <v>2389.9899999999998</v>
      </c>
      <c r="S93" s="15" t="s">
        <v>5557</v>
      </c>
      <c r="T93" s="9">
        <v>2065.0100000000002</v>
      </c>
      <c r="U93" s="15" t="s">
        <v>5618</v>
      </c>
      <c r="V93" s="9">
        <v>3250</v>
      </c>
      <c r="W93" s="15" t="s">
        <v>5650</v>
      </c>
      <c r="X93" s="9">
        <v>2040</v>
      </c>
      <c r="Y93" s="15" t="s">
        <v>5688</v>
      </c>
      <c r="Z93" s="112">
        <v>101.26</v>
      </c>
      <c r="AA93" s="15" t="s">
        <v>5715</v>
      </c>
      <c r="AB93" s="72">
        <v>5000</v>
      </c>
      <c r="AC93" s="15" t="s">
        <v>5767</v>
      </c>
      <c r="AD93" s="9">
        <v>628.51</v>
      </c>
      <c r="AE93" s="15" t="s">
        <v>5777</v>
      </c>
      <c r="AF93" s="9">
        <v>1587.01</v>
      </c>
      <c r="AG93" s="15" t="s">
        <v>5843</v>
      </c>
      <c r="AH93" s="9">
        <v>1169</v>
      </c>
      <c r="AI93" s="15" t="s">
        <v>5889</v>
      </c>
      <c r="AJ93" s="9">
        <v>434.22</v>
      </c>
      <c r="AK93" s="15" t="s">
        <v>5927</v>
      </c>
      <c r="AL93" s="9">
        <v>1500</v>
      </c>
      <c r="AM93" s="15" t="s">
        <v>5987</v>
      </c>
      <c r="AN93" s="9">
        <v>1000</v>
      </c>
      <c r="AO93" s="15" t="s">
        <v>6024</v>
      </c>
      <c r="AP93" s="9"/>
      <c r="AQ93" s="15"/>
      <c r="AR93" s="9">
        <v>500</v>
      </c>
      <c r="AS93" s="15" t="s">
        <v>6112</v>
      </c>
      <c r="AT93" s="9">
        <v>1970</v>
      </c>
      <c r="AU93" s="15" t="s">
        <v>6205</v>
      </c>
      <c r="AV93" s="9"/>
      <c r="AW93" s="15"/>
      <c r="AX93" s="10">
        <v>2315</v>
      </c>
      <c r="AY93" s="12" t="s">
        <v>6282</v>
      </c>
      <c r="AZ93" s="9"/>
      <c r="BA93" s="15"/>
      <c r="BB93" s="9"/>
      <c r="BC93" s="15"/>
      <c r="BD93" s="9">
        <v>7450.94</v>
      </c>
      <c r="BE93" s="15" t="s">
        <v>6354</v>
      </c>
      <c r="BF93" s="9">
        <v>1169</v>
      </c>
      <c r="BG93" s="15" t="s">
        <v>5077</v>
      </c>
      <c r="BH93" s="112"/>
      <c r="BI93" s="15"/>
      <c r="BJ93" s="9"/>
      <c r="BK93" s="15"/>
      <c r="BL93" s="9"/>
      <c r="BM93" s="15"/>
      <c r="BN93" s="157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</row>
    <row r="94" spans="1:92" x14ac:dyDescent="0.25">
      <c r="A94" s="41"/>
      <c r="B94" s="9"/>
      <c r="C94" s="15"/>
      <c r="D94" s="190">
        <v>3844.12</v>
      </c>
      <c r="E94" s="15" t="s">
        <v>5226</v>
      </c>
      <c r="F94" s="9">
        <v>1461.99</v>
      </c>
      <c r="G94" s="15" t="s">
        <v>5292</v>
      </c>
      <c r="H94" s="9">
        <v>2369</v>
      </c>
      <c r="I94" s="15" t="s">
        <v>5357</v>
      </c>
      <c r="J94" s="9">
        <v>15000</v>
      </c>
      <c r="K94" s="15" t="s">
        <v>5387</v>
      </c>
      <c r="L94" s="9">
        <v>1168.99</v>
      </c>
      <c r="M94" s="15" t="s">
        <v>5457</v>
      </c>
      <c r="N94" s="9"/>
      <c r="O94" s="15"/>
      <c r="P94" s="9">
        <v>5000</v>
      </c>
      <c r="Q94" s="15" t="s">
        <v>5493</v>
      </c>
      <c r="R94" s="9">
        <v>4464.99</v>
      </c>
      <c r="S94" s="15" t="s">
        <v>5560</v>
      </c>
      <c r="T94" s="9">
        <v>3238.99</v>
      </c>
      <c r="U94" s="15" t="s">
        <v>5619</v>
      </c>
      <c r="V94" s="9">
        <v>1099.01</v>
      </c>
      <c r="W94" s="15" t="s">
        <v>5654</v>
      </c>
      <c r="X94" s="9">
        <v>1168.99</v>
      </c>
      <c r="Y94" s="15" t="s">
        <v>5689</v>
      </c>
      <c r="Z94" s="112">
        <v>1969.66</v>
      </c>
      <c r="AA94" s="15" t="s">
        <v>5720</v>
      </c>
      <c r="AB94" s="9">
        <v>20000</v>
      </c>
      <c r="AC94" s="15" t="s">
        <v>5768</v>
      </c>
      <c r="AD94" s="95">
        <f>+AD92+AD93</f>
        <v>1797.51</v>
      </c>
      <c r="AE94" s="15"/>
      <c r="AF94" s="95">
        <f>+AF92+AF93</f>
        <v>18861.939999999999</v>
      </c>
      <c r="AG94" s="15"/>
      <c r="AH94" s="9">
        <v>3624</v>
      </c>
      <c r="AI94" s="15" t="s">
        <v>5890</v>
      </c>
      <c r="AJ94" s="95">
        <f>+AJ92+AJ93</f>
        <v>2023.22</v>
      </c>
      <c r="AK94" s="15"/>
      <c r="AL94" s="9">
        <v>50000</v>
      </c>
      <c r="AM94" s="15" t="s">
        <v>5988</v>
      </c>
      <c r="AN94" s="120">
        <v>1169</v>
      </c>
      <c r="AO94" s="120" t="s">
        <v>6029</v>
      </c>
      <c r="AP94" s="9">
        <v>5000</v>
      </c>
      <c r="AQ94" s="15" t="s">
        <v>6069</v>
      </c>
      <c r="AR94" s="95">
        <f>+AR92+AR93</f>
        <v>1022.46</v>
      </c>
      <c r="AS94" s="15"/>
      <c r="AT94" s="9">
        <v>1099</v>
      </c>
      <c r="AU94" s="15" t="s">
        <v>6209</v>
      </c>
      <c r="AV94" s="9">
        <v>1671.24</v>
      </c>
      <c r="AW94" s="15" t="s">
        <v>6239</v>
      </c>
      <c r="AX94" s="9">
        <v>1970</v>
      </c>
      <c r="AY94" s="15" t="s">
        <v>6283</v>
      </c>
      <c r="AZ94" s="15"/>
      <c r="BA94" s="15"/>
      <c r="BB94" s="15"/>
      <c r="BC94" s="15"/>
      <c r="BD94" s="9">
        <v>4500</v>
      </c>
      <c r="BE94" s="15" t="s">
        <v>6390</v>
      </c>
      <c r="BF94" s="95">
        <f>+BF92+BF93</f>
        <v>5397.98</v>
      </c>
      <c r="BG94" s="15"/>
      <c r="BH94" s="112">
        <v>1099.01</v>
      </c>
      <c r="BI94" s="15" t="s">
        <v>6478</v>
      </c>
      <c r="BJ94" s="9"/>
      <c r="BK94" s="15"/>
      <c r="BL94" s="15"/>
      <c r="BM94" s="15"/>
      <c r="BN94" s="157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</row>
    <row r="95" spans="1:92" x14ac:dyDescent="0.25">
      <c r="A95" s="41"/>
      <c r="B95" s="9"/>
      <c r="C95" s="15"/>
      <c r="D95" s="121">
        <v>4395.0200000000004</v>
      </c>
      <c r="E95" s="15" t="s">
        <v>5229</v>
      </c>
      <c r="F95" s="9">
        <v>4115</v>
      </c>
      <c r="G95" s="15" t="s">
        <v>5296</v>
      </c>
      <c r="H95" s="9">
        <v>4395.0200000000004</v>
      </c>
      <c r="I95" s="15" t="s">
        <v>5370</v>
      </c>
      <c r="J95" s="9">
        <v>9500</v>
      </c>
      <c r="K95" s="15" t="s">
        <v>5392</v>
      </c>
      <c r="L95" s="9">
        <v>200.01</v>
      </c>
      <c r="M95" s="15" t="s">
        <v>5461</v>
      </c>
      <c r="N95" s="9"/>
      <c r="O95" s="15"/>
      <c r="P95" s="9">
        <v>1970</v>
      </c>
      <c r="Q95" s="15" t="s">
        <v>5500</v>
      </c>
      <c r="R95" s="9">
        <v>1168.99</v>
      </c>
      <c r="S95" s="15" t="s">
        <v>5561</v>
      </c>
      <c r="T95" s="95">
        <f>+SUM(T92:T94)</f>
        <v>6604</v>
      </c>
      <c r="U95" s="15"/>
      <c r="V95" s="9">
        <v>2390.0100000000002</v>
      </c>
      <c r="W95" s="15" t="s">
        <v>5659</v>
      </c>
      <c r="X95" s="9">
        <f>2789-1300</f>
        <v>1489</v>
      </c>
      <c r="Y95" s="15" t="s">
        <v>5690</v>
      </c>
      <c r="Z95" s="112">
        <v>20000</v>
      </c>
      <c r="AA95" s="15" t="s">
        <v>5721</v>
      </c>
      <c r="AB95" s="95">
        <f>+SUM(AB92:AB94)</f>
        <v>35000</v>
      </c>
      <c r="AC95" s="15"/>
      <c r="AD95" s="9"/>
      <c r="AE95" s="15"/>
      <c r="AF95" s="9"/>
      <c r="AG95" s="15"/>
      <c r="AH95" s="9">
        <v>4216</v>
      </c>
      <c r="AI95" s="15" t="s">
        <v>5891</v>
      </c>
      <c r="AJ95" s="9"/>
      <c r="AK95" s="15"/>
      <c r="AL95" s="9">
        <v>2064.9899999999998</v>
      </c>
      <c r="AM95" s="15" t="s">
        <v>5994</v>
      </c>
      <c r="AN95" s="120">
        <v>2039.99</v>
      </c>
      <c r="AO95" s="120" t="s">
        <v>6033</v>
      </c>
      <c r="AP95" s="9">
        <v>2043.21</v>
      </c>
      <c r="AQ95" s="15" t="s">
        <v>6070</v>
      </c>
      <c r="AR95" s="9"/>
      <c r="AS95" s="15"/>
      <c r="AT95" s="132">
        <f>+AT94+AT93+AT92</f>
        <v>11737.99</v>
      </c>
      <c r="AU95" s="15"/>
      <c r="AV95" s="137">
        <f>24467.43-2884.64-2369.18</f>
        <v>19213.61</v>
      </c>
      <c r="AW95" s="15" t="s">
        <v>6241</v>
      </c>
      <c r="AX95" s="9">
        <v>3238.99</v>
      </c>
      <c r="AY95" s="15" t="s">
        <v>6287</v>
      </c>
      <c r="AZ95" s="9"/>
      <c r="BA95" s="15"/>
      <c r="BB95" s="9"/>
      <c r="BC95" s="15"/>
      <c r="BD95" s="95">
        <f>+BD94+BD93+BD92</f>
        <v>12450.939999999999</v>
      </c>
      <c r="BE95" s="15"/>
      <c r="BF95" s="9"/>
      <c r="BG95" s="15"/>
      <c r="BH95" s="112">
        <v>1970</v>
      </c>
      <c r="BI95" s="15" t="s">
        <v>6483</v>
      </c>
      <c r="BJ95" s="15"/>
      <c r="BK95" s="15"/>
      <c r="BL95" s="9"/>
      <c r="BM95" s="15"/>
      <c r="BN95" s="157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</row>
    <row r="96" spans="1:92" x14ac:dyDescent="0.25">
      <c r="A96" s="41"/>
      <c r="B96" s="9"/>
      <c r="C96" s="15"/>
      <c r="D96" s="15">
        <v>1168.99</v>
      </c>
      <c r="E96" s="26" t="s">
        <v>5231</v>
      </c>
      <c r="F96" s="9">
        <v>2389.9899999999998</v>
      </c>
      <c r="G96" s="15" t="s">
        <v>5307</v>
      </c>
      <c r="H96" s="95">
        <f>+SUM(H87:H95)</f>
        <v>9791.630000000001</v>
      </c>
      <c r="I96" s="15"/>
      <c r="J96" s="9">
        <v>9547.84</v>
      </c>
      <c r="K96" s="15" t="s">
        <v>5395</v>
      </c>
      <c r="L96" s="9">
        <v>600.01</v>
      </c>
      <c r="M96" s="15" t="s">
        <v>5462</v>
      </c>
      <c r="N96" s="7"/>
      <c r="O96" s="26"/>
      <c r="P96" s="9">
        <v>3168.99</v>
      </c>
      <c r="Q96" s="15" t="s">
        <v>5510</v>
      </c>
      <c r="R96" s="9">
        <v>3320</v>
      </c>
      <c r="S96" s="15" t="s">
        <v>5565</v>
      </c>
      <c r="T96" s="15"/>
      <c r="U96" s="9"/>
      <c r="V96" s="111">
        <f>+SUM(V92:V95)</f>
        <v>8779.02</v>
      </c>
      <c r="W96" s="13"/>
      <c r="X96" s="9">
        <v>2250.0100000000002</v>
      </c>
      <c r="Y96" s="15" t="s">
        <v>5698</v>
      </c>
      <c r="Z96" s="112">
        <v>3000</v>
      </c>
      <c r="AA96" s="15" t="s">
        <v>5723</v>
      </c>
      <c r="AB96" s="9"/>
      <c r="AC96" s="13"/>
      <c r="AD96" s="9">
        <v>23000</v>
      </c>
      <c r="AE96" s="15" t="s">
        <v>5796</v>
      </c>
      <c r="AF96" s="9">
        <v>171.48</v>
      </c>
      <c r="AG96" s="15" t="s">
        <v>5847</v>
      </c>
      <c r="AH96" s="9">
        <v>2052.9899999999998</v>
      </c>
      <c r="AI96" s="15" t="s">
        <v>5892</v>
      </c>
      <c r="AJ96" s="9">
        <v>2834.01</v>
      </c>
      <c r="AK96" s="15" t="s">
        <v>5946</v>
      </c>
      <c r="AL96" s="9">
        <v>4465</v>
      </c>
      <c r="AM96" s="15" t="s">
        <v>6002</v>
      </c>
      <c r="AN96" s="9">
        <v>1168.99</v>
      </c>
      <c r="AO96" s="15" t="s">
        <v>6034</v>
      </c>
      <c r="AP96" s="133">
        <v>2513.06</v>
      </c>
      <c r="AQ96" s="15" t="s">
        <v>6071</v>
      </c>
      <c r="AR96" s="9">
        <v>5000</v>
      </c>
      <c r="AS96" s="15" t="s">
        <v>6130</v>
      </c>
      <c r="AT96" s="9"/>
      <c r="AU96" s="15"/>
      <c r="AV96" s="9">
        <v>3250.01</v>
      </c>
      <c r="AW96" s="15" t="s">
        <v>6247</v>
      </c>
      <c r="AX96" s="9">
        <v>2040</v>
      </c>
      <c r="AY96" s="15" t="s">
        <v>6294</v>
      </c>
      <c r="AZ96" s="9"/>
      <c r="BA96" s="15"/>
      <c r="BB96" s="9"/>
      <c r="BC96" s="15"/>
      <c r="BD96" s="9"/>
      <c r="BE96" s="15"/>
      <c r="BF96" s="201">
        <v>4001.95</v>
      </c>
      <c r="BG96" t="s">
        <v>6434</v>
      </c>
      <c r="BH96" s="112">
        <v>12233.77</v>
      </c>
      <c r="BI96" s="15" t="s">
        <v>6496</v>
      </c>
      <c r="BJ96" s="15"/>
      <c r="BK96" s="15"/>
      <c r="BL96" s="9"/>
      <c r="BM96" s="15"/>
      <c r="BN96" s="157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</row>
    <row r="97" spans="1:92" x14ac:dyDescent="0.25">
      <c r="A97" s="41"/>
      <c r="B97" s="9"/>
      <c r="C97" s="15"/>
      <c r="D97" s="9">
        <v>1099</v>
      </c>
      <c r="E97" s="15" t="s">
        <v>5233</v>
      </c>
      <c r="F97" s="9">
        <v>1253.45</v>
      </c>
      <c r="G97" s="15" t="s">
        <v>5320</v>
      </c>
      <c r="H97" s="9"/>
      <c r="I97" s="15"/>
      <c r="J97" s="9">
        <v>3250.01</v>
      </c>
      <c r="K97" s="15" t="s">
        <v>5417</v>
      </c>
      <c r="L97" s="9">
        <v>1169</v>
      </c>
      <c r="M97" s="15" t="s">
        <v>5463</v>
      </c>
      <c r="N97" s="9"/>
      <c r="O97" s="15"/>
      <c r="P97" s="9">
        <v>2040</v>
      </c>
      <c r="Q97" s="15" t="s">
        <v>5511</v>
      </c>
      <c r="R97" s="9">
        <v>3250</v>
      </c>
      <c r="S97" s="15" t="s">
        <v>5568</v>
      </c>
      <c r="T97" s="9"/>
      <c r="U97" s="15"/>
      <c r="V97" s="133"/>
      <c r="W97" s="120"/>
      <c r="X97" s="9">
        <v>3285.41</v>
      </c>
      <c r="Y97" s="15" t="s">
        <v>5699</v>
      </c>
      <c r="Z97" s="112">
        <v>6351.78</v>
      </c>
      <c r="AA97" s="15" t="s">
        <v>5724</v>
      </c>
      <c r="AB97" s="11"/>
      <c r="AC97" s="13"/>
      <c r="AD97" s="9">
        <v>2499.0500000000002</v>
      </c>
      <c r="AE97" s="15" t="s">
        <v>5797</v>
      </c>
      <c r="AF97" s="137">
        <v>1169</v>
      </c>
      <c r="AG97" s="15" t="s">
        <v>5848</v>
      </c>
      <c r="AH97" s="9">
        <v>5239.01</v>
      </c>
      <c r="AI97" s="15" t="s">
        <v>5894</v>
      </c>
      <c r="AJ97" s="9">
        <v>1970</v>
      </c>
      <c r="AK97" s="15" t="s">
        <v>5951</v>
      </c>
      <c r="AL97" s="9">
        <v>5482.01</v>
      </c>
      <c r="AM97" s="15" t="s">
        <v>6003</v>
      </c>
      <c r="AN97" s="9">
        <v>232</v>
      </c>
      <c r="AO97" s="15" t="s">
        <v>6041</v>
      </c>
      <c r="AP97" s="9">
        <v>1312.67</v>
      </c>
      <c r="AQ97" s="15" t="s">
        <v>6072</v>
      </c>
      <c r="AR97" s="9">
        <v>575</v>
      </c>
      <c r="AS97" s="15" t="s">
        <v>6137</v>
      </c>
      <c r="AT97" s="9"/>
      <c r="AU97" s="15"/>
      <c r="AV97" s="9">
        <v>4168.99</v>
      </c>
      <c r="AW97" s="15" t="s">
        <v>6250</v>
      </c>
      <c r="AX97" s="95">
        <f>+SUM(AX92:AX96)</f>
        <v>10732.98</v>
      </c>
      <c r="AY97" s="15"/>
      <c r="AZ97" s="9"/>
      <c r="BA97" s="15"/>
      <c r="BB97" s="9"/>
      <c r="BC97" s="15"/>
      <c r="BD97" s="15"/>
      <c r="BE97" s="15"/>
      <c r="BF97" s="201">
        <v>1099.01</v>
      </c>
      <c r="BG97" t="s">
        <v>6435</v>
      </c>
      <c r="BH97" s="112">
        <v>1169</v>
      </c>
      <c r="BI97" s="15" t="s">
        <v>6499</v>
      </c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</row>
    <row r="98" spans="1:92" x14ac:dyDescent="0.25">
      <c r="A98" s="41"/>
      <c r="B98" s="15"/>
      <c r="C98" s="15"/>
      <c r="D98" s="15">
        <v>7540.01</v>
      </c>
      <c r="E98" s="15" t="s">
        <v>5237</v>
      </c>
      <c r="F98" s="95">
        <f>+SUM(F92:F97)</f>
        <v>11376.93</v>
      </c>
      <c r="G98" s="15"/>
      <c r="H98" s="9"/>
      <c r="I98" s="15"/>
      <c r="J98" s="9">
        <v>4865.01</v>
      </c>
      <c r="K98" s="15" t="s">
        <v>5420</v>
      </c>
      <c r="L98" s="9">
        <v>1559.01</v>
      </c>
      <c r="M98" s="15" t="s">
        <v>5465</v>
      </c>
      <c r="N98" s="9"/>
      <c r="O98" s="15"/>
      <c r="P98" s="95">
        <f>+SUM(P92:P97)</f>
        <v>19148.989999999998</v>
      </c>
      <c r="Q98" s="15"/>
      <c r="R98" s="9">
        <v>2390.0100000000002</v>
      </c>
      <c r="S98" s="15" t="s">
        <v>5571</v>
      </c>
      <c r="T98" s="9"/>
      <c r="U98" s="15"/>
      <c r="V98" s="15"/>
      <c r="W98" s="15"/>
      <c r="X98" s="9">
        <v>2519.42</v>
      </c>
      <c r="Y98" s="15" t="s">
        <v>5702</v>
      </c>
      <c r="Z98" s="112">
        <v>1099.01</v>
      </c>
      <c r="AA98" s="15" t="s">
        <v>5725</v>
      </c>
      <c r="AB98" s="15"/>
      <c r="AC98" s="15"/>
      <c r="AD98" s="9">
        <v>10000</v>
      </c>
      <c r="AE98" s="15" t="s">
        <v>5798</v>
      </c>
      <c r="AF98" s="9">
        <v>5676.81</v>
      </c>
      <c r="AG98" s="15" t="s">
        <v>5849</v>
      </c>
      <c r="AH98" s="9">
        <v>2040</v>
      </c>
      <c r="AI98" s="15" t="s">
        <v>5897</v>
      </c>
      <c r="AJ98" s="9">
        <v>1099.01</v>
      </c>
      <c r="AK98" s="15" t="s">
        <v>5960</v>
      </c>
      <c r="AL98" s="9">
        <v>1099.01</v>
      </c>
      <c r="AM98" s="15" t="s">
        <v>6004</v>
      </c>
      <c r="AN98" s="9">
        <v>1970</v>
      </c>
      <c r="AO98" s="15" t="s">
        <v>6042</v>
      </c>
      <c r="AP98" s="9">
        <v>5000</v>
      </c>
      <c r="AQ98" s="15" t="s">
        <v>6074</v>
      </c>
      <c r="AR98" s="9">
        <v>1549.01</v>
      </c>
      <c r="AS98" s="15" t="s">
        <v>6139</v>
      </c>
      <c r="AT98" s="9"/>
      <c r="AU98" s="15"/>
      <c r="AV98" s="9">
        <v>2040</v>
      </c>
      <c r="AW98" s="15" t="s">
        <v>6251</v>
      </c>
      <c r="AX98" s="9"/>
      <c r="AY98" s="15"/>
      <c r="AZ98" s="9"/>
      <c r="BA98" s="15"/>
      <c r="BB98" s="9"/>
      <c r="BC98" s="15"/>
      <c r="BD98" s="15"/>
      <c r="BE98" s="15"/>
      <c r="BF98" s="201">
        <v>4464.99</v>
      </c>
      <c r="BG98" t="s">
        <v>6436</v>
      </c>
      <c r="BH98" s="112">
        <v>78.849999999999994</v>
      </c>
      <c r="BI98" s="15" t="s">
        <v>6502</v>
      </c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</row>
    <row r="99" spans="1:92" x14ac:dyDescent="0.25">
      <c r="A99" s="41"/>
      <c r="B99" s="9"/>
      <c r="C99" s="15"/>
      <c r="D99" s="9">
        <v>1995.01</v>
      </c>
      <c r="E99" s="15" t="s">
        <v>5238</v>
      </c>
      <c r="F99" s="9"/>
      <c r="G99" s="15"/>
      <c r="H99" s="9"/>
      <c r="I99" s="15"/>
      <c r="J99" s="95">
        <f>+SUM(J92:J98)</f>
        <v>51078.78</v>
      </c>
      <c r="K99" s="15"/>
      <c r="L99" s="9">
        <v>5530.71</v>
      </c>
      <c r="M99" s="15" t="s">
        <v>5466</v>
      </c>
      <c r="N99" s="15"/>
      <c r="O99" s="15"/>
      <c r="P99" s="9"/>
      <c r="Q99" s="15"/>
      <c r="R99" s="95">
        <f>+SUM(R92:R98)</f>
        <v>19343.980000000003</v>
      </c>
      <c r="S99" s="15"/>
      <c r="T99" s="15"/>
      <c r="U99" s="15"/>
      <c r="V99" s="9"/>
      <c r="W99" s="15"/>
      <c r="X99" s="9">
        <v>1169</v>
      </c>
      <c r="Y99" s="15" t="s">
        <v>5703</v>
      </c>
      <c r="Z99" s="112">
        <v>2000</v>
      </c>
      <c r="AA99" s="15" t="s">
        <v>5726</v>
      </c>
      <c r="AB99" s="9"/>
      <c r="AC99" s="15"/>
      <c r="AD99" s="9">
        <v>1099.01</v>
      </c>
      <c r="AE99" s="15" t="s">
        <v>5808</v>
      </c>
      <c r="AF99" s="9">
        <v>2040</v>
      </c>
      <c r="AG99" s="15" t="s">
        <v>5856</v>
      </c>
      <c r="AH99" s="95">
        <f>+SUM(AH92:AH98)</f>
        <v>23316</v>
      </c>
      <c r="AI99" s="15"/>
      <c r="AJ99" s="9">
        <v>2935.98</v>
      </c>
      <c r="AK99" s="15" t="s">
        <v>5965</v>
      </c>
      <c r="AL99" s="9">
        <v>5295.99</v>
      </c>
      <c r="AM99" s="15" t="s">
        <v>6005</v>
      </c>
      <c r="AN99" s="95">
        <f>+SUM(AN92:AN98)</f>
        <v>8748.98</v>
      </c>
      <c r="AO99" s="15"/>
      <c r="AP99" s="9">
        <v>232</v>
      </c>
      <c r="AQ99" s="15" t="s">
        <v>6078</v>
      </c>
      <c r="AR99" s="9">
        <v>1099</v>
      </c>
      <c r="AS99" s="15" t="s">
        <v>6147</v>
      </c>
      <c r="AT99" s="9"/>
      <c r="AU99" s="15"/>
      <c r="AV99" s="95">
        <f>+SUM(AV94:AV98)</f>
        <v>30343.85</v>
      </c>
      <c r="AW99" s="15"/>
      <c r="AX99" s="15">
        <v>2968.95</v>
      </c>
      <c r="AY99" s="15" t="s">
        <v>6343</v>
      </c>
      <c r="AZ99" s="15"/>
      <c r="BA99" s="15"/>
      <c r="BB99" s="127"/>
      <c r="BC99" s="24"/>
      <c r="BD99" s="9"/>
      <c r="BE99" s="15"/>
      <c r="BF99" s="201">
        <v>1169</v>
      </c>
      <c r="BG99" t="s">
        <v>6437</v>
      </c>
      <c r="BH99" s="95">
        <f>+SUM(BH93:BH98)</f>
        <v>16550.629999999997</v>
      </c>
      <c r="BI99" s="15"/>
      <c r="BJ99" s="9"/>
      <c r="BK99" s="15"/>
      <c r="BL99" s="9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</row>
    <row r="100" spans="1:92" x14ac:dyDescent="0.25">
      <c r="A100" s="41"/>
      <c r="B100" s="15"/>
      <c r="C100" s="15"/>
      <c r="D100" s="9">
        <v>4464.99</v>
      </c>
      <c r="E100" s="15" t="s">
        <v>5240</v>
      </c>
      <c r="F100" s="9"/>
      <c r="G100" s="15"/>
      <c r="H100" s="9"/>
      <c r="I100" s="15"/>
      <c r="J100" s="15"/>
      <c r="K100" s="15"/>
      <c r="L100" s="9">
        <v>5510</v>
      </c>
      <c r="M100" s="15" t="s">
        <v>5468</v>
      </c>
      <c r="N100" s="9"/>
      <c r="O100" s="15"/>
      <c r="P100" s="9"/>
      <c r="Q100" s="15"/>
      <c r="R100" s="15"/>
      <c r="S100" s="15"/>
      <c r="T100" s="15"/>
      <c r="U100" s="15"/>
      <c r="V100" s="9"/>
      <c r="W100" s="15"/>
      <c r="X100" s="95">
        <f>+SUM(X92:X99)</f>
        <v>15986.83</v>
      </c>
      <c r="Y100" s="15"/>
      <c r="Z100" s="112">
        <v>4216</v>
      </c>
      <c r="AA100" s="15" t="s">
        <v>5727</v>
      </c>
      <c r="AB100" s="9"/>
      <c r="AC100" s="15"/>
      <c r="AD100" s="9">
        <v>1970</v>
      </c>
      <c r="AE100" s="15" t="s">
        <v>5809</v>
      </c>
      <c r="AF100" s="9">
        <v>1583.01</v>
      </c>
      <c r="AG100" s="15" t="s">
        <v>5857</v>
      </c>
      <c r="AH100" s="9"/>
      <c r="AI100" s="15"/>
      <c r="AJ100" s="9">
        <v>1970</v>
      </c>
      <c r="AK100" s="15" t="s">
        <v>5966</v>
      </c>
      <c r="AL100" s="9">
        <v>1169</v>
      </c>
      <c r="AM100" s="15" t="s">
        <v>6009</v>
      </c>
      <c r="AN100" s="9"/>
      <c r="AO100" s="15"/>
      <c r="AP100" s="9">
        <v>1312.67</v>
      </c>
      <c r="AQ100" s="15" t="s">
        <v>6079</v>
      </c>
      <c r="AR100" s="9">
        <v>1563.01</v>
      </c>
      <c r="AS100" s="15" t="s">
        <v>6147</v>
      </c>
      <c r="AT100" s="9"/>
      <c r="AU100" s="15"/>
      <c r="AV100" s="9"/>
      <c r="AW100" s="15"/>
      <c r="AX100" s="15"/>
      <c r="AY100" s="15"/>
      <c r="AZ100" s="9"/>
      <c r="BA100" s="15"/>
      <c r="BB100" s="15"/>
      <c r="BC100" s="15"/>
      <c r="BD100" s="9"/>
      <c r="BE100" s="15"/>
      <c r="BF100" s="201">
        <v>4988.8500000000004</v>
      </c>
      <c r="BG100" t="s">
        <v>6438</v>
      </c>
      <c r="BH100" s="15"/>
      <c r="BI100" s="15"/>
      <c r="BJ100" s="9"/>
      <c r="BK100" s="15"/>
      <c r="BL100" s="9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</row>
    <row r="101" spans="1:92" x14ac:dyDescent="0.25">
      <c r="A101" s="41"/>
      <c r="B101" s="9"/>
      <c r="C101" s="15"/>
      <c r="D101" s="9">
        <v>3319.99</v>
      </c>
      <c r="E101" s="15" t="s">
        <v>5241</v>
      </c>
      <c r="F101" s="9"/>
      <c r="G101" s="15"/>
      <c r="H101" s="15"/>
      <c r="I101" s="15"/>
      <c r="J101" s="15"/>
      <c r="K101" s="15"/>
      <c r="L101" s="9">
        <v>2040</v>
      </c>
      <c r="M101" s="15" t="s">
        <v>5470</v>
      </c>
      <c r="N101" s="9"/>
      <c r="O101" s="15"/>
      <c r="P101" s="9"/>
      <c r="Q101" s="15"/>
      <c r="R101" s="15"/>
      <c r="S101" s="15"/>
      <c r="T101" s="9"/>
      <c r="U101" s="15"/>
      <c r="V101" s="9"/>
      <c r="W101" s="15"/>
      <c r="X101" s="9"/>
      <c r="Y101" s="15"/>
      <c r="Z101" s="112">
        <v>3320</v>
      </c>
      <c r="AA101" s="15" t="s">
        <v>5730</v>
      </c>
      <c r="AB101" s="9"/>
      <c r="AC101" s="15"/>
      <c r="AD101" s="9">
        <v>4395.01</v>
      </c>
      <c r="AE101" s="15" t="s">
        <v>5819</v>
      </c>
      <c r="AF101" s="9">
        <v>3320</v>
      </c>
      <c r="AG101" s="15" t="s">
        <v>5858</v>
      </c>
      <c r="AH101" s="9"/>
      <c r="AI101" s="15"/>
      <c r="AJ101" s="95">
        <f>+SUM(AJ96:AJ100)</f>
        <v>10809</v>
      </c>
      <c r="AK101" s="15"/>
      <c r="AL101" s="9">
        <v>2040</v>
      </c>
      <c r="AM101" s="15" t="s">
        <v>6012</v>
      </c>
      <c r="AN101" s="9"/>
      <c r="AO101" s="15"/>
      <c r="AP101" s="9">
        <v>1970</v>
      </c>
      <c r="AQ101" s="15" t="s">
        <v>6084</v>
      </c>
      <c r="AR101" s="9">
        <v>2064.9899999999998</v>
      </c>
      <c r="AS101" s="15" t="s">
        <v>6149</v>
      </c>
      <c r="AT101" s="15"/>
      <c r="AU101" s="15"/>
      <c r="AV101" s="9"/>
      <c r="AW101" s="15"/>
      <c r="AX101" s="9"/>
      <c r="AY101" s="15"/>
      <c r="AZ101" s="15"/>
      <c r="BA101" s="15"/>
      <c r="BB101" s="9"/>
      <c r="BC101" s="15"/>
      <c r="BD101" s="9"/>
      <c r="BE101" s="15"/>
      <c r="BF101" s="201">
        <v>3250</v>
      </c>
      <c r="BG101" t="s">
        <v>6440</v>
      </c>
      <c r="BH101" s="9"/>
      <c r="BI101" s="15"/>
      <c r="BJ101" s="9"/>
      <c r="BK101" s="1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</row>
    <row r="102" spans="1:92" x14ac:dyDescent="0.25">
      <c r="A102" s="41"/>
      <c r="B102" s="9"/>
      <c r="C102" s="15"/>
      <c r="D102" s="9">
        <v>1168.99</v>
      </c>
      <c r="E102" s="15" t="s">
        <v>5246</v>
      </c>
      <c r="F102" s="9"/>
      <c r="G102" s="15"/>
      <c r="H102" s="9"/>
      <c r="I102" s="15"/>
      <c r="J102" s="9"/>
      <c r="K102" s="15"/>
      <c r="L102" s="9">
        <v>4495</v>
      </c>
      <c r="M102" s="15" t="s">
        <v>5472</v>
      </c>
      <c r="N102" s="9"/>
      <c r="O102" s="15"/>
      <c r="P102" s="9"/>
      <c r="Q102" s="15"/>
      <c r="R102" s="15"/>
      <c r="S102" s="15"/>
      <c r="T102" s="9"/>
      <c r="U102" s="15"/>
      <c r="V102" s="9"/>
      <c r="W102" s="15"/>
      <c r="X102" s="9"/>
      <c r="Y102" s="15"/>
      <c r="Z102" s="112">
        <v>2040</v>
      </c>
      <c r="AA102" s="15" t="s">
        <v>5732</v>
      </c>
      <c r="AB102" s="9"/>
      <c r="AC102" s="15"/>
      <c r="AD102" s="9">
        <v>1990</v>
      </c>
      <c r="AE102" s="15" t="s">
        <v>5821</v>
      </c>
      <c r="AF102" s="9">
        <v>1168.99</v>
      </c>
      <c r="AG102" s="15" t="s">
        <v>5860</v>
      </c>
      <c r="AH102" s="9"/>
      <c r="AI102" s="15"/>
      <c r="AJ102" s="9"/>
      <c r="AK102" s="15"/>
      <c r="AL102" s="9">
        <v>4465</v>
      </c>
      <c r="AM102" s="15" t="s">
        <v>6014</v>
      </c>
      <c r="AN102" s="15"/>
      <c r="AO102" s="15"/>
      <c r="AP102" s="9">
        <v>1169</v>
      </c>
      <c r="AQ102" s="15" t="s">
        <v>6087</v>
      </c>
      <c r="AR102" s="9">
        <v>3319.99</v>
      </c>
      <c r="AS102" s="15" t="s">
        <v>6150</v>
      </c>
      <c r="AT102" s="9"/>
      <c r="AU102" s="15"/>
      <c r="AV102" s="9"/>
      <c r="AW102" s="15"/>
      <c r="AX102" s="9"/>
      <c r="AY102" s="15"/>
      <c r="AZ102" s="9"/>
      <c r="BA102" s="15"/>
      <c r="BB102" s="9"/>
      <c r="BC102" s="15"/>
      <c r="BD102" s="9"/>
      <c r="BE102" s="15"/>
      <c r="BF102" s="201">
        <v>1169</v>
      </c>
      <c r="BG102" t="s">
        <v>6441</v>
      </c>
      <c r="BH102" s="9"/>
      <c r="BI102" s="15"/>
      <c r="BJ102" s="9"/>
      <c r="BK102" s="1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</row>
    <row r="103" spans="1:92" x14ac:dyDescent="0.25">
      <c r="A103" s="41"/>
      <c r="B103" s="9"/>
      <c r="C103" s="15"/>
      <c r="D103" s="9">
        <v>2050</v>
      </c>
      <c r="E103" s="15" t="s">
        <v>5250</v>
      </c>
      <c r="F103" s="9"/>
      <c r="G103" s="15"/>
      <c r="H103" s="9"/>
      <c r="I103" s="15"/>
      <c r="J103" s="9"/>
      <c r="K103" s="15"/>
      <c r="L103" s="9">
        <v>1657</v>
      </c>
      <c r="M103" s="15" t="s">
        <v>5474</v>
      </c>
      <c r="N103" s="9"/>
      <c r="O103" s="15"/>
      <c r="P103" s="15"/>
      <c r="Q103" s="15"/>
      <c r="R103" s="9"/>
      <c r="S103" s="15"/>
      <c r="T103" s="9"/>
      <c r="U103" s="15"/>
      <c r="V103" s="9"/>
      <c r="W103" s="15"/>
      <c r="X103" s="9"/>
      <c r="Y103" s="15"/>
      <c r="Z103" s="112">
        <v>2065</v>
      </c>
      <c r="AA103" s="15" t="s">
        <v>5733</v>
      </c>
      <c r="AB103" s="9"/>
      <c r="AC103" s="15"/>
      <c r="AD103" s="9">
        <v>1329.99</v>
      </c>
      <c r="AE103" s="15" t="s">
        <v>5822</v>
      </c>
      <c r="AF103" s="9">
        <v>4464.99</v>
      </c>
      <c r="AG103" s="15" t="s">
        <v>5865</v>
      </c>
      <c r="AH103" s="15"/>
      <c r="AI103" s="15"/>
      <c r="AJ103" s="9"/>
      <c r="AK103" s="15"/>
      <c r="AL103" s="95">
        <f>+SUM(AL92:AL102)</f>
        <v>83915.54</v>
      </c>
      <c r="AM103" s="15"/>
      <c r="AN103" s="9"/>
      <c r="AO103" s="15"/>
      <c r="AP103" s="9">
        <v>2250.0100000000002</v>
      </c>
      <c r="AQ103" s="15" t="s">
        <v>6088</v>
      </c>
      <c r="AR103" s="95">
        <f>+SUM(AR96:AR102)</f>
        <v>15171</v>
      </c>
      <c r="AS103" s="15"/>
      <c r="AT103" s="9"/>
      <c r="AU103" s="15"/>
      <c r="AV103" s="9"/>
      <c r="AW103" s="15"/>
      <c r="AX103" s="9"/>
      <c r="AY103" s="15"/>
      <c r="AZ103" s="9"/>
      <c r="BA103" s="15"/>
      <c r="BB103" s="9"/>
      <c r="BC103" s="15"/>
      <c r="BD103" s="9"/>
      <c r="BE103" s="15"/>
      <c r="BF103" s="201">
        <v>4395.01</v>
      </c>
      <c r="BG103" t="s">
        <v>6442</v>
      </c>
      <c r="BH103" s="9"/>
      <c r="BI103" s="15"/>
      <c r="BJ103" s="9"/>
      <c r="BK103" s="1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</row>
    <row r="104" spans="1:92" x14ac:dyDescent="0.25">
      <c r="A104" s="41"/>
      <c r="B104" s="9"/>
      <c r="C104" s="15"/>
      <c r="D104" s="95">
        <f>+SUM(D92:D103)</f>
        <v>34586.97</v>
      </c>
      <c r="E104" s="15"/>
      <c r="F104" s="15"/>
      <c r="G104" s="15"/>
      <c r="H104" s="9"/>
      <c r="I104" s="15"/>
      <c r="J104" s="9"/>
      <c r="K104" s="15"/>
      <c r="L104" s="9">
        <v>4395.01</v>
      </c>
      <c r="M104" s="15" t="s">
        <v>5476</v>
      </c>
      <c r="N104" s="9"/>
      <c r="O104" s="15"/>
      <c r="P104" s="9"/>
      <c r="Q104" s="15"/>
      <c r="R104" s="9"/>
      <c r="S104" s="15"/>
      <c r="T104" s="9"/>
      <c r="U104" s="15"/>
      <c r="V104" s="9"/>
      <c r="W104" s="15"/>
      <c r="X104" s="9"/>
      <c r="Y104" s="15"/>
      <c r="Z104" s="112">
        <v>3238.99</v>
      </c>
      <c r="AA104" s="15" t="s">
        <v>5735</v>
      </c>
      <c r="AB104" s="9"/>
      <c r="AC104" s="15"/>
      <c r="AD104" s="9">
        <v>417.55</v>
      </c>
      <c r="AE104" s="15" t="s">
        <v>5826</v>
      </c>
      <c r="AF104" s="9">
        <v>464</v>
      </c>
      <c r="AG104" s="15" t="s">
        <v>5867</v>
      </c>
      <c r="AH104" s="9"/>
      <c r="AI104" s="15"/>
      <c r="AJ104" s="9"/>
      <c r="AK104" s="15"/>
      <c r="AL104" s="9"/>
      <c r="AM104" s="15"/>
      <c r="AN104" s="9"/>
      <c r="AO104" s="15"/>
      <c r="AP104" s="9">
        <v>3320</v>
      </c>
      <c r="AQ104" s="15" t="s">
        <v>6089</v>
      </c>
      <c r="AR104" s="9">
        <f>522.46+500</f>
        <v>1022.46</v>
      </c>
      <c r="AS104" s="15"/>
      <c r="AT104" s="9"/>
      <c r="AU104" s="15"/>
      <c r="AV104" s="9"/>
      <c r="AW104" s="15"/>
      <c r="AX104" s="9"/>
      <c r="AY104" s="15"/>
      <c r="AZ104" s="9"/>
      <c r="BA104" s="15"/>
      <c r="BB104" s="9"/>
      <c r="BC104" s="15"/>
      <c r="BD104" s="9"/>
      <c r="BE104" s="15"/>
      <c r="BF104" s="201">
        <v>839.62</v>
      </c>
      <c r="BG104" t="s">
        <v>6443</v>
      </c>
      <c r="BH104" s="9"/>
      <c r="BI104" s="15"/>
      <c r="BJ104" s="9"/>
      <c r="BK104" s="1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</row>
    <row r="105" spans="1:92" x14ac:dyDescent="0.25">
      <c r="A105" s="41"/>
      <c r="B105" s="9"/>
      <c r="C105" s="15"/>
      <c r="D105" s="9"/>
      <c r="E105" s="15"/>
      <c r="F105" s="9"/>
      <c r="G105" s="15"/>
      <c r="H105" s="9"/>
      <c r="I105" s="15"/>
      <c r="J105" s="9"/>
      <c r="K105" s="15"/>
      <c r="L105" s="9">
        <v>1169</v>
      </c>
      <c r="M105" s="15" t="s">
        <v>5477</v>
      </c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112">
        <v>1099.01</v>
      </c>
      <c r="AA105" s="15" t="s">
        <v>5741</v>
      </c>
      <c r="AB105" s="9"/>
      <c r="AC105" s="15"/>
      <c r="AD105" s="9">
        <v>331.71</v>
      </c>
      <c r="AE105" s="15" t="s">
        <v>5829</v>
      </c>
      <c r="AF105" s="9">
        <v>3239.01</v>
      </c>
      <c r="AG105" s="15" t="s">
        <v>5871</v>
      </c>
      <c r="AH105" s="9"/>
      <c r="AI105" s="15"/>
      <c r="AJ105" s="15"/>
      <c r="AK105" s="15"/>
      <c r="AL105" s="15">
        <v>922.58</v>
      </c>
      <c r="AM105" s="15" t="s">
        <v>6068</v>
      </c>
      <c r="AN105" s="9"/>
      <c r="AO105" s="15"/>
      <c r="AP105" s="9">
        <v>88107.06</v>
      </c>
      <c r="AQ105" s="15" t="s">
        <v>6093</v>
      </c>
      <c r="AR105" s="15">
        <f>+AR103+AR104</f>
        <v>16193.46</v>
      </c>
      <c r="AS105" s="15"/>
      <c r="AT105" s="9"/>
      <c r="AU105" s="15"/>
      <c r="AV105" s="9"/>
      <c r="AW105" s="15"/>
      <c r="AX105" s="9"/>
      <c r="AY105" s="15"/>
      <c r="AZ105" s="9"/>
      <c r="BA105" s="15"/>
      <c r="BB105" s="9"/>
      <c r="BC105" s="15"/>
      <c r="BD105" s="9"/>
      <c r="BE105" s="15"/>
      <c r="BF105" s="201">
        <f>4032.43-360-3372.49</f>
        <v>299.94000000000005</v>
      </c>
      <c r="BG105" t="s">
        <v>6431</v>
      </c>
      <c r="BH105" s="9"/>
      <c r="BI105" s="15"/>
      <c r="BJ105" s="9"/>
      <c r="BK105" s="1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</row>
    <row r="106" spans="1:92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>
        <v>1970</v>
      </c>
      <c r="M106" s="15" t="s">
        <v>5478</v>
      </c>
      <c r="N106" s="9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112">
        <v>1168.99</v>
      </c>
      <c r="AA106" s="15" t="s">
        <v>5749</v>
      </c>
      <c r="AB106" s="9"/>
      <c r="AC106" s="15"/>
      <c r="AD106" s="95">
        <f>+SUM(AD96:AD105)</f>
        <v>47032.320000000007</v>
      </c>
      <c r="AE106" s="15"/>
      <c r="AF106" s="95">
        <f>+SUM(AF96:AF105)</f>
        <v>23297.29</v>
      </c>
      <c r="AG106" s="15"/>
      <c r="AH106" s="9"/>
      <c r="AI106" s="15"/>
      <c r="AJ106" s="9"/>
      <c r="AK106" s="15"/>
      <c r="AL106" s="9"/>
      <c r="AM106" s="15"/>
      <c r="AN106" s="9"/>
      <c r="AO106" s="15"/>
      <c r="AP106" s="9">
        <v>2936.01</v>
      </c>
      <c r="AQ106" s="15" t="s">
        <v>6094</v>
      </c>
      <c r="AR106" s="9"/>
      <c r="AS106" s="15"/>
      <c r="AT106" s="9"/>
      <c r="AU106" s="15"/>
      <c r="AV106" s="9"/>
      <c r="AW106" s="15"/>
      <c r="AX106" s="9"/>
      <c r="AY106" s="15"/>
      <c r="AZ106" s="9"/>
      <c r="BA106" s="15"/>
      <c r="BB106" s="9"/>
      <c r="BC106" s="15"/>
      <c r="BD106" s="9"/>
      <c r="BE106" s="15"/>
      <c r="BF106" s="95">
        <f>+SUM(BF95:BF105)</f>
        <v>25677.370000000003</v>
      </c>
      <c r="BG106" s="15"/>
      <c r="BH106" s="9"/>
      <c r="BI106" s="15"/>
      <c r="BJ106" s="9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</row>
    <row r="107" spans="1:92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95">
        <f>+SUM(L92:L106)</f>
        <v>31973.58</v>
      </c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112">
        <v>1995</v>
      </c>
      <c r="AA107" s="15" t="s">
        <v>5750</v>
      </c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>
        <v>1970</v>
      </c>
      <c r="AQ107" s="15" t="s">
        <v>6100</v>
      </c>
      <c r="AR107" s="9"/>
      <c r="AS107" s="15"/>
      <c r="AT107" s="9"/>
      <c r="AU107" s="15"/>
      <c r="AV107" s="9"/>
      <c r="AW107" s="15"/>
      <c r="AX107" s="9"/>
      <c r="AY107" s="15"/>
      <c r="AZ107" s="9"/>
      <c r="BA107" s="15"/>
      <c r="BB107" s="9"/>
      <c r="BC107" s="15"/>
      <c r="BD107" s="9"/>
      <c r="BE107" s="15"/>
      <c r="BF107" s="95"/>
      <c r="BG107" s="15"/>
      <c r="BH107" s="9"/>
      <c r="BI107" s="15"/>
      <c r="BJ107" s="9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</row>
    <row r="108" spans="1:92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112">
        <v>1399.01</v>
      </c>
      <c r="AA108" s="15" t="s">
        <v>5751</v>
      </c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>
        <v>2065</v>
      </c>
      <c r="AQ108" s="15" t="s">
        <v>6101</v>
      </c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</row>
    <row r="109" spans="1:92" x14ac:dyDescent="0.25">
      <c r="A109" s="41"/>
      <c r="B109" s="9"/>
      <c r="C109" s="15"/>
      <c r="D109" s="9"/>
      <c r="E109" s="15"/>
      <c r="F109" s="9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112">
        <v>1169</v>
      </c>
      <c r="AA109" s="15" t="s">
        <v>5755</v>
      </c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>
        <v>4588.9799999999996</v>
      </c>
      <c r="AQ109" s="15" t="s">
        <v>6104</v>
      </c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</row>
    <row r="110" spans="1:92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13">
        <v>1588.99</v>
      </c>
      <c r="AA110" s="13" t="s">
        <v>5756</v>
      </c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>
        <v>2064.9899999999998</v>
      </c>
      <c r="AQ110" s="13" t="s">
        <v>6105</v>
      </c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</row>
    <row r="111" spans="1:92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13">
        <v>127.46</v>
      </c>
      <c r="AA111" s="13" t="s">
        <v>5760</v>
      </c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1">
        <f>+SUM(AP94:AP110)</f>
        <v>127854.65999999999</v>
      </c>
      <c r="AQ111" s="13"/>
      <c r="AR111" s="11"/>
      <c r="AS111" s="13"/>
      <c r="AT111" s="11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</row>
    <row r="112" spans="1:92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95">
        <v>1185.8</v>
      </c>
      <c r="AA112" s="23" t="s">
        <v>5761</v>
      </c>
      <c r="AB112" s="11"/>
      <c r="AC112" s="13"/>
      <c r="AD112" s="11"/>
      <c r="AE112" s="13"/>
      <c r="AF112" s="11"/>
      <c r="AG112" s="13"/>
      <c r="AH112" s="11"/>
      <c r="AI112" s="13"/>
      <c r="AJ112" s="11"/>
      <c r="AK112" s="13"/>
      <c r="AL112" s="11">
        <v>7908.94</v>
      </c>
      <c r="AM112" s="13" t="s">
        <v>5998</v>
      </c>
      <c r="AN112" s="11"/>
      <c r="AO112" s="13"/>
      <c r="AP112" s="194">
        <v>20000</v>
      </c>
      <c r="AQ112" s="13" t="s">
        <v>6080</v>
      </c>
      <c r="AR112" s="11"/>
      <c r="AS112" s="13"/>
      <c r="AT112" s="11"/>
      <c r="AU112" s="13"/>
      <c r="AV112" s="11"/>
      <c r="AW112" s="13"/>
      <c r="AX112" s="11"/>
      <c r="AY112" s="13"/>
      <c r="AZ112" s="11"/>
      <c r="BA112" s="13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</row>
    <row r="113" spans="1:92" x14ac:dyDescent="0.25">
      <c r="A113" s="42" t="s">
        <v>7</v>
      </c>
      <c r="B113" s="14"/>
      <c r="C113" s="23"/>
      <c r="D113" s="14"/>
      <c r="E113" s="23"/>
      <c r="F113" s="23">
        <v>1168.99</v>
      </c>
      <c r="G113" s="23" t="s">
        <v>5300</v>
      </c>
      <c r="H113" s="23"/>
      <c r="I113" s="23"/>
      <c r="J113" s="14">
        <v>1099</v>
      </c>
      <c r="K113" s="23" t="s">
        <v>5414</v>
      </c>
      <c r="L113" s="23"/>
      <c r="M113" s="23"/>
      <c r="N113" s="14"/>
      <c r="O113" s="23"/>
      <c r="P113" s="14"/>
      <c r="Q113" s="23"/>
      <c r="R113" s="14"/>
      <c r="S113" s="23"/>
      <c r="T113" s="14"/>
      <c r="U113" s="23"/>
      <c r="V113" s="14"/>
      <c r="W113" s="23"/>
      <c r="X113" s="14"/>
      <c r="Y113" s="23"/>
      <c r="Z113" s="195">
        <v>511.49</v>
      </c>
      <c r="AA113" s="23" t="s">
        <v>5764</v>
      </c>
      <c r="AB113" s="14"/>
      <c r="AC113" s="23"/>
      <c r="AD113" s="14">
        <v>2040</v>
      </c>
      <c r="AE113" s="23" t="s">
        <v>5774</v>
      </c>
      <c r="AF113" s="23">
        <v>3749.24</v>
      </c>
      <c r="AG113" s="14" t="s">
        <v>5868</v>
      </c>
      <c r="AH113" s="23"/>
      <c r="AI113" s="14"/>
      <c r="AJ113" s="14"/>
      <c r="AK113" s="23"/>
      <c r="AL113" s="14">
        <v>4354</v>
      </c>
      <c r="AM113" s="23" t="s">
        <v>6011</v>
      </c>
      <c r="AN113" s="23"/>
      <c r="AO113" s="23"/>
      <c r="AP113" s="14"/>
      <c r="AQ113" s="23"/>
      <c r="AR113" s="14"/>
      <c r="AS113" s="23"/>
      <c r="AT113" s="14"/>
      <c r="AU113" s="23"/>
      <c r="AV113" s="23"/>
      <c r="AW113" s="23"/>
      <c r="AX113" s="80">
        <v>2065</v>
      </c>
      <c r="AY113" s="23" t="s">
        <v>6288</v>
      </c>
      <c r="AZ113" s="14"/>
      <c r="BA113" s="23"/>
      <c r="BB113" s="14"/>
      <c r="BC113" s="23"/>
      <c r="BD113" s="14"/>
      <c r="BE113" s="23"/>
      <c r="BF113" s="14"/>
      <c r="BG113" s="23"/>
      <c r="BH113" s="14"/>
      <c r="BI113" s="23"/>
      <c r="BJ113" s="14"/>
      <c r="BK113" s="23"/>
      <c r="BL113" s="14"/>
      <c r="BM113" s="23"/>
      <c r="BN113" s="14"/>
      <c r="BO113" s="23"/>
      <c r="BP113" s="14"/>
      <c r="BQ113" s="23"/>
      <c r="BR113" s="14"/>
      <c r="BS113" s="23"/>
      <c r="BT113" s="14"/>
      <c r="BU113" s="23"/>
      <c r="BV113" s="14"/>
      <c r="BW113" s="23"/>
      <c r="BX113" s="14"/>
      <c r="BY113" s="23"/>
      <c r="BZ113" s="14"/>
      <c r="CA113" s="23"/>
      <c r="CB113" s="14"/>
      <c r="CC113" s="23"/>
      <c r="CD113" s="14"/>
      <c r="CE113" s="23"/>
      <c r="CF113" s="14"/>
      <c r="CG113" s="23"/>
      <c r="CH113" s="14"/>
      <c r="CI113" s="23"/>
      <c r="CJ113" s="14"/>
      <c r="CK113" s="23"/>
      <c r="CL113" s="14"/>
      <c r="CM113" s="23"/>
      <c r="CN113" s="14"/>
    </row>
    <row r="114" spans="1:92" x14ac:dyDescent="0.25">
      <c r="A114" s="42"/>
      <c r="B114" s="14"/>
      <c r="C114" s="23"/>
      <c r="D114" s="14"/>
      <c r="E114" s="23"/>
      <c r="F114" s="14"/>
      <c r="G114" s="23"/>
      <c r="H114" s="14"/>
      <c r="I114" s="23"/>
      <c r="J114" s="14">
        <v>2000.01</v>
      </c>
      <c r="K114" s="23" t="s">
        <v>5424</v>
      </c>
      <c r="L114" s="14"/>
      <c r="M114" s="23"/>
      <c r="N114" s="14"/>
      <c r="O114" s="23"/>
      <c r="P114" s="14"/>
      <c r="Q114" s="23"/>
      <c r="R114" s="14">
        <v>5000</v>
      </c>
      <c r="S114" s="23" t="s">
        <v>5528</v>
      </c>
      <c r="T114" s="14"/>
      <c r="U114" s="23"/>
      <c r="V114" s="14"/>
      <c r="W114" s="23"/>
      <c r="X114" s="14"/>
      <c r="Y114" s="23"/>
      <c r="Z114" s="23">
        <f>+SUM(Z91:Z113)</f>
        <v>63646.45</v>
      </c>
      <c r="AA114" s="23"/>
      <c r="AB114" s="14"/>
      <c r="AC114" s="23"/>
      <c r="AD114" s="14"/>
      <c r="AE114" s="23"/>
      <c r="AF114" s="14"/>
      <c r="AG114" s="23"/>
      <c r="AH114" s="14"/>
      <c r="AI114" s="23"/>
      <c r="AJ114" s="14"/>
      <c r="AK114" s="23"/>
      <c r="AL114" s="111">
        <f>+AL112+AL113</f>
        <v>12262.939999999999</v>
      </c>
      <c r="AM114" s="23"/>
      <c r="AN114" s="14"/>
      <c r="AO114" s="23"/>
      <c r="AP114" s="14"/>
      <c r="AQ114" s="23"/>
      <c r="AR114" s="14"/>
      <c r="AS114" s="23"/>
      <c r="AT114" s="14"/>
      <c r="AU114" s="23"/>
      <c r="AV114" s="14"/>
      <c r="AW114" s="23"/>
      <c r="AX114" s="14"/>
      <c r="AY114" s="23"/>
      <c r="AZ114" s="14"/>
      <c r="BA114" s="23"/>
      <c r="BB114" s="14"/>
      <c r="BC114" s="23"/>
      <c r="BD114" s="14"/>
      <c r="BE114" s="23"/>
      <c r="BF114" s="14"/>
      <c r="BG114" s="23"/>
      <c r="BH114" s="14"/>
      <c r="BI114" s="23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</row>
    <row r="115" spans="1:92" x14ac:dyDescent="0.25">
      <c r="A115" s="42"/>
      <c r="B115" s="23"/>
      <c r="C115" s="23"/>
      <c r="D115" s="23"/>
      <c r="E115" s="23"/>
      <c r="F115" s="23"/>
      <c r="G115" s="23"/>
      <c r="H115" s="23"/>
      <c r="I115" s="23"/>
      <c r="J115" s="14">
        <v>1549.01</v>
      </c>
      <c r="K115" s="23" t="s">
        <v>5427</v>
      </c>
      <c r="L115" s="23"/>
      <c r="M115" s="23"/>
      <c r="N115" s="23"/>
      <c r="O115" s="23"/>
      <c r="P115" s="23"/>
      <c r="Q115" s="23"/>
      <c r="R115" s="14">
        <v>2420</v>
      </c>
      <c r="S115" s="23" t="s">
        <v>5572</v>
      </c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14"/>
      <c r="AE115" s="23"/>
      <c r="AF115" s="14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14"/>
      <c r="BC115" s="23"/>
      <c r="BD115" s="23">
        <v>1169</v>
      </c>
      <c r="BE115" s="23" t="s">
        <v>6371</v>
      </c>
      <c r="BF115" s="202">
        <v>4039.82</v>
      </c>
      <c r="BG115" t="s">
        <v>6444</v>
      </c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</row>
    <row r="116" spans="1:92" x14ac:dyDescent="0.25">
      <c r="A116" s="43"/>
      <c r="B116" s="11"/>
      <c r="C116" s="13"/>
      <c r="D116" s="11"/>
      <c r="E116" s="13"/>
      <c r="F116" s="11"/>
      <c r="G116" s="13"/>
      <c r="H116" s="11"/>
      <c r="I116" s="13"/>
      <c r="J116" s="194">
        <f>+SUM(J112:J115)</f>
        <v>4648.0200000000004</v>
      </c>
      <c r="K116" s="13"/>
      <c r="L116" s="11"/>
      <c r="M116" s="13"/>
      <c r="N116" s="11"/>
      <c r="O116" s="13"/>
      <c r="P116" s="23"/>
      <c r="Q116" s="13"/>
      <c r="R116" s="14">
        <v>8520.14</v>
      </c>
      <c r="S116" s="13" t="s">
        <v>5573</v>
      </c>
      <c r="T116" s="11"/>
      <c r="U116" s="13"/>
      <c r="V116" s="11"/>
      <c r="W116" s="13"/>
      <c r="X116" s="11"/>
      <c r="Y116" s="13"/>
      <c r="Z116" s="11"/>
      <c r="AA116" s="13"/>
      <c r="AB116" s="11"/>
      <c r="AC116" s="13"/>
      <c r="AD116" s="15"/>
      <c r="AE116" s="13"/>
      <c r="AF116" s="11"/>
      <c r="AG116" s="13"/>
      <c r="AH116" s="11"/>
      <c r="AI116" s="13"/>
      <c r="AJ116" s="11"/>
      <c r="AK116" s="13"/>
      <c r="AL116" s="11"/>
      <c r="AM116" s="13"/>
      <c r="AN116" s="11"/>
      <c r="AO116" s="13"/>
      <c r="AP116" s="11"/>
      <c r="AQ116" s="13"/>
      <c r="AR116" s="11"/>
      <c r="AS116" s="13"/>
      <c r="AT116" s="11"/>
      <c r="AU116" s="13"/>
      <c r="AV116" s="11"/>
      <c r="AW116" s="13"/>
      <c r="AX116" s="11"/>
      <c r="AY116" s="13"/>
      <c r="AZ116" s="11"/>
      <c r="BA116" s="13"/>
      <c r="BB116" s="15"/>
      <c r="BC116" s="13"/>
      <c r="BD116" s="11"/>
      <c r="BE116" s="13"/>
      <c r="BF116" s="11"/>
      <c r="BG116" s="13"/>
      <c r="BH116" s="11"/>
      <c r="BI116" s="13"/>
      <c r="BJ116" s="11"/>
      <c r="BK116" s="13"/>
      <c r="BL116" s="11"/>
      <c r="BM116" s="13"/>
      <c r="BN116" s="11"/>
      <c r="BO116" s="13"/>
      <c r="BP116" s="11"/>
      <c r="BQ116" s="13"/>
      <c r="BR116" s="11"/>
      <c r="BS116" s="13"/>
      <c r="BT116" s="11"/>
      <c r="BU116" s="13"/>
      <c r="BV116" s="11"/>
      <c r="BW116" s="13"/>
      <c r="BX116" s="11"/>
      <c r="BY116" s="13"/>
      <c r="BZ116" s="11"/>
      <c r="CA116" s="13"/>
      <c r="CB116" s="11"/>
      <c r="CC116" s="13"/>
      <c r="CD116" s="11"/>
      <c r="CE116" s="13"/>
      <c r="CF116" s="11"/>
      <c r="CG116" s="13"/>
      <c r="CH116" s="11"/>
      <c r="CI116" s="13"/>
      <c r="CJ116" s="11"/>
      <c r="CK116" s="13"/>
      <c r="CL116" s="11"/>
      <c r="CM116" s="13"/>
      <c r="CN116" s="11"/>
    </row>
    <row r="117" spans="1:92" x14ac:dyDescent="0.25">
      <c r="A117" s="43"/>
      <c r="B117" s="11"/>
      <c r="C117" s="13"/>
      <c r="D117" s="11"/>
      <c r="E117" s="13"/>
      <c r="F117" s="11"/>
      <c r="G117" s="13"/>
      <c r="H117" s="11"/>
      <c r="I117" s="13"/>
      <c r="J117" s="11"/>
      <c r="K117" s="13"/>
      <c r="L117" s="11"/>
      <c r="M117" s="13"/>
      <c r="N117" s="11"/>
      <c r="O117" s="13"/>
      <c r="P117" s="11"/>
      <c r="Q117" s="13"/>
      <c r="R117" s="23">
        <f>+R114+R115+R116</f>
        <v>15940.14</v>
      </c>
      <c r="S117" s="13"/>
      <c r="T117" s="11"/>
      <c r="U117" s="13"/>
      <c r="V117" s="11"/>
      <c r="W117" s="13"/>
      <c r="X117" s="11"/>
      <c r="Y117" s="13"/>
      <c r="Z117" s="11"/>
      <c r="AA117" s="13"/>
      <c r="AB117" s="11"/>
      <c r="AC117" s="13"/>
      <c r="AD117" s="11"/>
      <c r="AE117" s="13"/>
      <c r="AF117" s="23"/>
      <c r="AG117" s="13"/>
      <c r="AH117" s="11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"/>
      <c r="AS117" s="13"/>
      <c r="AT117" s="11"/>
      <c r="AU117" s="13"/>
      <c r="AV117" s="11"/>
      <c r="AW117" s="13"/>
      <c r="AX117" s="11"/>
      <c r="AY117" s="13"/>
      <c r="AZ117" s="11"/>
      <c r="BA117" s="13"/>
      <c r="BB117" s="11"/>
      <c r="BC117" s="13"/>
      <c r="BD117" s="11"/>
      <c r="BE117" s="13"/>
      <c r="BF117" s="11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</row>
    <row r="118" spans="1:92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11"/>
      <c r="S118" s="13"/>
      <c r="T118" s="11"/>
      <c r="U118" s="13"/>
      <c r="V118" s="11"/>
      <c r="W118" s="13"/>
      <c r="X118" s="11"/>
      <c r="Y118" s="13"/>
      <c r="Z118" s="11"/>
      <c r="AA118" s="13"/>
      <c r="AB118" s="11"/>
      <c r="AC118" s="13"/>
      <c r="AD118" s="11"/>
      <c r="AE118" s="13"/>
      <c r="AF118" s="11"/>
      <c r="AG118" s="13"/>
      <c r="AH118" s="11"/>
      <c r="AI118" s="13"/>
      <c r="AJ118" s="11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11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</row>
    <row r="119" spans="1:92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1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</row>
    <row r="120" spans="1:92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1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</row>
    <row r="121" spans="1:92" x14ac:dyDescent="0.25">
      <c r="A121" s="42" t="s">
        <v>5</v>
      </c>
      <c r="B121" s="14">
        <f>+B61</f>
        <v>40000</v>
      </c>
      <c r="C121" s="23"/>
      <c r="D121" s="14"/>
      <c r="E121" s="23"/>
      <c r="F121" s="14">
        <f>+F76</f>
        <v>63163.42</v>
      </c>
      <c r="G121" s="23"/>
      <c r="H121" s="14">
        <f>+H74</f>
        <v>34893.729999999996</v>
      </c>
      <c r="I121" s="23"/>
      <c r="J121" s="14">
        <f>+J74</f>
        <v>44012.639999999992</v>
      </c>
      <c r="K121" s="23"/>
      <c r="L121" s="14">
        <f>+L65</f>
        <v>14902.22</v>
      </c>
      <c r="M121" s="23"/>
      <c r="N121" s="14"/>
      <c r="O121" s="23"/>
      <c r="P121" s="14">
        <f>+P68</f>
        <v>50360.539999999994</v>
      </c>
      <c r="Q121" s="23"/>
      <c r="R121" s="14">
        <f>+R71</f>
        <v>31767.989999999998</v>
      </c>
      <c r="S121" s="23"/>
      <c r="T121" s="14">
        <f>+T71</f>
        <v>27556.019999999997</v>
      </c>
      <c r="U121" s="23"/>
      <c r="V121" s="14">
        <f>+V67</f>
        <v>21566.290000000005</v>
      </c>
      <c r="W121" s="23"/>
      <c r="X121" s="14">
        <f>+X68</f>
        <v>53407.51</v>
      </c>
      <c r="Y121" s="23"/>
      <c r="Z121" s="14">
        <f>+Z62</f>
        <v>968.77</v>
      </c>
      <c r="AA121" s="23"/>
      <c r="AB121" s="14"/>
      <c r="AC121" s="23"/>
      <c r="AD121" s="14">
        <f>+AD64+AD59</f>
        <v>22512.870000000003</v>
      </c>
      <c r="AE121" s="23"/>
      <c r="AF121" s="14">
        <f>+AF61</f>
        <v>7465.08</v>
      </c>
      <c r="AG121" s="23"/>
      <c r="AH121" s="14">
        <f>+AH62+AH69</f>
        <v>31595.83</v>
      </c>
      <c r="AI121" s="23"/>
      <c r="AJ121" s="14">
        <f>+AJ61+AJ79</f>
        <v>87902.31</v>
      </c>
      <c r="AK121" s="23"/>
      <c r="AL121" s="14">
        <f>+AL66+AL68</f>
        <v>48366.030000000006</v>
      </c>
      <c r="AM121" s="23"/>
      <c r="AN121" s="14">
        <f>+AN69</f>
        <v>18130.259999999995</v>
      </c>
      <c r="AO121" s="23"/>
      <c r="AP121" s="14">
        <f>+AP62+AP70</f>
        <v>45360.969999999994</v>
      </c>
      <c r="AQ121" s="23"/>
      <c r="AR121" s="14">
        <f>+AR59+AR72</f>
        <v>60561.880000000012</v>
      </c>
      <c r="AS121" s="23"/>
      <c r="AT121" s="14"/>
      <c r="AU121" s="23"/>
      <c r="AV121" s="14">
        <f>+AV61+AV73</f>
        <v>32304.410000000003</v>
      </c>
      <c r="AW121" s="23"/>
      <c r="AX121" s="14">
        <f>+AX64+AX68</f>
        <v>9733.8100000000013</v>
      </c>
      <c r="AY121" s="23"/>
      <c r="AZ121" s="14">
        <f>+AZ71</f>
        <v>26217.019999999997</v>
      </c>
      <c r="BA121" s="23"/>
      <c r="BB121" s="14"/>
      <c r="BC121" s="23"/>
      <c r="BD121" s="14">
        <f>+BD72+BD77</f>
        <v>26947.839999999997</v>
      </c>
      <c r="BE121" s="23"/>
      <c r="BF121" s="14">
        <f>+BF61</f>
        <v>6995</v>
      </c>
      <c r="BG121" s="23"/>
      <c r="BH121" s="14">
        <f>+BH63+BH81</f>
        <v>64142.29</v>
      </c>
      <c r="BI121" s="23"/>
      <c r="BJ121" s="14"/>
      <c r="BK121" s="23"/>
      <c r="BL121" s="14"/>
      <c r="BM121" s="23"/>
      <c r="BN121" s="14"/>
      <c r="BO121" s="23"/>
      <c r="BP121" s="14"/>
      <c r="BQ121" s="23"/>
      <c r="BR121" s="14"/>
      <c r="BS121" s="23"/>
      <c r="BT121" s="14"/>
      <c r="BU121" s="23"/>
      <c r="BV121" s="14"/>
      <c r="BW121" s="23"/>
      <c r="BX121" s="14"/>
      <c r="BY121" s="23"/>
      <c r="BZ121" s="14"/>
      <c r="CA121" s="23"/>
      <c r="CB121" s="14"/>
      <c r="CC121" s="23"/>
      <c r="CD121" s="14"/>
      <c r="CE121" s="23"/>
      <c r="CF121" s="14"/>
      <c r="CG121" s="23"/>
      <c r="CH121" s="14"/>
      <c r="CI121" s="23"/>
      <c r="CJ121" s="14"/>
      <c r="CK121" s="23"/>
      <c r="CL121" s="14"/>
      <c r="CM121" s="23"/>
      <c r="CN121" s="14"/>
    </row>
    <row r="122" spans="1:92" x14ac:dyDescent="0.25">
      <c r="A122" s="42" t="s">
        <v>8</v>
      </c>
      <c r="B122" s="14"/>
      <c r="C122" s="23"/>
      <c r="D122" s="14">
        <f>+D104</f>
        <v>34586.97</v>
      </c>
      <c r="E122" s="23"/>
      <c r="F122" s="14">
        <f>+F98</f>
        <v>11376.93</v>
      </c>
      <c r="G122" s="23"/>
      <c r="H122" s="14">
        <f>+H96</f>
        <v>9791.630000000001</v>
      </c>
      <c r="I122" s="23"/>
      <c r="J122" s="14">
        <f>+J99</f>
        <v>51078.78</v>
      </c>
      <c r="K122" s="23"/>
      <c r="L122" s="14">
        <f>+L107</f>
        <v>31973.58</v>
      </c>
      <c r="M122" s="23"/>
      <c r="N122" s="14">
        <f>+N92</f>
        <v>1000</v>
      </c>
      <c r="O122" s="23"/>
      <c r="P122" s="14">
        <f>+P98</f>
        <v>19148.989999999998</v>
      </c>
      <c r="Q122" s="23"/>
      <c r="R122" s="14">
        <f>+R99</f>
        <v>19343.980000000003</v>
      </c>
      <c r="S122" s="23"/>
      <c r="T122" s="14">
        <f>+T95</f>
        <v>6604</v>
      </c>
      <c r="U122" s="23"/>
      <c r="V122" s="14">
        <f>+V96</f>
        <v>8779.02</v>
      </c>
      <c r="W122" s="23"/>
      <c r="X122" s="14">
        <f>+X100</f>
        <v>15986.83</v>
      </c>
      <c r="Y122" s="23"/>
      <c r="Z122" s="14">
        <f>+Z114</f>
        <v>63646.45</v>
      </c>
      <c r="AA122" s="23"/>
      <c r="AB122" s="14">
        <f>+AB95</f>
        <v>35000</v>
      </c>
      <c r="AC122" s="23"/>
      <c r="AD122" s="14">
        <f>+AD94+AD106</f>
        <v>48829.830000000009</v>
      </c>
      <c r="AE122" s="23"/>
      <c r="AF122" s="14">
        <f>+AF94+AF106</f>
        <v>42159.229999999996</v>
      </c>
      <c r="AG122" s="23"/>
      <c r="AH122" s="14">
        <f>+AH99</f>
        <v>23316</v>
      </c>
      <c r="AI122" s="23"/>
      <c r="AJ122" s="14">
        <f>+AJ94+AJ101</f>
        <v>12832.22</v>
      </c>
      <c r="AK122" s="23"/>
      <c r="AL122" s="14">
        <f>+AL103+AL105</f>
        <v>84838.12</v>
      </c>
      <c r="AM122" s="23"/>
      <c r="AN122" s="14">
        <f>+AN99</f>
        <v>8748.98</v>
      </c>
      <c r="AO122" s="23"/>
      <c r="AP122" s="14">
        <f>+AP92+AP111</f>
        <v>129887.65999999999</v>
      </c>
      <c r="AQ122" s="23"/>
      <c r="AR122" s="14">
        <f>+AR94+AR103</f>
        <v>16193.46</v>
      </c>
      <c r="AS122" s="23"/>
      <c r="AT122" s="14">
        <f>+AT61</f>
        <v>5253.82</v>
      </c>
      <c r="AU122" s="23"/>
      <c r="AV122" s="14">
        <f>+AV92+AV99</f>
        <v>30938.16</v>
      </c>
      <c r="AW122" s="23"/>
      <c r="AX122" s="14">
        <f>+AX97+AX99</f>
        <v>13701.93</v>
      </c>
      <c r="AY122" s="23"/>
      <c r="AZ122" s="14">
        <f>+AZ92</f>
        <v>2639.99</v>
      </c>
      <c r="BA122" s="23"/>
      <c r="BB122" s="14"/>
      <c r="BC122" s="23"/>
      <c r="BD122" s="14">
        <f>+BD95</f>
        <v>12450.939999999999</v>
      </c>
      <c r="BE122" s="23"/>
      <c r="BF122" s="14">
        <f>+BF94+BF106</f>
        <v>31075.350000000002</v>
      </c>
      <c r="BG122" s="23"/>
      <c r="BH122" s="14">
        <f>+BH92+BH99</f>
        <v>20930.629999999997</v>
      </c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</row>
    <row r="123" spans="1:92" x14ac:dyDescent="0.25">
      <c r="A123" s="42" t="s">
        <v>7</v>
      </c>
      <c r="B123" s="14"/>
      <c r="C123" s="23"/>
      <c r="D123" s="14"/>
      <c r="E123" s="23"/>
      <c r="F123" s="14">
        <f>+F113</f>
        <v>1168.99</v>
      </c>
      <c r="G123" s="23"/>
      <c r="H123" s="14"/>
      <c r="I123" s="23"/>
      <c r="J123" s="14">
        <f>+J116</f>
        <v>4648.0200000000004</v>
      </c>
      <c r="K123" s="23"/>
      <c r="L123" s="14"/>
      <c r="M123" s="23"/>
      <c r="N123" s="14"/>
      <c r="O123" s="23"/>
      <c r="P123" s="14"/>
      <c r="Q123" s="23"/>
      <c r="R123" s="14">
        <f>+R117</f>
        <v>15940.14</v>
      </c>
      <c r="S123" s="23"/>
      <c r="T123" s="14"/>
      <c r="U123" s="23"/>
      <c r="V123" s="14"/>
      <c r="W123" s="23"/>
      <c r="X123" s="14"/>
      <c r="Y123" s="23"/>
      <c r="Z123" s="14"/>
      <c r="AA123" s="23"/>
      <c r="AB123" s="14"/>
      <c r="AC123" s="23"/>
      <c r="AD123" s="14">
        <f>+AD113</f>
        <v>2040</v>
      </c>
      <c r="AE123" s="23"/>
      <c r="AF123" s="14">
        <f>+AF113</f>
        <v>3749.24</v>
      </c>
      <c r="AG123" s="23"/>
      <c r="AH123" s="14"/>
      <c r="AI123" s="23"/>
      <c r="AJ123" s="14"/>
      <c r="AK123" s="23"/>
      <c r="AL123" s="14">
        <f>+AL114</f>
        <v>12262.939999999999</v>
      </c>
      <c r="AM123" s="23"/>
      <c r="AN123" s="14"/>
      <c r="AO123" s="23"/>
      <c r="AP123" s="14">
        <f>+AP112</f>
        <v>20000</v>
      </c>
      <c r="AQ123" s="23"/>
      <c r="AR123" s="14"/>
      <c r="AS123" s="23"/>
      <c r="AT123" s="14"/>
      <c r="AU123" s="23"/>
      <c r="AV123" s="14"/>
      <c r="AW123" s="23"/>
      <c r="AX123" s="14">
        <f>+AX113</f>
        <v>2065</v>
      </c>
      <c r="AY123" s="23"/>
      <c r="AZ123" s="14"/>
      <c r="BA123" s="23"/>
      <c r="BB123" s="14"/>
      <c r="BC123" s="23"/>
      <c r="BD123" s="14">
        <f>+BD115</f>
        <v>1169</v>
      </c>
      <c r="BE123" s="23"/>
      <c r="BF123" s="14">
        <f>+BF115</f>
        <v>4039.82</v>
      </c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</row>
    <row r="124" spans="1:92" x14ac:dyDescent="0.25">
      <c r="A124" s="44" t="s">
        <v>9</v>
      </c>
      <c r="B124" s="144">
        <f>+B121+B122+B123</f>
        <v>40000</v>
      </c>
      <c r="C124" s="144"/>
      <c r="D124" s="144">
        <f>+D121+D122+D123</f>
        <v>34586.97</v>
      </c>
      <c r="E124" s="144"/>
      <c r="F124" s="144">
        <f>+F121+F122+F123</f>
        <v>75709.340000000011</v>
      </c>
      <c r="G124" s="144"/>
      <c r="H124" s="144">
        <f>+H121+H122+H123</f>
        <v>44685.36</v>
      </c>
      <c r="I124" s="144"/>
      <c r="J124" s="144">
        <f>+J121+J122+J123</f>
        <v>99739.439999999988</v>
      </c>
      <c r="K124" s="144"/>
      <c r="L124" s="144">
        <f>+L121+L122+L123</f>
        <v>46875.8</v>
      </c>
      <c r="M124" s="144"/>
      <c r="N124" s="144">
        <f>+N121+N122+N123</f>
        <v>1000</v>
      </c>
      <c r="O124" s="144"/>
      <c r="P124" s="144">
        <f>+P121+P122+P123</f>
        <v>69509.53</v>
      </c>
      <c r="Q124" s="144"/>
      <c r="R124" s="144">
        <f>+R121+R122+R123</f>
        <v>67052.11</v>
      </c>
      <c r="S124" s="144"/>
      <c r="T124" s="144">
        <f>+T121+T122+T123</f>
        <v>34160.019999999997</v>
      </c>
      <c r="U124" s="144"/>
      <c r="V124" s="144">
        <f>+V121+V122+V123</f>
        <v>30345.310000000005</v>
      </c>
      <c r="W124" s="144"/>
      <c r="X124" s="144">
        <f>+X121+X122+X123</f>
        <v>69394.34</v>
      </c>
      <c r="Y124" s="144"/>
      <c r="Z124" s="144">
        <f>+Z121+Z122+Z123</f>
        <v>64615.219999999994</v>
      </c>
      <c r="AA124" s="144"/>
      <c r="AB124" s="144">
        <f>+AB121+AB122+AB123</f>
        <v>35000</v>
      </c>
      <c r="AC124" s="144"/>
      <c r="AD124" s="144">
        <f>+AD121+AD122+AD123</f>
        <v>73382.700000000012</v>
      </c>
      <c r="AE124" s="144"/>
      <c r="AF124" s="144">
        <f>+AF121+AF122+AF123</f>
        <v>53373.549999999996</v>
      </c>
      <c r="AG124" s="144"/>
      <c r="AH124" s="144">
        <f>+AH121+AH122+AH123</f>
        <v>54911.83</v>
      </c>
      <c r="AI124" s="144"/>
      <c r="AJ124" s="144">
        <f>+AJ121+AJ122+AJ123</f>
        <v>100734.53</v>
      </c>
      <c r="AK124" s="144"/>
      <c r="AL124" s="144">
        <f>+AL121+AL122+AL123</f>
        <v>145467.09</v>
      </c>
      <c r="AM124" s="144"/>
      <c r="AN124" s="144">
        <f>+AN121+AN122+AN123</f>
        <v>26879.239999999994</v>
      </c>
      <c r="AO124" s="144"/>
      <c r="AP124" s="144">
        <f>+AP121+AP122+AP123</f>
        <v>195248.62999999998</v>
      </c>
      <c r="AQ124" s="144"/>
      <c r="AR124" s="144">
        <f>+AR121+AR122+AR123</f>
        <v>76755.340000000011</v>
      </c>
      <c r="AS124" s="144"/>
      <c r="AT124" s="144">
        <f>+AT121+AT122+AT123</f>
        <v>5253.82</v>
      </c>
      <c r="AU124" s="144"/>
      <c r="AV124" s="144">
        <f>+AV121+AV122+AV123</f>
        <v>63242.570000000007</v>
      </c>
      <c r="AW124" s="144"/>
      <c r="AX124" s="144">
        <f>+AX121+AX122+AX123</f>
        <v>25500.74</v>
      </c>
      <c r="AY124" s="144"/>
      <c r="AZ124" s="144">
        <f>+AZ121+AZ122+AZ123</f>
        <v>28857.009999999995</v>
      </c>
      <c r="BA124" s="144"/>
      <c r="BB124" s="144"/>
      <c r="BC124" s="144"/>
      <c r="BD124" s="144">
        <f>+BD121+BD122+BD123</f>
        <v>40567.78</v>
      </c>
      <c r="BE124" s="144"/>
      <c r="BF124" s="144">
        <f>+BF121+BF122+BF123</f>
        <v>42110.170000000006</v>
      </c>
      <c r="BG124" s="144"/>
      <c r="BH124" s="144">
        <f>+BH121+BH122+BH123</f>
        <v>85072.92</v>
      </c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</row>
    <row r="125" spans="1:92" x14ac:dyDescent="0.25">
      <c r="A125" s="44"/>
      <c r="B125" s="144">
        <v>40000</v>
      </c>
      <c r="C125" s="144"/>
      <c r="D125" s="144">
        <v>34586.97</v>
      </c>
      <c r="E125" s="144"/>
      <c r="F125" s="144">
        <f>63163.43+11376.94+1168.99</f>
        <v>75709.36</v>
      </c>
      <c r="G125" s="144"/>
      <c r="H125" s="144">
        <f>29029.67+9791.63+5864.07</f>
        <v>44685.369999999995</v>
      </c>
      <c r="I125" s="144"/>
      <c r="J125" s="144">
        <f>44012.64+51078.78+4648.02</f>
        <v>99739.44</v>
      </c>
      <c r="K125" s="144"/>
      <c r="L125" s="144">
        <f>14902.22+31973.59</f>
        <v>46875.81</v>
      </c>
      <c r="M125" s="144"/>
      <c r="N125" s="144">
        <v>1000</v>
      </c>
      <c r="O125" s="144"/>
      <c r="P125" s="144">
        <f>50360.55+19149</f>
        <v>69509.55</v>
      </c>
      <c r="Q125" s="144"/>
      <c r="R125" s="144">
        <f>31768+19343.98+15940.14</f>
        <v>67052.12</v>
      </c>
      <c r="S125" s="144"/>
      <c r="T125" s="144">
        <f>27556.02+6604</f>
        <v>34160.020000000004</v>
      </c>
      <c r="U125" s="144"/>
      <c r="V125" s="144">
        <f>21566.29+8779.02</f>
        <v>30345.31</v>
      </c>
      <c r="W125" s="144"/>
      <c r="X125" s="144">
        <f>53407.51+15986.83</f>
        <v>69394.34</v>
      </c>
      <c r="Y125" s="144"/>
      <c r="Z125" s="144">
        <f>968.77+63646.46</f>
        <v>64615.229999999996</v>
      </c>
      <c r="AA125" s="144"/>
      <c r="AB125" s="144">
        <v>35000</v>
      </c>
      <c r="AC125" s="144"/>
      <c r="AD125" s="144">
        <f>182.86+1797.51+2040+22330.01+47032.32</f>
        <v>73382.7</v>
      </c>
      <c r="AE125" s="144"/>
      <c r="AF125" s="144">
        <f>7465.08+18861.94+23297.3+3749.24</f>
        <v>53373.55999999999</v>
      </c>
      <c r="AG125" s="144"/>
      <c r="AH125" s="144">
        <f>13459.84+23316+18136</f>
        <v>54911.839999999997</v>
      </c>
      <c r="AI125" s="144"/>
      <c r="AJ125" s="144">
        <f>1875.34+2023.22+86026.97+10809</f>
        <v>100734.53</v>
      </c>
      <c r="AK125" s="144"/>
      <c r="AL125" s="144">
        <f>46396.04+83915.54+12262.94+1970+922.58</f>
        <v>145467.09999999998</v>
      </c>
      <c r="AM125" s="144"/>
      <c r="AN125" s="144">
        <f>18130.26+8748.98</f>
        <v>26879.239999999998</v>
      </c>
      <c r="AO125" s="144"/>
      <c r="AP125" s="144">
        <f>6054.95+2033+39306.02+127854.66+20000</f>
        <v>195248.63</v>
      </c>
      <c r="AQ125" s="144"/>
      <c r="AR125" s="144">
        <f>1970+1022.46+58591.48+16193.46-522.46-500</f>
        <v>76754.939999999988</v>
      </c>
      <c r="AS125" s="144"/>
      <c r="AT125" s="144">
        <v>5253.82</v>
      </c>
      <c r="AU125" s="144"/>
      <c r="AV125" s="144">
        <f>10741.31+594.31+21563.1+30343.65</f>
        <v>63242.37</v>
      </c>
      <c r="AW125" s="144"/>
      <c r="AX125" s="144">
        <f>4945.83+10732.98+2065+4788+2968.95</f>
        <v>25500.76</v>
      </c>
      <c r="AY125" s="144"/>
      <c r="AZ125" s="144">
        <f>26217.03+2639.99</f>
        <v>28857.019999999997</v>
      </c>
      <c r="BA125" s="144"/>
      <c r="BB125" s="144"/>
      <c r="BC125" s="144"/>
      <c r="BD125" s="144">
        <f>22948.92+12450.94+1169+3998.92</f>
        <v>40567.78</v>
      </c>
      <c r="BE125" s="144"/>
      <c r="BF125" s="144">
        <f>5397.98+6995+25677.37+4039.82</f>
        <v>42110.17</v>
      </c>
      <c r="BG125" s="144"/>
      <c r="BH125" s="144">
        <f>16048.5+4380+48093.79+16550.64</f>
        <v>85072.930000000008</v>
      </c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</row>
    <row r="126" spans="1:92" x14ac:dyDescent="0.25">
      <c r="A126" s="44" t="s">
        <v>3</v>
      </c>
      <c r="B126" s="145">
        <f>+B124-B125</f>
        <v>0</v>
      </c>
      <c r="C126" s="145"/>
      <c r="D126" s="145">
        <f>+D124-D125</f>
        <v>0</v>
      </c>
      <c r="E126" s="145"/>
      <c r="F126" s="145">
        <f>+F124-F125</f>
        <v>-1.9999999989522621E-2</v>
      </c>
      <c r="G126" s="145"/>
      <c r="H126" s="145">
        <f>+H124-H125</f>
        <v>-9.9999999947613105E-3</v>
      </c>
      <c r="I126" s="145"/>
      <c r="J126" s="145">
        <f>+J124-J125</f>
        <v>0</v>
      </c>
      <c r="K126" s="145"/>
      <c r="L126" s="145">
        <f>+L124-L125</f>
        <v>-9.9999999947613105E-3</v>
      </c>
      <c r="M126" s="145"/>
      <c r="N126" s="145">
        <f>+N124-N125</f>
        <v>0</v>
      </c>
      <c r="O126" s="145"/>
      <c r="P126" s="145">
        <f>+P124-P125</f>
        <v>-2.0000000004074536E-2</v>
      </c>
      <c r="Q126" s="145"/>
      <c r="R126" s="145">
        <f>+R124-R125</f>
        <v>-9.9999999947613105E-3</v>
      </c>
      <c r="S126" s="145"/>
      <c r="T126" s="145">
        <f>+T124-T125</f>
        <v>0</v>
      </c>
      <c r="U126" s="145"/>
      <c r="V126" s="145">
        <f>+V124-V125</f>
        <v>0</v>
      </c>
      <c r="W126" s="145"/>
      <c r="X126" s="145">
        <f>+X124-X125</f>
        <v>0</v>
      </c>
      <c r="Y126" s="145"/>
      <c r="Z126" s="145">
        <f>+Z124-Z125</f>
        <v>-1.0000000002037268E-2</v>
      </c>
      <c r="AA126" s="145"/>
      <c r="AB126" s="145">
        <f>+AB124-AB125</f>
        <v>0</v>
      </c>
      <c r="AC126" s="145"/>
      <c r="AD126" s="145">
        <f>+AD124-AD125</f>
        <v>0</v>
      </c>
      <c r="AE126" s="145"/>
      <c r="AF126" s="145">
        <f>+AF124-AF125</f>
        <v>-9.9999999947613105E-3</v>
      </c>
      <c r="AG126" s="145"/>
      <c r="AH126" s="145">
        <f>+AH124-AH125</f>
        <v>-9.9999999947613105E-3</v>
      </c>
      <c r="AI126" s="145"/>
      <c r="AJ126" s="145">
        <f>+AJ124-AJ125</f>
        <v>0</v>
      </c>
      <c r="AK126" s="145"/>
      <c r="AL126" s="145">
        <f>+AL124-AL125</f>
        <v>-9.9999999802093953E-3</v>
      </c>
      <c r="AM126" s="145"/>
      <c r="AN126" s="145">
        <f>+AN124-AN125</f>
        <v>0</v>
      </c>
      <c r="AO126" s="145"/>
      <c r="AP126" s="145">
        <f>+AP124-AP125</f>
        <v>0</v>
      </c>
      <c r="AQ126" s="145"/>
      <c r="AR126" s="145">
        <f>+AR124-AR125</f>
        <v>0.40000000002328306</v>
      </c>
      <c r="AS126" s="145"/>
      <c r="AT126" s="145">
        <f>+AT124-AT125</f>
        <v>0</v>
      </c>
      <c r="AU126" s="145"/>
      <c r="AV126" s="145">
        <f>+AV124-AV125</f>
        <v>0.20000000000436557</v>
      </c>
      <c r="AW126" s="145"/>
      <c r="AX126" s="145">
        <f>+AX124-AX125</f>
        <v>-1.9999999996798579E-2</v>
      </c>
      <c r="AY126" s="145"/>
      <c r="AZ126" s="145">
        <f>+AZ124-AZ125</f>
        <v>-1.0000000002037268E-2</v>
      </c>
      <c r="BA126" s="145"/>
      <c r="BB126" s="145"/>
      <c r="BC126" s="145"/>
      <c r="BD126" s="145">
        <f>+BD124-BD125</f>
        <v>0</v>
      </c>
      <c r="BE126" s="145"/>
      <c r="BF126" s="145">
        <f>+BF124-BF125</f>
        <v>0</v>
      </c>
      <c r="BG126" s="145"/>
      <c r="BH126" s="145">
        <f>+BH124-BH125</f>
        <v>-1.0000000009313226E-2</v>
      </c>
      <c r="BI126" s="145"/>
      <c r="BJ126" s="145"/>
      <c r="BK126" s="145"/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5"/>
      <c r="BX126" s="145"/>
      <c r="BY126" s="145"/>
      <c r="BZ126" s="145"/>
      <c r="CA126" s="145"/>
      <c r="CB126" s="145"/>
      <c r="CC126" s="145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</row>
    <row r="127" spans="1:92" x14ac:dyDescent="0.25">
      <c r="A127" s="48"/>
      <c r="B127" s="18"/>
      <c r="C127" s="59"/>
      <c r="D127" s="18"/>
      <c r="E127" s="59"/>
      <c r="F127" s="18"/>
      <c r="G127" s="59"/>
      <c r="H127" s="18"/>
      <c r="I127" s="59"/>
      <c r="J127" s="18"/>
      <c r="K127" s="59"/>
      <c r="L127" s="145"/>
      <c r="M127" s="59"/>
      <c r="N127" s="18"/>
      <c r="O127" s="59"/>
      <c r="P127" s="18"/>
      <c r="Q127" s="59"/>
      <c r="R127" s="18"/>
      <c r="S127" s="59"/>
      <c r="T127" s="18"/>
      <c r="U127" s="59"/>
      <c r="V127" s="18"/>
      <c r="W127" s="59"/>
      <c r="X127" s="18"/>
      <c r="Y127" s="59"/>
      <c r="Z127" s="18"/>
      <c r="AA127" s="59"/>
      <c r="AB127" s="18"/>
      <c r="AC127" s="59"/>
      <c r="AD127" s="18"/>
      <c r="AE127" s="59"/>
      <c r="AF127" s="18"/>
      <c r="AG127" s="59"/>
      <c r="AH127" s="18"/>
      <c r="AI127" s="59"/>
      <c r="AJ127" s="18"/>
      <c r="AK127" s="59"/>
      <c r="AL127" s="18"/>
      <c r="AM127" s="59"/>
      <c r="AN127" s="18">
        <v>0</v>
      </c>
      <c r="AO127" s="59"/>
      <c r="AP127" s="18"/>
      <c r="AQ127" s="59"/>
      <c r="AR127" s="18"/>
      <c r="AS127" s="59"/>
      <c r="AT127" s="18"/>
      <c r="AU127" s="59"/>
      <c r="AV127" s="18"/>
      <c r="AW127" s="59"/>
      <c r="AX127" s="18"/>
      <c r="AY127" s="59"/>
      <c r="AZ127" s="18"/>
      <c r="BA127" s="59"/>
      <c r="BB127" s="18"/>
      <c r="BC127" s="59"/>
      <c r="BD127" s="18"/>
      <c r="BE127" s="59"/>
      <c r="BF127" s="18"/>
      <c r="BG127" s="59"/>
      <c r="BH127" s="18"/>
      <c r="BI127" s="59"/>
      <c r="BJ127" s="18"/>
      <c r="BK127" s="59"/>
      <c r="BL127" s="18"/>
      <c r="BM127" s="59"/>
      <c r="BN127" s="18"/>
      <c r="BO127" s="59"/>
      <c r="BP127" s="18"/>
      <c r="BQ127" s="59"/>
      <c r="BR127" s="18"/>
      <c r="BS127" s="59"/>
      <c r="BT127" s="18"/>
      <c r="BU127" s="59"/>
      <c r="BV127" s="18"/>
      <c r="BW127" s="59"/>
      <c r="BX127" s="18"/>
      <c r="BY127" s="59"/>
      <c r="BZ127" s="18"/>
      <c r="CA127" s="59"/>
      <c r="CB127" s="18"/>
      <c r="CC127" s="59"/>
      <c r="CD127" s="6"/>
      <c r="CE127" s="56"/>
      <c r="CF127" s="6"/>
      <c r="CG127" s="56"/>
      <c r="CH127" s="6"/>
      <c r="CI127" s="56"/>
      <c r="CJ127" s="6"/>
      <c r="CK127" s="56"/>
      <c r="CL127" s="6"/>
      <c r="CM127" s="56"/>
      <c r="CN127" s="6"/>
    </row>
    <row r="128" spans="1:92" x14ac:dyDescent="0.25">
      <c r="A128" s="48"/>
      <c r="B128" s="163">
        <v>42856</v>
      </c>
      <c r="C128" s="59"/>
      <c r="D128" s="163">
        <v>42857</v>
      </c>
      <c r="E128" s="59"/>
      <c r="F128" s="163">
        <v>42858</v>
      </c>
      <c r="G128" s="59"/>
      <c r="H128" s="163">
        <v>42859</v>
      </c>
      <c r="I128" s="59"/>
      <c r="J128" s="163">
        <v>42860</v>
      </c>
      <c r="K128" s="59"/>
      <c r="L128" s="163">
        <v>42861</v>
      </c>
      <c r="M128" s="59"/>
      <c r="N128" s="163">
        <v>42862</v>
      </c>
      <c r="O128" s="59"/>
      <c r="P128" s="163">
        <v>42863</v>
      </c>
      <c r="Q128" s="59"/>
      <c r="R128" s="163">
        <v>42864</v>
      </c>
      <c r="S128" s="59"/>
      <c r="T128" s="163">
        <v>42865</v>
      </c>
      <c r="U128" s="59"/>
      <c r="V128" s="163">
        <v>42866</v>
      </c>
      <c r="W128" s="59"/>
      <c r="X128" s="163">
        <v>42867</v>
      </c>
      <c r="Y128" s="59"/>
      <c r="Z128" s="163">
        <v>42868</v>
      </c>
      <c r="AA128" s="59"/>
      <c r="AB128" s="163">
        <v>42869</v>
      </c>
      <c r="AC128" s="59"/>
      <c r="AD128" s="163">
        <v>42870</v>
      </c>
      <c r="AE128" s="59"/>
      <c r="AF128" s="163">
        <v>42871</v>
      </c>
      <c r="AG128" s="59"/>
      <c r="AH128" s="163">
        <v>42872</v>
      </c>
      <c r="AI128" s="59"/>
      <c r="AJ128" s="163">
        <v>42873</v>
      </c>
      <c r="AK128" s="59"/>
      <c r="AL128" s="163">
        <v>42874</v>
      </c>
      <c r="AM128" s="59"/>
      <c r="AN128" s="163">
        <v>42875</v>
      </c>
      <c r="AO128" s="59"/>
      <c r="AP128" s="163">
        <v>42877</v>
      </c>
      <c r="AQ128" s="59"/>
      <c r="AR128" s="163">
        <v>42878</v>
      </c>
      <c r="AS128" s="59"/>
      <c r="AT128" s="163">
        <v>42879</v>
      </c>
      <c r="AU128" s="59"/>
      <c r="AV128" s="163">
        <v>42880</v>
      </c>
      <c r="AW128" s="59"/>
      <c r="AX128" s="163">
        <v>42881</v>
      </c>
      <c r="AY128" s="59"/>
      <c r="AZ128" s="163">
        <v>42882</v>
      </c>
      <c r="BA128" s="59"/>
      <c r="BB128" s="163">
        <v>42883</v>
      </c>
      <c r="BC128" s="59"/>
      <c r="BD128" s="163">
        <v>42884</v>
      </c>
      <c r="BE128" s="59"/>
      <c r="BF128" s="163">
        <v>42885</v>
      </c>
      <c r="BG128" s="59"/>
      <c r="BH128" s="163">
        <v>42886</v>
      </c>
      <c r="BI128" s="59"/>
      <c r="BJ128" s="18"/>
      <c r="BK128" s="59"/>
      <c r="BL128" s="18"/>
      <c r="BM128" s="59"/>
      <c r="BN128" s="18"/>
      <c r="BO128" s="59"/>
      <c r="BP128" s="18"/>
      <c r="BQ128" s="59"/>
      <c r="BR128" s="18"/>
      <c r="BS128" s="59"/>
      <c r="BT128" s="18"/>
      <c r="BU128" s="59"/>
      <c r="BV128" s="18"/>
      <c r="BW128" s="59"/>
      <c r="BX128" s="18"/>
      <c r="BY128" s="59"/>
      <c r="BZ128" s="18"/>
      <c r="CA128" s="59"/>
      <c r="CB128" s="18"/>
      <c r="CC128" s="59"/>
      <c r="CD128" s="6"/>
      <c r="CE128" s="56"/>
      <c r="CF128" s="6"/>
      <c r="CG128" s="56"/>
      <c r="CH128" s="6"/>
      <c r="CI128" s="56"/>
      <c r="CJ128" s="6"/>
      <c r="CK128" s="56"/>
      <c r="CL128" s="6"/>
      <c r="CM128" s="56"/>
      <c r="CN128" s="6"/>
    </row>
    <row r="129" spans="1:92" x14ac:dyDescent="0.25">
      <c r="A129" s="37" t="s">
        <v>10</v>
      </c>
      <c r="B129" s="164"/>
      <c r="C129" s="118"/>
      <c r="D129" s="164"/>
      <c r="E129" s="118"/>
      <c r="F129" s="164"/>
      <c r="G129" s="118"/>
      <c r="H129" s="164"/>
      <c r="I129" s="118"/>
      <c r="J129" s="164"/>
      <c r="K129" s="118"/>
      <c r="L129" s="164"/>
      <c r="M129" s="118"/>
      <c r="N129" s="164"/>
      <c r="O129" s="118"/>
      <c r="P129" s="164"/>
      <c r="Q129" s="118"/>
      <c r="R129" s="164"/>
      <c r="S129" s="118"/>
      <c r="T129" s="22"/>
      <c r="U129" s="118"/>
      <c r="V129" s="22"/>
      <c r="W129" s="118"/>
      <c r="X129" s="164"/>
      <c r="Y129" s="118"/>
      <c r="Z129" s="175"/>
      <c r="AA129" s="118"/>
      <c r="AB129" s="164"/>
      <c r="AC129" s="118"/>
      <c r="AD129" s="164"/>
      <c r="AE129" s="118"/>
      <c r="AF129" s="164"/>
      <c r="AG129" s="119"/>
      <c r="AH129" s="164"/>
      <c r="AI129" s="118"/>
      <c r="AJ129" s="164"/>
      <c r="AK129" s="118"/>
      <c r="AL129" s="164"/>
      <c r="AM129" s="118"/>
      <c r="AN129" s="164"/>
      <c r="AO129" s="118"/>
      <c r="AP129" s="164"/>
      <c r="AQ129" s="118"/>
      <c r="AR129" s="164"/>
      <c r="AS129" s="118"/>
      <c r="AT129" s="164"/>
      <c r="AU129" s="118"/>
      <c r="AV129" s="164"/>
      <c r="AW129" s="118"/>
      <c r="AX129" s="164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18"/>
      <c r="BX129" s="118"/>
      <c r="BY129" s="118"/>
      <c r="BZ129" s="118"/>
      <c r="CA129" s="118"/>
      <c r="CB129" s="118"/>
      <c r="CC129" s="118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</row>
    <row r="130" spans="1:92" x14ac:dyDescent="0.25">
      <c r="A130" s="40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9"/>
      <c r="W130" s="120"/>
      <c r="X130" s="22"/>
      <c r="Y130" s="22"/>
      <c r="Z130" s="22"/>
      <c r="AA130" s="22"/>
      <c r="AB130" s="22"/>
      <c r="AC130" s="22"/>
      <c r="AD130" s="22"/>
      <c r="AE130" s="22"/>
      <c r="AF130" s="22"/>
      <c r="AG130" s="20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0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</row>
    <row r="131" spans="1:92" x14ac:dyDescent="0.25">
      <c r="A131" s="45"/>
      <c r="B131" s="29"/>
      <c r="C131" s="24"/>
      <c r="D131" s="29">
        <v>100000</v>
      </c>
      <c r="E131" s="24" t="s">
        <v>5209</v>
      </c>
      <c r="F131" s="29">
        <v>31000</v>
      </c>
      <c r="G131" s="24" t="s">
        <v>448</v>
      </c>
      <c r="H131" s="29">
        <v>448500</v>
      </c>
      <c r="I131" s="24" t="s">
        <v>5324</v>
      </c>
      <c r="J131" s="29">
        <v>170000</v>
      </c>
      <c r="K131" s="171" t="s">
        <v>5380</v>
      </c>
      <c r="L131" s="29">
        <v>200000</v>
      </c>
      <c r="M131" s="24" t="s">
        <v>5438</v>
      </c>
      <c r="N131" s="29"/>
      <c r="O131" s="24"/>
      <c r="P131" s="29">
        <v>72000</v>
      </c>
      <c r="Q131" s="24" t="s">
        <v>5488</v>
      </c>
      <c r="R131" s="29">
        <v>6000</v>
      </c>
      <c r="S131" s="24" t="s">
        <v>5530</v>
      </c>
      <c r="T131" s="29">
        <v>5000</v>
      </c>
      <c r="U131" s="24" t="s">
        <v>5589</v>
      </c>
      <c r="V131" s="29">
        <v>470200</v>
      </c>
      <c r="W131" s="15" t="s">
        <v>5634</v>
      </c>
      <c r="X131" s="29">
        <v>127000</v>
      </c>
      <c r="Y131" s="24" t="s">
        <v>5668</v>
      </c>
      <c r="Z131" s="29">
        <v>305000</v>
      </c>
      <c r="AA131" s="24" t="s">
        <v>5717</v>
      </c>
      <c r="AB131" s="29"/>
      <c r="AC131" s="85"/>
      <c r="AD131" s="29">
        <v>213000</v>
      </c>
      <c r="AE131" s="85" t="s">
        <v>5769</v>
      </c>
      <c r="AF131" s="29">
        <v>100000</v>
      </c>
      <c r="AG131" s="180" t="s">
        <v>5834</v>
      </c>
      <c r="AH131" s="29">
        <v>12000</v>
      </c>
      <c r="AI131" s="85" t="s">
        <v>5875</v>
      </c>
      <c r="AJ131" s="29">
        <v>6899.25</v>
      </c>
      <c r="AK131" s="24" t="s">
        <v>5924</v>
      </c>
      <c r="AL131" s="29">
        <v>92471.94</v>
      </c>
      <c r="AM131" s="24" t="s">
        <v>5977</v>
      </c>
      <c r="AN131" s="29">
        <v>3320</v>
      </c>
      <c r="AO131" s="184" t="s">
        <v>6040</v>
      </c>
      <c r="AP131" s="29">
        <v>130000</v>
      </c>
      <c r="AQ131" s="24" t="s">
        <v>6048</v>
      </c>
      <c r="AR131" s="104">
        <v>200000</v>
      </c>
      <c r="AS131" s="24" t="s">
        <v>6109</v>
      </c>
      <c r="AT131" s="29">
        <v>11000</v>
      </c>
      <c r="AU131" s="24" t="s">
        <v>6156</v>
      </c>
      <c r="AV131" s="29">
        <v>335400</v>
      </c>
      <c r="AW131" s="24" t="s">
        <v>6216</v>
      </c>
      <c r="AX131" s="29">
        <v>12110.4</v>
      </c>
      <c r="AY131" s="24" t="s">
        <v>6262</v>
      </c>
      <c r="AZ131" s="29">
        <v>25000</v>
      </c>
      <c r="BA131" s="24" t="s">
        <v>6302</v>
      </c>
      <c r="BB131" s="29"/>
      <c r="BC131" s="24"/>
      <c r="BD131" s="29">
        <v>70000</v>
      </c>
      <c r="BE131" s="24" t="s">
        <v>6350</v>
      </c>
      <c r="BF131" s="96">
        <v>335400</v>
      </c>
      <c r="BG131" s="15" t="s">
        <v>6402</v>
      </c>
      <c r="BH131" s="29">
        <v>871</v>
      </c>
      <c r="BI131" s="24" t="s">
        <v>6408</v>
      </c>
      <c r="BJ131" s="29"/>
      <c r="BK131" s="24"/>
      <c r="BL131" s="29"/>
      <c r="BM131" s="24"/>
      <c r="BN131" s="29"/>
      <c r="BO131" s="158"/>
      <c r="BP131" s="29"/>
      <c r="BQ131" s="24"/>
      <c r="BR131" s="29"/>
      <c r="BS131" s="24"/>
      <c r="BT131" s="29"/>
      <c r="BU131" s="24"/>
      <c r="BV131" s="29"/>
      <c r="BW131" s="24"/>
      <c r="BX131" s="29"/>
      <c r="BY131" s="24"/>
      <c r="BZ131" s="29"/>
      <c r="CA131" s="24"/>
      <c r="CB131" s="29"/>
      <c r="CC131" s="24"/>
      <c r="CD131" s="29"/>
      <c r="CE131" s="24"/>
      <c r="CF131" s="29"/>
      <c r="CG131" s="24"/>
      <c r="CH131" s="29"/>
      <c r="CI131" s="24"/>
      <c r="CJ131" s="29"/>
      <c r="CK131" s="24"/>
      <c r="CL131" s="29"/>
      <c r="CM131" s="24"/>
      <c r="CN131" s="29"/>
    </row>
    <row r="132" spans="1:92" x14ac:dyDescent="0.25">
      <c r="A132" s="45"/>
      <c r="B132" s="29"/>
      <c r="C132" s="24"/>
      <c r="D132" s="29">
        <v>20000</v>
      </c>
      <c r="E132" s="24" t="s">
        <v>5210</v>
      </c>
      <c r="F132" s="29">
        <v>103924.24</v>
      </c>
      <c r="G132" s="24" t="s">
        <v>5265</v>
      </c>
      <c r="H132" s="29">
        <v>110194.48</v>
      </c>
      <c r="I132" s="24" t="s">
        <v>5326</v>
      </c>
      <c r="J132" s="29">
        <v>160000</v>
      </c>
      <c r="K132" s="171" t="s">
        <v>5382</v>
      </c>
      <c r="L132" s="29">
        <v>5000</v>
      </c>
      <c r="M132" s="24" t="s">
        <v>5443</v>
      </c>
      <c r="N132" s="29"/>
      <c r="O132" s="24"/>
      <c r="P132" s="29">
        <v>5000</v>
      </c>
      <c r="Q132" s="24" t="s">
        <v>5491</v>
      </c>
      <c r="R132" s="29">
        <v>300447.56</v>
      </c>
      <c r="S132" s="24" t="s">
        <v>5532</v>
      </c>
      <c r="T132" s="29">
        <v>73000</v>
      </c>
      <c r="U132" s="24" t="s">
        <v>5593</v>
      </c>
      <c r="V132" s="29">
        <v>108000</v>
      </c>
      <c r="W132" s="24" t="s">
        <v>5635</v>
      </c>
      <c r="X132" s="29">
        <v>30400</v>
      </c>
      <c r="Y132" s="166" t="s">
        <v>5669</v>
      </c>
      <c r="Z132" s="29">
        <v>4040.81</v>
      </c>
      <c r="AA132" s="24" t="s">
        <v>5742</v>
      </c>
      <c r="AB132" s="29"/>
      <c r="AC132" s="85"/>
      <c r="AD132" s="29">
        <v>1099</v>
      </c>
      <c r="AE132" s="85" t="s">
        <v>5772</v>
      </c>
      <c r="AF132" s="29">
        <v>55621</v>
      </c>
      <c r="AG132" s="180" t="s">
        <v>5835</v>
      </c>
      <c r="AH132" s="29">
        <v>106810.79</v>
      </c>
      <c r="AI132" s="85" t="s">
        <v>5876</v>
      </c>
      <c r="AJ132" s="29">
        <v>3064</v>
      </c>
      <c r="AK132" s="24" t="s">
        <v>5925</v>
      </c>
      <c r="AL132" s="29">
        <v>40000</v>
      </c>
      <c r="AM132" s="24" t="s">
        <v>5978</v>
      </c>
      <c r="AN132" s="29">
        <v>1362.48</v>
      </c>
      <c r="AO132" s="184" t="s">
        <v>6046</v>
      </c>
      <c r="AP132" s="29">
        <v>8148.92</v>
      </c>
      <c r="AQ132" s="24" t="s">
        <v>6052</v>
      </c>
      <c r="AR132" s="104">
        <v>900</v>
      </c>
      <c r="AS132" s="24" t="s">
        <v>6110</v>
      </c>
      <c r="AT132" s="29">
        <v>219000</v>
      </c>
      <c r="AU132" s="24" t="s">
        <v>6157</v>
      </c>
      <c r="AV132" s="29">
        <v>321321.7</v>
      </c>
      <c r="AW132" s="24" t="s">
        <v>6218</v>
      </c>
      <c r="AX132" s="29">
        <v>5580.99</v>
      </c>
      <c r="AY132" s="24" t="s">
        <v>6263</v>
      </c>
      <c r="AZ132" s="96">
        <v>25000</v>
      </c>
      <c r="BA132" s="15" t="s">
        <v>6303</v>
      </c>
      <c r="BB132" s="29"/>
      <c r="BC132" s="24"/>
      <c r="BD132" s="29">
        <v>165001.63</v>
      </c>
      <c r="BE132" s="24" t="s">
        <v>6359</v>
      </c>
      <c r="BF132" s="96">
        <v>150000</v>
      </c>
      <c r="BG132" s="26" t="s">
        <v>6403</v>
      </c>
      <c r="BH132" s="29">
        <v>1099</v>
      </c>
      <c r="BI132" s="24" t="s">
        <v>6411</v>
      </c>
      <c r="BJ132" s="29"/>
      <c r="BK132" s="24"/>
      <c r="BL132" s="29"/>
      <c r="BM132" s="24"/>
      <c r="BN132" s="29"/>
      <c r="BO132" s="158"/>
      <c r="BP132" s="29"/>
      <c r="BQ132" s="24"/>
      <c r="BR132" s="29"/>
      <c r="BS132" s="24"/>
      <c r="BT132" s="29"/>
      <c r="BU132" s="24"/>
      <c r="BV132" s="29"/>
      <c r="BW132" s="24"/>
      <c r="BX132" s="29"/>
      <c r="BY132" s="24"/>
      <c r="BZ132" s="29"/>
      <c r="CA132" s="24"/>
      <c r="CB132" s="29"/>
      <c r="CC132" s="24"/>
      <c r="CD132" s="29"/>
      <c r="CE132" s="24"/>
      <c r="CF132" s="29"/>
      <c r="CG132" s="24"/>
      <c r="CH132" s="29"/>
      <c r="CI132" s="24"/>
      <c r="CJ132" s="29"/>
      <c r="CK132" s="24"/>
      <c r="CL132" s="29"/>
      <c r="CM132" s="24"/>
      <c r="CN132" s="29"/>
    </row>
    <row r="133" spans="1:92" x14ac:dyDescent="0.25">
      <c r="A133" s="45"/>
      <c r="B133" s="29"/>
      <c r="C133" s="24"/>
      <c r="D133" s="96">
        <f>174000+31000</f>
        <v>205000</v>
      </c>
      <c r="E133" s="15" t="s">
        <v>5212</v>
      </c>
      <c r="F133" s="122">
        <v>103924.1</v>
      </c>
      <c r="G133" s="24" t="s">
        <v>5266</v>
      </c>
      <c r="H133" s="29">
        <v>1259.4000000000001</v>
      </c>
      <c r="I133" s="24" t="s">
        <v>5334</v>
      </c>
      <c r="J133" s="29">
        <v>1211</v>
      </c>
      <c r="K133" s="171" t="s">
        <v>5385</v>
      </c>
      <c r="L133" s="29">
        <v>5962.78</v>
      </c>
      <c r="M133" s="24" t="s">
        <v>5448</v>
      </c>
      <c r="N133" s="29"/>
      <c r="O133" s="24"/>
      <c r="P133" s="29">
        <v>20000</v>
      </c>
      <c r="Q133" s="24" t="s">
        <v>5496</v>
      </c>
      <c r="R133" s="29">
        <v>248000</v>
      </c>
      <c r="S133" s="24" t="s">
        <v>5535</v>
      </c>
      <c r="T133" s="29">
        <v>214000</v>
      </c>
      <c r="U133" s="24" t="s">
        <v>5594</v>
      </c>
      <c r="V133" s="29">
        <v>12000</v>
      </c>
      <c r="W133" s="24" t="s">
        <v>5636</v>
      </c>
      <c r="X133" s="29">
        <v>236000</v>
      </c>
      <c r="Y133" s="166" t="s">
        <v>5670</v>
      </c>
      <c r="Z133" s="29">
        <f>4234+2789</f>
        <v>7023</v>
      </c>
      <c r="AA133" s="24" t="s">
        <v>5745</v>
      </c>
      <c r="AB133" s="29"/>
      <c r="AC133" s="85"/>
      <c r="AD133" s="29">
        <v>505.01</v>
      </c>
      <c r="AE133" s="85" t="s">
        <v>5773</v>
      </c>
      <c r="AF133" s="29">
        <v>1970</v>
      </c>
      <c r="AG133" s="180" t="s">
        <v>5842</v>
      </c>
      <c r="AH133" s="29">
        <v>330000</v>
      </c>
      <c r="AI133" s="85" t="s">
        <v>5877</v>
      </c>
      <c r="AJ133" s="97">
        <f>AJ132+AJ131</f>
        <v>9963.25</v>
      </c>
      <c r="AK133" s="24"/>
      <c r="AL133" s="29">
        <v>70000</v>
      </c>
      <c r="AM133" s="24" t="s">
        <v>5979</v>
      </c>
      <c r="AN133" s="97">
        <f>+AN132+AN131</f>
        <v>4682.4799999999996</v>
      </c>
      <c r="AO133" s="184"/>
      <c r="AP133" s="29">
        <v>1970</v>
      </c>
      <c r="AQ133" s="24" t="s">
        <v>6054</v>
      </c>
      <c r="AR133" s="29">
        <v>10982</v>
      </c>
      <c r="AS133" s="24" t="s">
        <v>6111</v>
      </c>
      <c r="AT133" s="29">
        <v>100000</v>
      </c>
      <c r="AU133" s="24" t="s">
        <v>6158</v>
      </c>
      <c r="AV133" s="29">
        <v>28216.65</v>
      </c>
      <c r="AW133" s="24" t="s">
        <v>6219</v>
      </c>
      <c r="AX133" s="29">
        <v>65000</v>
      </c>
      <c r="AY133" s="24" t="s">
        <v>6264</v>
      </c>
      <c r="AZ133" s="29">
        <v>4710</v>
      </c>
      <c r="BA133" s="24" t="s">
        <v>6322</v>
      </c>
      <c r="BB133" s="94"/>
      <c r="BC133" s="24"/>
      <c r="BD133" s="29">
        <v>86998.37</v>
      </c>
      <c r="BE133" s="24" t="s">
        <v>6360</v>
      </c>
      <c r="BF133" s="200">
        <f>+BF131+BF132</f>
        <v>485400</v>
      </c>
      <c r="BG133" s="24"/>
      <c r="BH133" s="29">
        <v>444</v>
      </c>
      <c r="BI133" s="24" t="s">
        <v>6419</v>
      </c>
      <c r="BJ133" s="29"/>
      <c r="BK133" s="24"/>
      <c r="BL133" s="29"/>
      <c r="BM133" s="24"/>
      <c r="BN133" s="29"/>
      <c r="BO133" s="158"/>
      <c r="BP133" s="29"/>
      <c r="BQ133" s="24"/>
      <c r="BR133" s="29"/>
      <c r="BS133" s="24"/>
      <c r="BT133" s="29"/>
      <c r="BU133" s="24"/>
      <c r="BV133" s="29"/>
      <c r="BW133" s="24"/>
      <c r="BX133" s="29"/>
      <c r="BY133" s="24"/>
      <c r="BZ133" s="29"/>
      <c r="CA133" s="24"/>
      <c r="CB133" s="29"/>
      <c r="CC133" s="24"/>
      <c r="CD133" s="29"/>
      <c r="CE133" s="24"/>
      <c r="CF133" s="29"/>
      <c r="CG133" s="24"/>
      <c r="CH133" s="29"/>
      <c r="CI133" s="24"/>
      <c r="CJ133" s="29"/>
      <c r="CK133" s="24"/>
      <c r="CL133" s="29"/>
      <c r="CM133" s="24"/>
      <c r="CN133" s="29"/>
    </row>
    <row r="134" spans="1:92" x14ac:dyDescent="0.25">
      <c r="A134" s="45"/>
      <c r="B134" s="29"/>
      <c r="C134" s="24"/>
      <c r="D134" s="29">
        <v>10344.82</v>
      </c>
      <c r="E134" s="24" t="s">
        <v>5214</v>
      </c>
      <c r="F134" s="122">
        <v>8681</v>
      </c>
      <c r="G134" s="24" t="s">
        <v>5268</v>
      </c>
      <c r="H134" s="29">
        <v>2420</v>
      </c>
      <c r="I134" s="24" t="s">
        <v>4981</v>
      </c>
      <c r="J134" s="29">
        <v>156000</v>
      </c>
      <c r="K134" s="171" t="s">
        <v>5388</v>
      </c>
      <c r="L134" s="29">
        <v>1216.4100000000001</v>
      </c>
      <c r="M134" s="24" t="s">
        <v>5449</v>
      </c>
      <c r="N134" s="29"/>
      <c r="O134" s="24"/>
      <c r="P134" s="29">
        <v>60355.67</v>
      </c>
      <c r="Q134" s="24" t="s">
        <v>5497</v>
      </c>
      <c r="R134" s="29">
        <v>10730.86</v>
      </c>
      <c r="S134" s="24" t="s">
        <v>5538</v>
      </c>
      <c r="T134" s="29">
        <v>266400</v>
      </c>
      <c r="U134" s="24" t="s">
        <v>5595</v>
      </c>
      <c r="V134" s="29">
        <v>12710.98</v>
      </c>
      <c r="W134" s="24" t="s">
        <v>5638</v>
      </c>
      <c r="X134" s="29">
        <v>140137.25</v>
      </c>
      <c r="Y134" s="166" t="s">
        <v>5671</v>
      </c>
      <c r="Z134" s="29">
        <v>1970</v>
      </c>
      <c r="AA134" s="24" t="s">
        <v>5758</v>
      </c>
      <c r="AB134" s="29"/>
      <c r="AC134" s="15"/>
      <c r="AD134" s="97">
        <f>+SUM(AD131:AD133)</f>
        <v>214604.01</v>
      </c>
      <c r="AE134" s="85"/>
      <c r="AF134" s="97">
        <f>+SUM(AF129:AF133)</f>
        <v>157591</v>
      </c>
      <c r="AG134" s="180"/>
      <c r="AH134" s="29">
        <v>35429.46</v>
      </c>
      <c r="AI134" s="85" t="s">
        <v>5878</v>
      </c>
      <c r="AJ134" s="29"/>
      <c r="AK134" s="24"/>
      <c r="AL134" s="29">
        <v>120000</v>
      </c>
      <c r="AM134" s="24" t="s">
        <v>5980</v>
      </c>
      <c r="AN134" s="29"/>
      <c r="AO134" s="184"/>
      <c r="AP134" s="30">
        <v>6595.98</v>
      </c>
      <c r="AQ134" s="26" t="s">
        <v>6055</v>
      </c>
      <c r="AR134" s="97">
        <f>+SUM(AR131:AR133)</f>
        <v>211882</v>
      </c>
      <c r="AS134" s="24"/>
      <c r="AT134" s="29">
        <v>2517</v>
      </c>
      <c r="AU134" s="24" t="s">
        <v>6161</v>
      </c>
      <c r="AV134" s="29">
        <v>25369.29</v>
      </c>
      <c r="AW134" s="24" t="s">
        <v>6220</v>
      </c>
      <c r="AX134" s="29">
        <v>245000</v>
      </c>
      <c r="AY134" s="24" t="s">
        <v>6265</v>
      </c>
      <c r="AZ134" s="30">
        <v>352</v>
      </c>
      <c r="BA134" s="24" t="s">
        <v>6331</v>
      </c>
      <c r="BB134" s="29"/>
      <c r="BC134" s="24"/>
      <c r="BD134" s="29">
        <v>8148.92</v>
      </c>
      <c r="BE134" s="24" t="s">
        <v>6361</v>
      </c>
      <c r="BF134" s="122"/>
      <c r="BG134" s="24"/>
      <c r="BH134" s="97">
        <f>+SUM(BH131:BH133)</f>
        <v>2414</v>
      </c>
      <c r="BI134" s="24"/>
      <c r="BJ134" s="29"/>
      <c r="BK134" s="24"/>
      <c r="BL134" s="29"/>
      <c r="BM134" s="24"/>
      <c r="BN134" s="29"/>
      <c r="BO134" s="158"/>
      <c r="BP134" s="29"/>
      <c r="BQ134" s="24"/>
      <c r="BR134" s="29"/>
      <c r="BS134" s="24"/>
      <c r="BT134" s="29"/>
      <c r="BU134" s="24"/>
      <c r="BV134" s="29"/>
      <c r="BW134" s="24"/>
      <c r="BX134" s="29"/>
      <c r="BY134" s="24"/>
      <c r="BZ134" s="29"/>
      <c r="CA134" s="24"/>
      <c r="CB134" s="29"/>
      <c r="CC134" s="24"/>
      <c r="CD134" s="29"/>
      <c r="CE134" s="24"/>
      <c r="CF134" s="29"/>
      <c r="CG134" s="24"/>
      <c r="CH134" s="29"/>
      <c r="CI134" s="24"/>
      <c r="CJ134" s="29"/>
      <c r="CK134" s="24"/>
      <c r="CL134" s="29"/>
      <c r="CM134" s="24"/>
      <c r="CN134" s="29"/>
    </row>
    <row r="135" spans="1:92" x14ac:dyDescent="0.25">
      <c r="A135" s="45"/>
      <c r="B135" s="29"/>
      <c r="C135" s="24"/>
      <c r="D135" s="29">
        <v>87000</v>
      </c>
      <c r="E135" s="24" t="s">
        <v>5215</v>
      </c>
      <c r="F135" s="122">
        <v>99745.79</v>
      </c>
      <c r="G135" s="24" t="s">
        <v>5269</v>
      </c>
      <c r="H135" s="96">
        <v>171.01</v>
      </c>
      <c r="I135" s="26" t="s">
        <v>4982</v>
      </c>
      <c r="J135" s="29">
        <v>180194.5</v>
      </c>
      <c r="K135" s="171" t="s">
        <v>5393</v>
      </c>
      <c r="L135" s="29">
        <v>7673.27</v>
      </c>
      <c r="M135" s="24" t="s">
        <v>5454</v>
      </c>
      <c r="N135" s="94"/>
      <c r="O135" s="24"/>
      <c r="P135" s="29">
        <v>100000</v>
      </c>
      <c r="Q135" s="24" t="s">
        <v>5502</v>
      </c>
      <c r="R135" s="29">
        <v>8325.59</v>
      </c>
      <c r="S135" s="24" t="s">
        <v>5539</v>
      </c>
      <c r="T135" s="29">
        <v>774200</v>
      </c>
      <c r="U135" s="24" t="s">
        <v>5596</v>
      </c>
      <c r="V135" s="29">
        <v>600000</v>
      </c>
      <c r="W135" s="24" t="s">
        <v>5645</v>
      </c>
      <c r="X135" s="29">
        <v>20000</v>
      </c>
      <c r="Y135" s="166" t="s">
        <v>5678</v>
      </c>
      <c r="Z135" s="97">
        <f>+SUM(Z131:Z134)</f>
        <v>318033.81</v>
      </c>
      <c r="AA135" s="24"/>
      <c r="AB135" s="29"/>
      <c r="AC135" s="85"/>
      <c r="AD135" s="29"/>
      <c r="AE135" s="85"/>
      <c r="AF135" s="29"/>
      <c r="AG135" s="198"/>
      <c r="AH135" s="29">
        <v>80258</v>
      </c>
      <c r="AI135" s="85" t="s">
        <v>5879</v>
      </c>
      <c r="AJ135" s="29">
        <v>85438.25</v>
      </c>
      <c r="AK135" s="24" t="s">
        <v>5932</v>
      </c>
      <c r="AL135" s="29">
        <v>5580.98</v>
      </c>
      <c r="AM135" s="24" t="s">
        <v>5991</v>
      </c>
      <c r="AN135" s="29"/>
      <c r="AO135" s="184"/>
      <c r="AP135" s="97">
        <f>+SUM(AP131:AP134)</f>
        <v>146714.90000000002</v>
      </c>
      <c r="AQ135" s="24"/>
      <c r="AR135" s="29"/>
      <c r="AS135" s="24"/>
      <c r="AT135" s="29">
        <v>190000</v>
      </c>
      <c r="AU135" s="24" t="s">
        <v>6162</v>
      </c>
      <c r="AV135" s="29">
        <v>1360</v>
      </c>
      <c r="AW135" s="24" t="s">
        <v>6222</v>
      </c>
      <c r="AX135" s="29">
        <v>213425.74</v>
      </c>
      <c r="AY135" s="24" t="s">
        <v>6267</v>
      </c>
      <c r="AZ135" s="29">
        <f>+SUM(AZ131:AZ134)</f>
        <v>55062</v>
      </c>
      <c r="BA135" s="24"/>
      <c r="BB135" s="29"/>
      <c r="BC135" s="24"/>
      <c r="BD135" s="29">
        <v>26476.2</v>
      </c>
      <c r="BE135" s="24" t="s">
        <v>6362</v>
      </c>
      <c r="BF135" s="138">
        <v>217000</v>
      </c>
      <c r="BG135" t="s">
        <v>6445</v>
      </c>
      <c r="BH135" s="94"/>
      <c r="BI135" s="24"/>
      <c r="BJ135" s="29"/>
      <c r="BK135" s="24"/>
      <c r="BL135" s="94"/>
      <c r="BM135" s="24"/>
      <c r="BN135" s="29"/>
      <c r="BO135" s="158"/>
      <c r="BP135" s="29"/>
      <c r="BQ135" s="24"/>
      <c r="BR135" s="29"/>
      <c r="BS135" s="24"/>
      <c r="BT135" s="29"/>
      <c r="BU135" s="24"/>
      <c r="BV135" s="29"/>
      <c r="BW135" s="24"/>
      <c r="BX135" s="29"/>
      <c r="BY135" s="24"/>
      <c r="BZ135" s="29"/>
      <c r="CA135" s="24"/>
      <c r="CB135" s="29"/>
      <c r="CC135" s="24"/>
      <c r="CD135" s="29"/>
      <c r="CE135" s="24"/>
      <c r="CF135" s="29"/>
      <c r="CG135" s="24"/>
      <c r="CH135" s="29"/>
      <c r="CI135" s="24"/>
      <c r="CJ135" s="29"/>
      <c r="CK135" s="24"/>
      <c r="CL135" s="29"/>
      <c r="CM135" s="24"/>
      <c r="CN135" s="29"/>
    </row>
    <row r="136" spans="1:92" x14ac:dyDescent="0.25">
      <c r="A136" s="45"/>
      <c r="B136" s="29"/>
      <c r="C136" s="24"/>
      <c r="D136" s="29">
        <v>42000</v>
      </c>
      <c r="E136" s="24" t="s">
        <v>5216</v>
      </c>
      <c r="F136" s="122">
        <v>19515.84</v>
      </c>
      <c r="G136" s="24" t="s">
        <v>5270</v>
      </c>
      <c r="H136" s="29">
        <v>3169</v>
      </c>
      <c r="I136" s="24" t="s">
        <v>5344</v>
      </c>
      <c r="J136" s="29">
        <v>3500</v>
      </c>
      <c r="K136" s="171" t="s">
        <v>5394</v>
      </c>
      <c r="L136" s="29">
        <v>1970</v>
      </c>
      <c r="M136" s="24" t="s">
        <v>5460</v>
      </c>
      <c r="N136" s="96"/>
      <c r="O136" s="26"/>
      <c r="P136" s="29">
        <v>86400</v>
      </c>
      <c r="Q136" s="24" t="s">
        <v>5503</v>
      </c>
      <c r="R136" s="29">
        <v>13279.81</v>
      </c>
      <c r="S136" s="24" t="s">
        <v>5547</v>
      </c>
      <c r="T136" s="30">
        <v>1995</v>
      </c>
      <c r="U136" s="15" t="s">
        <v>5601</v>
      </c>
      <c r="V136" s="29">
        <v>3000</v>
      </c>
      <c r="W136" s="24" t="s">
        <v>5647</v>
      </c>
      <c r="X136" s="29">
        <v>3250</v>
      </c>
      <c r="Y136" s="166" t="s">
        <v>5680</v>
      </c>
      <c r="Z136" s="29"/>
      <c r="AA136" s="24"/>
      <c r="AB136" s="29"/>
      <c r="AC136" s="85"/>
      <c r="AD136" s="29">
        <v>464</v>
      </c>
      <c r="AE136" s="85" t="s">
        <v>5780</v>
      </c>
      <c r="AF136" s="29">
        <v>1970</v>
      </c>
      <c r="AG136" s="198" t="s">
        <v>5861</v>
      </c>
      <c r="AH136" s="29">
        <v>10478.19</v>
      </c>
      <c r="AI136" s="85" t="s">
        <v>5880</v>
      </c>
      <c r="AJ136" s="30">
        <v>172000</v>
      </c>
      <c r="AK136" s="24" t="s">
        <v>5934</v>
      </c>
      <c r="AL136" s="29">
        <v>1169</v>
      </c>
      <c r="AM136" s="24" t="s">
        <v>6013</v>
      </c>
      <c r="AN136" s="29"/>
      <c r="AO136" s="184"/>
      <c r="AP136" s="29"/>
      <c r="AQ136" s="24"/>
      <c r="AR136" s="29">
        <v>175000</v>
      </c>
      <c r="AS136" s="24" t="s">
        <v>6122</v>
      </c>
      <c r="AT136" s="29">
        <v>1099</v>
      </c>
      <c r="AU136" s="24" t="s">
        <v>6169</v>
      </c>
      <c r="AV136" s="29">
        <v>1549</v>
      </c>
      <c r="AW136" s="24" t="s">
        <v>6223</v>
      </c>
      <c r="AX136" s="29">
        <v>125839.03</v>
      </c>
      <c r="AY136" s="24" t="s">
        <v>6268</v>
      </c>
      <c r="AZ136" s="29"/>
      <c r="BA136" s="24"/>
      <c r="BB136" s="29"/>
      <c r="BC136" s="24"/>
      <c r="BD136" s="29">
        <v>170000</v>
      </c>
      <c r="BE136" s="24" t="s">
        <v>6363</v>
      </c>
      <c r="BF136" s="138">
        <v>7082.47</v>
      </c>
      <c r="BG136" t="s">
        <v>6446</v>
      </c>
      <c r="BH136" s="29">
        <v>18933.45</v>
      </c>
      <c r="BI136" s="24" t="s">
        <v>6460</v>
      </c>
      <c r="BJ136" s="29"/>
      <c r="BK136" s="24"/>
      <c r="BL136" s="29"/>
      <c r="BM136" s="24"/>
      <c r="BN136" s="29"/>
      <c r="BO136" s="158"/>
      <c r="BP136" s="29"/>
      <c r="BQ136" s="24"/>
      <c r="BR136" s="29"/>
      <c r="BS136" s="24"/>
      <c r="BT136" s="29"/>
      <c r="BU136" s="24"/>
      <c r="BV136" s="29"/>
      <c r="BW136" s="24"/>
      <c r="BX136" s="29"/>
      <c r="BY136" s="24"/>
      <c r="BZ136" s="29"/>
      <c r="CA136" s="24"/>
      <c r="CB136" s="29"/>
      <c r="CC136" s="24"/>
      <c r="CD136" s="29"/>
      <c r="CE136" s="24"/>
      <c r="CF136" s="29"/>
      <c r="CG136" s="24"/>
      <c r="CH136" s="29"/>
      <c r="CI136" s="24"/>
      <c r="CJ136" s="29"/>
      <c r="CK136" s="24"/>
      <c r="CL136" s="29"/>
      <c r="CM136" s="24"/>
      <c r="CN136" s="29"/>
    </row>
    <row r="137" spans="1:92" x14ac:dyDescent="0.25">
      <c r="A137" s="45"/>
      <c r="B137" s="29"/>
      <c r="C137" s="24"/>
      <c r="D137" s="29">
        <v>80000</v>
      </c>
      <c r="E137" s="24" t="s">
        <v>5219</v>
      </c>
      <c r="F137" s="122">
        <v>20554.14</v>
      </c>
      <c r="G137" s="24" t="s">
        <v>5271</v>
      </c>
      <c r="H137" s="29">
        <v>1169</v>
      </c>
      <c r="I137" s="24" t="s">
        <v>5346</v>
      </c>
      <c r="J137" s="29">
        <v>39611.300000000003</v>
      </c>
      <c r="K137" s="171" t="s">
        <v>5397</v>
      </c>
      <c r="L137" s="29">
        <v>6285.52</v>
      </c>
      <c r="M137" s="24" t="s">
        <v>5464</v>
      </c>
      <c r="N137" s="122"/>
      <c r="O137" s="24"/>
      <c r="P137" s="97">
        <f>+SUM(P131:P136)</f>
        <v>343755.67</v>
      </c>
      <c r="Q137" s="24"/>
      <c r="R137" s="29">
        <v>14605.48</v>
      </c>
      <c r="S137" s="24" t="s">
        <v>5548</v>
      </c>
      <c r="T137" s="29">
        <v>1099</v>
      </c>
      <c r="U137" s="24" t="s">
        <v>5605</v>
      </c>
      <c r="V137" s="122">
        <v>156300</v>
      </c>
      <c r="W137" s="24" t="s">
        <v>5649</v>
      </c>
      <c r="X137" s="29">
        <v>3250</v>
      </c>
      <c r="Y137" s="166" t="s">
        <v>5681</v>
      </c>
      <c r="Z137" s="29"/>
      <c r="AA137" s="24"/>
      <c r="AB137" s="29"/>
      <c r="AC137" s="85"/>
      <c r="AD137" s="29">
        <v>235000</v>
      </c>
      <c r="AE137" s="85" t="s">
        <v>5782</v>
      </c>
      <c r="AF137" s="29">
        <v>2936</v>
      </c>
      <c r="AG137" s="180" t="s">
        <v>5863</v>
      </c>
      <c r="AH137" s="29">
        <v>10478.19</v>
      </c>
      <c r="AI137" s="85" t="s">
        <v>5881</v>
      </c>
      <c r="AJ137" s="29">
        <v>1000</v>
      </c>
      <c r="AK137" s="24" t="s">
        <v>5935</v>
      </c>
      <c r="AL137" s="97">
        <f>+SUM(AL131:AL136)</f>
        <v>329221.92</v>
      </c>
      <c r="AM137" s="24"/>
      <c r="AN137" s="29"/>
      <c r="AO137" s="184"/>
      <c r="AP137" s="29">
        <v>204161.03</v>
      </c>
      <c r="AQ137" s="24" t="s">
        <v>6073</v>
      </c>
      <c r="AR137" s="29">
        <v>296300</v>
      </c>
      <c r="AS137" s="24" t="s">
        <v>6123</v>
      </c>
      <c r="AT137" s="96">
        <v>1099</v>
      </c>
      <c r="AU137" s="15" t="s">
        <v>6170</v>
      </c>
      <c r="AV137" s="96">
        <v>3320</v>
      </c>
      <c r="AW137" s="15" t="s">
        <v>6224</v>
      </c>
      <c r="AX137" s="29">
        <v>3624</v>
      </c>
      <c r="AY137" s="24" t="s">
        <v>6270</v>
      </c>
      <c r="AZ137" s="29"/>
      <c r="BA137" s="24"/>
      <c r="BB137" s="29"/>
      <c r="BC137" s="24"/>
      <c r="BD137" s="30">
        <v>1099</v>
      </c>
      <c r="BE137" s="24" t="s">
        <v>6364</v>
      </c>
      <c r="BF137" s="138">
        <v>94983</v>
      </c>
      <c r="BG137" t="s">
        <v>6447</v>
      </c>
      <c r="BH137" s="29">
        <v>233500</v>
      </c>
      <c r="BI137" s="24" t="s">
        <v>6461</v>
      </c>
      <c r="BJ137" s="94"/>
      <c r="BK137" s="24"/>
      <c r="BL137" s="29"/>
      <c r="BM137" s="24"/>
      <c r="BN137" s="29"/>
      <c r="BO137" s="158"/>
      <c r="BP137" s="29"/>
      <c r="BQ137" s="24"/>
      <c r="BR137" s="29"/>
      <c r="BS137" s="24"/>
      <c r="BT137" s="29"/>
      <c r="BU137" s="24"/>
      <c r="BV137" s="29"/>
      <c r="BW137" s="24"/>
      <c r="BX137" s="29"/>
      <c r="BY137" s="24"/>
      <c r="BZ137" s="29"/>
      <c r="CA137" s="24"/>
      <c r="CB137" s="29"/>
      <c r="CC137" s="24"/>
      <c r="CD137" s="29"/>
      <c r="CE137" s="24"/>
      <c r="CF137" s="29"/>
      <c r="CG137" s="24"/>
      <c r="CH137" s="29"/>
      <c r="CI137" s="24"/>
      <c r="CJ137" s="29"/>
      <c r="CK137" s="24"/>
      <c r="CL137" s="29"/>
      <c r="CM137" s="24"/>
      <c r="CN137" s="29"/>
    </row>
    <row r="138" spans="1:92" x14ac:dyDescent="0.25">
      <c r="A138" s="45"/>
      <c r="B138" s="94"/>
      <c r="C138" s="24"/>
      <c r="D138" s="104">
        <v>30000</v>
      </c>
      <c r="E138" s="24" t="s">
        <v>5220</v>
      </c>
      <c r="F138" s="122">
        <v>27899.1</v>
      </c>
      <c r="G138" s="24" t="s">
        <v>5272</v>
      </c>
      <c r="H138" s="29">
        <v>1169</v>
      </c>
      <c r="I138" s="24" t="s">
        <v>5347</v>
      </c>
      <c r="J138" s="29">
        <v>5361</v>
      </c>
      <c r="K138" s="171" t="s">
        <v>5400</v>
      </c>
      <c r="L138" s="29">
        <v>1099.01</v>
      </c>
      <c r="M138" s="24" t="s">
        <v>5479</v>
      </c>
      <c r="N138" s="122"/>
      <c r="O138" s="24"/>
      <c r="P138" s="29"/>
      <c r="Q138" s="24"/>
      <c r="R138" s="29">
        <v>10478.19</v>
      </c>
      <c r="S138" s="24" t="s">
        <v>5549</v>
      </c>
      <c r="T138" s="29">
        <v>3320</v>
      </c>
      <c r="U138" s="24" t="s">
        <v>5610</v>
      </c>
      <c r="V138" s="122">
        <v>4465</v>
      </c>
      <c r="W138" s="24" t="s">
        <v>5655</v>
      </c>
      <c r="X138" s="29">
        <v>3250</v>
      </c>
      <c r="Y138" s="166" t="s">
        <v>5682</v>
      </c>
      <c r="Z138" s="29"/>
      <c r="AA138" s="24"/>
      <c r="AB138" s="29"/>
      <c r="AC138" s="85"/>
      <c r="AD138" s="29">
        <v>50000</v>
      </c>
      <c r="AE138" s="85" t="s">
        <v>5783</v>
      </c>
      <c r="AF138" s="29">
        <v>3319.88</v>
      </c>
      <c r="AG138" s="180" t="s">
        <v>5864</v>
      </c>
      <c r="AH138" s="29">
        <v>10478.19</v>
      </c>
      <c r="AI138" s="85" t="s">
        <v>5882</v>
      </c>
      <c r="AJ138" s="29">
        <v>422300</v>
      </c>
      <c r="AK138" s="24" t="s">
        <v>5940</v>
      </c>
      <c r="AL138" s="29"/>
      <c r="AM138" s="24"/>
      <c r="AN138" s="29"/>
      <c r="AO138" s="184"/>
      <c r="AP138" s="30">
        <v>120838</v>
      </c>
      <c r="AQ138" s="26" t="s">
        <v>6076</v>
      </c>
      <c r="AR138" s="29">
        <v>390000</v>
      </c>
      <c r="AS138" s="24" t="s">
        <v>6124</v>
      </c>
      <c r="AT138" s="105">
        <v>1099</v>
      </c>
      <c r="AU138" s="106" t="s">
        <v>6171</v>
      </c>
      <c r="AV138" s="131">
        <f>+SUM(AV131:AV137)</f>
        <v>716536.64</v>
      </c>
      <c r="AW138" s="106"/>
      <c r="AX138" s="29">
        <v>8215.7900000000009</v>
      </c>
      <c r="AY138" s="24" t="s">
        <v>6285</v>
      </c>
      <c r="AZ138" s="29"/>
      <c r="BA138" s="24"/>
      <c r="BB138" s="29"/>
      <c r="BC138" s="24"/>
      <c r="BD138" s="30">
        <v>1970</v>
      </c>
      <c r="BE138" s="24" t="s">
        <v>6365</v>
      </c>
      <c r="BF138" s="138">
        <v>1000</v>
      </c>
      <c r="BG138" t="s">
        <v>6448</v>
      </c>
      <c r="BH138" s="29">
        <v>74425</v>
      </c>
      <c r="BI138" s="24" t="s">
        <v>6462</v>
      </c>
      <c r="BJ138" s="29"/>
      <c r="BK138" s="24"/>
      <c r="BL138" s="29"/>
      <c r="BM138" s="24"/>
      <c r="BN138" s="29"/>
      <c r="BO138" s="158"/>
      <c r="BP138" s="29"/>
      <c r="BQ138" s="24"/>
      <c r="BR138" s="29"/>
      <c r="BS138" s="24"/>
      <c r="BT138" s="29"/>
      <c r="BU138" s="24"/>
      <c r="BV138" s="29"/>
      <c r="BW138" s="24"/>
      <c r="BX138" s="29"/>
      <c r="BY138" s="24"/>
      <c r="BZ138" s="29"/>
      <c r="CA138" s="24"/>
      <c r="CB138" s="29"/>
      <c r="CC138" s="24"/>
      <c r="CD138" s="29"/>
      <c r="CE138" s="24"/>
      <c r="CF138" s="29"/>
      <c r="CG138" s="24"/>
      <c r="CH138" s="29"/>
      <c r="CI138" s="24"/>
      <c r="CJ138" s="29"/>
      <c r="CK138" s="24"/>
      <c r="CL138" s="29"/>
      <c r="CM138" s="24"/>
      <c r="CN138" s="29"/>
    </row>
    <row r="139" spans="1:92" x14ac:dyDescent="0.25">
      <c r="A139" s="41"/>
      <c r="B139" s="94"/>
      <c r="C139" s="24"/>
      <c r="D139" s="30">
        <v>149700</v>
      </c>
      <c r="E139" s="15" t="s">
        <v>5222</v>
      </c>
      <c r="F139" s="96">
        <v>50555.34</v>
      </c>
      <c r="G139" s="15" t="s">
        <v>5273</v>
      </c>
      <c r="H139" s="30">
        <v>3320</v>
      </c>
      <c r="I139" s="15" t="s">
        <v>5348</v>
      </c>
      <c r="J139" s="29">
        <v>1099</v>
      </c>
      <c r="K139" s="171" t="s">
        <v>5402</v>
      </c>
      <c r="L139" s="30">
        <v>1099.01</v>
      </c>
      <c r="M139" s="15" t="s">
        <v>5480</v>
      </c>
      <c r="N139" s="122"/>
      <c r="O139" s="24"/>
      <c r="P139" s="98"/>
      <c r="Q139" s="15"/>
      <c r="R139" s="29">
        <v>10478.19</v>
      </c>
      <c r="S139" s="15" t="s">
        <v>5550</v>
      </c>
      <c r="T139" s="30">
        <v>3319.99</v>
      </c>
      <c r="U139" s="15" t="s">
        <v>5620</v>
      </c>
      <c r="V139" s="29">
        <v>1169</v>
      </c>
      <c r="W139" s="24" t="s">
        <v>5658</v>
      </c>
      <c r="X139" s="30">
        <v>5854</v>
      </c>
      <c r="Y139" s="162" t="s">
        <v>5685</v>
      </c>
      <c r="Z139" s="30"/>
      <c r="AA139" s="15"/>
      <c r="AB139" s="29"/>
      <c r="AC139" s="85"/>
      <c r="AD139" s="29">
        <v>1657</v>
      </c>
      <c r="AE139" s="85" t="s">
        <v>5784</v>
      </c>
      <c r="AF139" s="30">
        <v>8965</v>
      </c>
      <c r="AG139" s="181" t="s">
        <v>5869</v>
      </c>
      <c r="AH139" s="30">
        <v>158054.98000000001</v>
      </c>
      <c r="AI139" s="86" t="s">
        <v>5883</v>
      </c>
      <c r="AJ139" s="30">
        <v>3320</v>
      </c>
      <c r="AK139" s="15" t="s">
        <v>5942</v>
      </c>
      <c r="AL139" s="30">
        <v>139000</v>
      </c>
      <c r="AM139" s="15" t="s">
        <v>6056</v>
      </c>
      <c r="AN139" s="30"/>
      <c r="AO139" s="185"/>
      <c r="AP139" s="30">
        <v>3670</v>
      </c>
      <c r="AQ139" s="24" t="s">
        <v>6096</v>
      </c>
      <c r="AR139" s="29">
        <v>22358.3</v>
      </c>
      <c r="AS139" s="24" t="s">
        <v>6131</v>
      </c>
      <c r="AT139" s="96">
        <v>5658</v>
      </c>
      <c r="AU139" s="15" t="s">
        <v>6172</v>
      </c>
      <c r="AV139" s="96"/>
      <c r="AW139" s="15"/>
      <c r="AX139" s="30">
        <v>1970</v>
      </c>
      <c r="AY139" s="15" t="s">
        <v>6286</v>
      </c>
      <c r="AZ139" s="30"/>
      <c r="BA139" s="15"/>
      <c r="BB139" s="30"/>
      <c r="BC139" s="15"/>
      <c r="BD139" s="30">
        <v>11600</v>
      </c>
      <c r="BE139" s="15" t="s">
        <v>6367</v>
      </c>
      <c r="BF139" s="138">
        <v>60000</v>
      </c>
      <c r="BG139" t="s">
        <v>6449</v>
      </c>
      <c r="BH139" s="30">
        <v>235300</v>
      </c>
      <c r="BI139" s="15" t="s">
        <v>6463</v>
      </c>
      <c r="BJ139" s="30"/>
      <c r="BK139" s="15"/>
      <c r="BL139" s="30"/>
      <c r="BM139" s="15"/>
      <c r="BN139" s="30"/>
      <c r="BO139" s="159"/>
      <c r="BP139" s="30"/>
      <c r="BQ139" s="15"/>
      <c r="BR139" s="30"/>
      <c r="BS139" s="15"/>
      <c r="BT139" s="30"/>
      <c r="BU139" s="15"/>
      <c r="BV139" s="30"/>
      <c r="BW139" s="15"/>
      <c r="BX139" s="30"/>
      <c r="BY139" s="15"/>
      <c r="BZ139" s="30"/>
      <c r="CA139" s="15"/>
      <c r="CB139" s="30"/>
      <c r="CC139" s="15"/>
      <c r="CD139" s="30"/>
      <c r="CE139" s="15"/>
      <c r="CF139" s="30"/>
      <c r="CG139" s="15"/>
      <c r="CH139" s="30"/>
      <c r="CI139" s="15"/>
      <c r="CJ139" s="30"/>
      <c r="CK139" s="15"/>
      <c r="CL139" s="30"/>
      <c r="CM139" s="15"/>
      <c r="CN139" s="30"/>
    </row>
    <row r="140" spans="1:92" x14ac:dyDescent="0.25">
      <c r="A140" s="45"/>
      <c r="B140" s="29"/>
      <c r="C140" s="24"/>
      <c r="D140" s="29">
        <v>9121.81</v>
      </c>
      <c r="E140" s="24" t="s">
        <v>5232</v>
      </c>
      <c r="F140" s="122">
        <v>29200</v>
      </c>
      <c r="G140" s="24" t="s">
        <v>5274</v>
      </c>
      <c r="H140" s="29">
        <v>7450</v>
      </c>
      <c r="I140" s="24" t="s">
        <v>5352</v>
      </c>
      <c r="J140" s="29">
        <v>3169</v>
      </c>
      <c r="K140" s="171" t="s">
        <v>5408</v>
      </c>
      <c r="L140" s="30">
        <v>1099.01</v>
      </c>
      <c r="M140" s="24" t="s">
        <v>5481</v>
      </c>
      <c r="N140" s="96"/>
      <c r="O140" s="15"/>
      <c r="P140" s="96"/>
      <c r="Q140" s="15"/>
      <c r="R140" s="29">
        <v>50100</v>
      </c>
      <c r="S140" s="15" t="s">
        <v>5551</v>
      </c>
      <c r="T140" s="29">
        <v>1428.51</v>
      </c>
      <c r="U140" s="24" t="s">
        <v>5621</v>
      </c>
      <c r="V140" s="29">
        <v>1169</v>
      </c>
      <c r="W140" s="24" t="s">
        <v>5662</v>
      </c>
      <c r="X140" s="29">
        <v>1169</v>
      </c>
      <c r="Y140" s="166" t="s">
        <v>5686</v>
      </c>
      <c r="Z140" s="29"/>
      <c r="AA140" s="24"/>
      <c r="AB140" s="29"/>
      <c r="AC140" s="85"/>
      <c r="AD140" s="29">
        <v>83000</v>
      </c>
      <c r="AE140" s="85" t="s">
        <v>5785</v>
      </c>
      <c r="AF140" s="29">
        <v>1100</v>
      </c>
      <c r="AG140" s="180" t="s">
        <v>5873</v>
      </c>
      <c r="AH140" s="29">
        <v>828</v>
      </c>
      <c r="AI140" s="85" t="s">
        <v>5887</v>
      </c>
      <c r="AJ140" s="29">
        <v>3246</v>
      </c>
      <c r="AK140" s="24" t="s">
        <v>5953</v>
      </c>
      <c r="AL140" s="29">
        <v>232</v>
      </c>
      <c r="AM140" s="24" t="s">
        <v>6064</v>
      </c>
      <c r="AN140" s="29"/>
      <c r="AO140" s="184"/>
      <c r="AP140" s="100">
        <f>+AP139+AP138+AP137</f>
        <v>328669.03000000003</v>
      </c>
      <c r="AQ140" s="24"/>
      <c r="AR140" s="29">
        <v>1970</v>
      </c>
      <c r="AS140" s="24" t="s">
        <v>6136</v>
      </c>
      <c r="AT140" s="96">
        <v>1632.99</v>
      </c>
      <c r="AU140" s="15" t="s">
        <v>6173</v>
      </c>
      <c r="AV140" s="96">
        <v>180000</v>
      </c>
      <c r="AW140" s="15" t="s">
        <v>6229</v>
      </c>
      <c r="AX140" s="29">
        <v>6159</v>
      </c>
      <c r="AY140" s="24" t="s">
        <v>6291</v>
      </c>
      <c r="AZ140" s="94"/>
      <c r="BA140" s="24"/>
      <c r="BB140" s="29"/>
      <c r="BC140" s="24"/>
      <c r="BD140" s="29">
        <v>1099</v>
      </c>
      <c r="BE140" s="24" t="s">
        <v>6369</v>
      </c>
      <c r="BF140" s="138">
        <v>20000</v>
      </c>
      <c r="BG140" t="s">
        <v>6450</v>
      </c>
      <c r="BH140" s="29">
        <v>5500</v>
      </c>
      <c r="BI140" s="24" t="s">
        <v>6467</v>
      </c>
      <c r="BJ140" s="29"/>
      <c r="BK140" s="24"/>
      <c r="BL140" s="29"/>
      <c r="BM140" s="24"/>
      <c r="BN140" s="29"/>
      <c r="BO140" s="158"/>
      <c r="BP140" s="29"/>
      <c r="BQ140" s="24"/>
      <c r="BR140" s="29"/>
      <c r="BS140" s="24"/>
      <c r="BT140" s="29"/>
      <c r="BU140" s="24"/>
      <c r="BV140" s="29"/>
      <c r="BW140" s="24"/>
      <c r="BX140" s="29"/>
      <c r="BY140" s="24"/>
      <c r="BZ140" s="29"/>
      <c r="CA140" s="24"/>
      <c r="CB140" s="29"/>
      <c r="CC140" s="24"/>
      <c r="CD140" s="29"/>
      <c r="CE140" s="24"/>
      <c r="CF140" s="29"/>
      <c r="CG140" s="24"/>
      <c r="CH140" s="29"/>
      <c r="CI140" s="24"/>
      <c r="CJ140" s="29"/>
      <c r="CK140" s="24"/>
      <c r="CL140" s="29"/>
      <c r="CM140" s="24"/>
      <c r="CN140" s="29"/>
    </row>
    <row r="141" spans="1:92" x14ac:dyDescent="0.25">
      <c r="A141" s="45"/>
      <c r="B141" s="29"/>
      <c r="C141" s="24"/>
      <c r="D141" s="29">
        <v>1583.01</v>
      </c>
      <c r="E141" s="24" t="s">
        <v>5247</v>
      </c>
      <c r="F141" s="122">
        <v>70000</v>
      </c>
      <c r="G141" s="24" t="s">
        <v>5275</v>
      </c>
      <c r="H141" s="29">
        <v>4200</v>
      </c>
      <c r="I141" s="24" t="s">
        <v>5361</v>
      </c>
      <c r="J141" s="29">
        <v>3320</v>
      </c>
      <c r="K141" s="171" t="s">
        <v>5410</v>
      </c>
      <c r="L141" s="30">
        <v>1099.01</v>
      </c>
      <c r="M141" s="24" t="s">
        <v>5482</v>
      </c>
      <c r="N141" s="94"/>
      <c r="O141" s="24"/>
      <c r="P141" s="29"/>
      <c r="Q141" s="24"/>
      <c r="R141" s="29">
        <v>10478.19</v>
      </c>
      <c r="S141" s="24" t="s">
        <v>5552</v>
      </c>
      <c r="T141" s="29">
        <v>7975.79</v>
      </c>
      <c r="U141" s="24" t="s">
        <v>5626</v>
      </c>
      <c r="V141" s="97">
        <f>+SUM(V131:V140)</f>
        <v>1369013.98</v>
      </c>
      <c r="W141" s="24"/>
      <c r="X141" s="97">
        <f>+SUM(X131:X140)</f>
        <v>570310.25</v>
      </c>
      <c r="Y141" s="24"/>
      <c r="Z141" s="29"/>
      <c r="AA141" s="24"/>
      <c r="AB141" s="29"/>
      <c r="AC141" s="85"/>
      <c r="AD141" s="29">
        <v>9883</v>
      </c>
      <c r="AE141" s="85" t="s">
        <v>5786</v>
      </c>
      <c r="AF141" s="97">
        <f>+SUM(AF136:AF140)</f>
        <v>18290.88</v>
      </c>
      <c r="AG141" s="180"/>
      <c r="AH141" s="29">
        <v>1099</v>
      </c>
      <c r="AI141" s="85" t="s">
        <v>5888</v>
      </c>
      <c r="AJ141" s="29">
        <v>1169</v>
      </c>
      <c r="AK141" s="24" t="s">
        <v>5959</v>
      </c>
      <c r="AL141" s="29">
        <v>1949.17</v>
      </c>
      <c r="AM141" s="24" t="s">
        <v>6067</v>
      </c>
      <c r="AN141" s="29"/>
      <c r="AO141" s="184"/>
      <c r="AP141" s="29"/>
      <c r="AQ141" s="24"/>
      <c r="AR141" s="30">
        <v>1099</v>
      </c>
      <c r="AS141" s="15" t="s">
        <v>6140</v>
      </c>
      <c r="AT141" s="105">
        <v>260.73</v>
      </c>
      <c r="AU141" s="106" t="s">
        <v>6174</v>
      </c>
      <c r="AV141" s="105">
        <v>99000</v>
      </c>
      <c r="AW141" s="106" t="s">
        <v>6231</v>
      </c>
      <c r="AX141" s="29">
        <v>4809.01</v>
      </c>
      <c r="AY141" s="24" t="s">
        <v>6292</v>
      </c>
      <c r="AZ141" s="29"/>
      <c r="BA141" s="24"/>
      <c r="BB141" s="29"/>
      <c r="BC141" s="24"/>
      <c r="BD141" s="29">
        <v>1169</v>
      </c>
      <c r="BE141" s="24" t="s">
        <v>6370</v>
      </c>
      <c r="BF141" s="138">
        <v>286400</v>
      </c>
      <c r="BG141" t="s">
        <v>6451</v>
      </c>
      <c r="BH141" s="29">
        <v>161000</v>
      </c>
      <c r="BI141" s="24" t="s">
        <v>6468</v>
      </c>
      <c r="BJ141" s="29"/>
      <c r="BK141" s="24"/>
      <c r="BL141" s="29"/>
      <c r="BM141" s="24"/>
      <c r="BN141" s="29"/>
      <c r="BO141" s="158"/>
      <c r="BP141" s="29"/>
      <c r="BQ141" s="24"/>
      <c r="BR141" s="29"/>
      <c r="BS141" s="24"/>
      <c r="BT141" s="29"/>
      <c r="BU141" s="24"/>
      <c r="BV141" s="29"/>
      <c r="BW141" s="24"/>
      <c r="BX141" s="29"/>
      <c r="BY141" s="24"/>
      <c r="BZ141" s="29"/>
      <c r="CA141" s="24"/>
      <c r="CB141" s="29"/>
      <c r="CC141" s="24"/>
      <c r="CD141" s="29"/>
      <c r="CE141" s="24"/>
      <c r="CF141" s="29"/>
      <c r="CG141" s="24"/>
      <c r="CH141" s="29"/>
      <c r="CI141" s="24"/>
      <c r="CJ141" s="29"/>
      <c r="CK141" s="24"/>
      <c r="CL141" s="29"/>
      <c r="CM141" s="24"/>
      <c r="CN141" s="29"/>
    </row>
    <row r="142" spans="1:92" x14ac:dyDescent="0.25">
      <c r="A142" s="45"/>
      <c r="B142" s="29"/>
      <c r="C142" s="24"/>
      <c r="D142" s="97">
        <f>+SUM(D131:D141)</f>
        <v>734749.64000000013</v>
      </c>
      <c r="E142" s="24"/>
      <c r="F142" s="122">
        <v>185000</v>
      </c>
      <c r="G142" s="24" t="s">
        <v>5278</v>
      </c>
      <c r="H142" s="29">
        <v>3448.99</v>
      </c>
      <c r="I142" s="24" t="s">
        <v>5367</v>
      </c>
      <c r="J142" s="29">
        <v>2580</v>
      </c>
      <c r="K142" s="171" t="s">
        <v>5411</v>
      </c>
      <c r="L142" s="30">
        <v>1099.01</v>
      </c>
      <c r="M142" s="24" t="s">
        <v>5483</v>
      </c>
      <c r="N142" s="94"/>
      <c r="O142" s="24"/>
      <c r="P142" s="29"/>
      <c r="Q142" s="24"/>
      <c r="R142" s="29">
        <v>10478.19</v>
      </c>
      <c r="S142" s="26" t="s">
        <v>5553</v>
      </c>
      <c r="T142" s="30">
        <v>382.38</v>
      </c>
      <c r="U142" s="24" t="s">
        <v>5627</v>
      </c>
      <c r="V142" s="32"/>
      <c r="W142" s="24"/>
      <c r="X142" s="29"/>
      <c r="Y142" s="24"/>
      <c r="Z142" s="31"/>
      <c r="AA142" s="24"/>
      <c r="AB142" s="29"/>
      <c r="AC142" s="85"/>
      <c r="AD142" s="29">
        <v>172800</v>
      </c>
      <c r="AE142" s="24" t="s">
        <v>5788</v>
      </c>
      <c r="AF142" s="96"/>
      <c r="AG142" s="181"/>
      <c r="AH142" s="97">
        <f>+SUM(AH131:AH141)</f>
        <v>755914.79999999981</v>
      </c>
      <c r="AI142" s="85"/>
      <c r="AJ142" s="97">
        <f>+SUM(AJ135:AJ141)</f>
        <v>688473.25</v>
      </c>
      <c r="AK142" s="24"/>
      <c r="AL142" s="97">
        <f>+SUM(AL139:AL141)</f>
        <v>141181.17000000001</v>
      </c>
      <c r="AM142" s="24"/>
      <c r="AN142" s="29"/>
      <c r="AO142" s="184"/>
      <c r="AP142" s="94"/>
      <c r="AQ142" s="24"/>
      <c r="AR142" s="29">
        <v>3320</v>
      </c>
      <c r="AS142" s="24" t="s">
        <v>6141</v>
      </c>
      <c r="AT142" s="29">
        <v>1021.31</v>
      </c>
      <c r="AU142" s="108" t="s">
        <v>6177</v>
      </c>
      <c r="AV142" s="105">
        <v>200000</v>
      </c>
      <c r="AW142" s="106" t="s">
        <v>6232</v>
      </c>
      <c r="AX142" s="97">
        <f>+SUM(AX131:AX141)</f>
        <v>691733.96000000008</v>
      </c>
      <c r="AY142" s="24"/>
      <c r="AZ142" s="29"/>
      <c r="BA142" s="24"/>
      <c r="BB142" s="29"/>
      <c r="BC142" s="24"/>
      <c r="BD142" s="29">
        <v>3959</v>
      </c>
      <c r="BE142" s="24" t="s">
        <v>6380</v>
      </c>
      <c r="BF142" s="138">
        <v>50137.25</v>
      </c>
      <c r="BG142" t="s">
        <v>6452</v>
      </c>
      <c r="BH142" s="29">
        <v>10000</v>
      </c>
      <c r="BI142" s="24" t="s">
        <v>6469</v>
      </c>
      <c r="BJ142" s="29"/>
      <c r="BK142" s="24"/>
      <c r="BL142" s="29"/>
      <c r="BM142" s="24"/>
      <c r="BN142" s="29"/>
      <c r="BO142" s="158"/>
      <c r="BP142" s="29"/>
      <c r="BQ142" s="24"/>
      <c r="BR142" s="29"/>
      <c r="BS142" s="24"/>
      <c r="BT142" s="29"/>
      <c r="BU142" s="24"/>
      <c r="BV142" s="29"/>
      <c r="BW142" s="24"/>
      <c r="BX142" s="29"/>
      <c r="BY142" s="24"/>
      <c r="BZ142" s="29"/>
      <c r="CA142" s="24"/>
      <c r="CB142" s="29"/>
      <c r="CC142" s="24"/>
      <c r="CD142" s="29"/>
      <c r="CE142" s="24"/>
      <c r="CF142" s="29"/>
      <c r="CG142" s="24"/>
      <c r="CH142" s="29"/>
      <c r="CI142" s="24"/>
      <c r="CJ142" s="29"/>
      <c r="CK142" s="24"/>
      <c r="CL142" s="29"/>
      <c r="CM142" s="24"/>
      <c r="CN142" s="29"/>
    </row>
    <row r="143" spans="1:92" x14ac:dyDescent="0.25">
      <c r="A143" s="45"/>
      <c r="B143" s="30"/>
      <c r="C143" s="15"/>
      <c r="D143" s="29">
        <f>805704.82+10344.82</f>
        <v>816049.6399999999</v>
      </c>
      <c r="E143" s="24"/>
      <c r="F143" s="122">
        <v>285000</v>
      </c>
      <c r="G143" s="24" t="s">
        <v>5279</v>
      </c>
      <c r="H143" s="29">
        <v>1144.57</v>
      </c>
      <c r="I143" s="24" t="s">
        <v>5376</v>
      </c>
      <c r="J143" s="29">
        <v>2065</v>
      </c>
      <c r="K143" s="171" t="s">
        <v>5413</v>
      </c>
      <c r="L143" s="30">
        <v>1099.01</v>
      </c>
      <c r="M143" s="24" t="s">
        <v>5484</v>
      </c>
      <c r="N143" s="29"/>
      <c r="O143" s="24"/>
      <c r="P143" s="29"/>
      <c r="Q143" s="24"/>
      <c r="R143" s="29">
        <v>10478.19</v>
      </c>
      <c r="S143" s="24" t="s">
        <v>5554</v>
      </c>
      <c r="T143" s="97">
        <f>+SUM(T131:T142)</f>
        <v>1352120.67</v>
      </c>
      <c r="U143" s="24"/>
      <c r="V143" s="32"/>
      <c r="W143" s="24"/>
      <c r="X143" s="29"/>
      <c r="Y143" s="24"/>
      <c r="Z143" s="29"/>
      <c r="AA143" s="24"/>
      <c r="AB143" s="31"/>
      <c r="AC143" s="85"/>
      <c r="AD143" s="29">
        <v>226400</v>
      </c>
      <c r="AE143" s="24" t="s">
        <v>5789</v>
      </c>
      <c r="AF143" s="96"/>
      <c r="AG143" s="181"/>
      <c r="AH143" s="29"/>
      <c r="AI143" s="85"/>
      <c r="AJ143" s="29"/>
      <c r="AK143" s="24"/>
      <c r="AL143" s="29"/>
      <c r="AM143" s="24"/>
      <c r="AN143" s="29"/>
      <c r="AO143" s="184"/>
      <c r="AP143" s="29"/>
      <c r="AQ143" s="24"/>
      <c r="AR143" s="29">
        <v>3169</v>
      </c>
      <c r="AS143" s="24" t="s">
        <v>6146</v>
      </c>
      <c r="AT143" s="30">
        <v>5936.77</v>
      </c>
      <c r="AU143" s="106" t="s">
        <v>6178</v>
      </c>
      <c r="AV143" s="105">
        <v>634500</v>
      </c>
      <c r="AW143" s="106" t="s">
        <v>6233</v>
      </c>
      <c r="AX143" s="29"/>
      <c r="AY143" s="24"/>
      <c r="AZ143" s="29"/>
      <c r="BA143" s="24"/>
      <c r="BB143" s="29"/>
      <c r="BC143" s="24"/>
      <c r="BD143" s="29">
        <v>4465</v>
      </c>
      <c r="BE143" s="24" t="s">
        <v>6381</v>
      </c>
      <c r="BF143" s="138">
        <v>150000</v>
      </c>
      <c r="BG143" t="s">
        <v>6453</v>
      </c>
      <c r="BH143" s="29">
        <v>1589</v>
      </c>
      <c r="BI143" s="24" t="s">
        <v>6476</v>
      </c>
      <c r="BJ143" s="29"/>
      <c r="BK143" s="24"/>
      <c r="BL143" s="29"/>
      <c r="BM143" s="24"/>
      <c r="BN143" s="29"/>
      <c r="BO143" s="158"/>
      <c r="BP143" s="29"/>
      <c r="BQ143" s="24"/>
      <c r="BR143" s="29"/>
      <c r="BS143" s="24"/>
      <c r="BT143" s="29"/>
      <c r="BU143" s="24"/>
      <c r="BV143" s="29"/>
      <c r="BW143" s="24"/>
      <c r="BX143" s="29"/>
      <c r="BY143" s="24"/>
      <c r="BZ143" s="29"/>
      <c r="CA143" s="24"/>
      <c r="CB143" s="29"/>
      <c r="CC143" s="24"/>
      <c r="CD143" s="29"/>
      <c r="CE143" s="24"/>
      <c r="CF143" s="29"/>
      <c r="CG143" s="24"/>
      <c r="CH143" s="29"/>
      <c r="CI143" s="24"/>
      <c r="CJ143" s="29"/>
      <c r="CK143" s="24"/>
      <c r="CL143" s="29"/>
      <c r="CM143" s="24"/>
      <c r="CN143" s="29"/>
    </row>
    <row r="144" spans="1:92" x14ac:dyDescent="0.25">
      <c r="A144" s="45"/>
      <c r="B144" s="101"/>
      <c r="C144" s="57"/>
      <c r="D144" s="29"/>
      <c r="E144" s="24"/>
      <c r="F144" s="122">
        <v>130000</v>
      </c>
      <c r="G144" s="24" t="s">
        <v>5280</v>
      </c>
      <c r="H144" s="31">
        <v>3201</v>
      </c>
      <c r="I144" s="15" t="s">
        <v>5377</v>
      </c>
      <c r="J144" s="31">
        <v>58800</v>
      </c>
      <c r="K144" s="15" t="s">
        <v>5380</v>
      </c>
      <c r="L144" s="97">
        <f>+SUM(L131:L143)</f>
        <v>234702.04000000004</v>
      </c>
      <c r="M144" s="24"/>
      <c r="N144" s="29"/>
      <c r="O144" s="24"/>
      <c r="P144" s="32"/>
      <c r="Q144" s="24"/>
      <c r="R144" s="31">
        <v>1099</v>
      </c>
      <c r="S144" s="24" t="s">
        <v>5556</v>
      </c>
      <c r="T144" s="104"/>
      <c r="U144" s="24"/>
      <c r="V144" s="29"/>
      <c r="W144" s="24"/>
      <c r="X144" s="29"/>
      <c r="Y144" s="24"/>
      <c r="Z144" s="29"/>
      <c r="AA144" s="24"/>
      <c r="AB144" s="31"/>
      <c r="AC144" s="85"/>
      <c r="AD144" s="29">
        <v>226400</v>
      </c>
      <c r="AE144" s="24" t="s">
        <v>5790</v>
      </c>
      <c r="AF144" s="29"/>
      <c r="AG144" s="180"/>
      <c r="AH144" s="29">
        <v>70411.09</v>
      </c>
      <c r="AI144" s="85" t="s">
        <v>5905</v>
      </c>
      <c r="AJ144" s="29"/>
      <c r="AK144" s="24"/>
      <c r="AL144" s="29"/>
      <c r="AM144" s="24"/>
      <c r="AN144" s="29"/>
      <c r="AO144" s="184"/>
      <c r="AP144" s="29"/>
      <c r="AQ144" s="24"/>
      <c r="AR144" s="29">
        <v>1959.38</v>
      </c>
      <c r="AS144" s="24" t="s">
        <v>6151</v>
      </c>
      <c r="AT144" s="29">
        <f>+SUM(AT131:AT143)</f>
        <v>540323.80000000005</v>
      </c>
      <c r="AU144" s="108"/>
      <c r="AV144" s="29">
        <v>20000</v>
      </c>
      <c r="AW144" s="108" t="s">
        <v>6234</v>
      </c>
      <c r="AX144" s="30">
        <v>13288.48</v>
      </c>
      <c r="AY144" s="24" t="s">
        <v>6332</v>
      </c>
      <c r="AZ144" s="29"/>
      <c r="BA144" s="24"/>
      <c r="BB144" s="29"/>
      <c r="BC144" s="24"/>
      <c r="BD144" s="29">
        <v>3773.98</v>
      </c>
      <c r="BE144" s="24" t="s">
        <v>6385</v>
      </c>
      <c r="BF144" s="138">
        <v>4220</v>
      </c>
      <c r="BG144" t="s">
        <v>6454</v>
      </c>
      <c r="BH144" s="29">
        <v>4403</v>
      </c>
      <c r="BI144" s="24" t="s">
        <v>6477</v>
      </c>
      <c r="BJ144" s="29"/>
      <c r="BK144" s="24"/>
      <c r="BL144" s="29"/>
      <c r="BM144" s="24"/>
      <c r="BN144" s="94"/>
      <c r="BO144" s="24"/>
      <c r="BP144" s="29"/>
      <c r="BQ144" s="24"/>
      <c r="BR144" s="29"/>
      <c r="BS144" s="24"/>
      <c r="BT144" s="29"/>
      <c r="BU144" s="24"/>
      <c r="BV144" s="29"/>
      <c r="BW144" s="24"/>
      <c r="BX144" s="29"/>
      <c r="BY144" s="24"/>
      <c r="BZ144" s="29"/>
      <c r="CA144" s="24"/>
      <c r="CB144" s="29"/>
      <c r="CC144" s="24"/>
      <c r="CD144" s="29"/>
      <c r="CE144" s="24"/>
      <c r="CF144" s="29"/>
      <c r="CG144" s="24"/>
      <c r="CH144" s="29"/>
      <c r="CI144" s="24"/>
      <c r="CJ144" s="29"/>
      <c r="CK144" s="24"/>
      <c r="CL144" s="29"/>
      <c r="CM144" s="24"/>
      <c r="CN144" s="29"/>
    </row>
    <row r="145" spans="1:92" x14ac:dyDescent="0.25">
      <c r="A145" s="41"/>
      <c r="B145" s="31"/>
      <c r="C145" s="24"/>
      <c r="D145" s="96"/>
      <c r="E145" s="26"/>
      <c r="F145" s="104">
        <v>1970</v>
      </c>
      <c r="G145" s="15" t="s">
        <v>5311</v>
      </c>
      <c r="H145" s="101">
        <v>3250</v>
      </c>
      <c r="I145" s="57" t="s">
        <v>5379</v>
      </c>
      <c r="J145" s="101"/>
      <c r="K145" s="57"/>
      <c r="L145" s="30"/>
      <c r="M145" s="15"/>
      <c r="N145" s="30"/>
      <c r="O145" s="15"/>
      <c r="P145" s="30"/>
      <c r="Q145" s="15"/>
      <c r="R145" s="30">
        <v>3250</v>
      </c>
      <c r="S145" s="15" t="s">
        <v>5558</v>
      </c>
      <c r="T145" s="96"/>
      <c r="U145" s="15"/>
      <c r="V145" s="30"/>
      <c r="W145" s="15"/>
      <c r="X145" s="30"/>
      <c r="Y145" s="15"/>
      <c r="Z145" s="98"/>
      <c r="AA145" s="15"/>
      <c r="AB145" s="31"/>
      <c r="AC145" s="86"/>
      <c r="AD145" s="29">
        <v>226400</v>
      </c>
      <c r="AE145" s="24" t="s">
        <v>5791</v>
      </c>
      <c r="AF145" s="30"/>
      <c r="AG145" s="181"/>
      <c r="AH145" s="30">
        <v>190000</v>
      </c>
      <c r="AI145" s="15" t="s">
        <v>5907</v>
      </c>
      <c r="AJ145" s="30"/>
      <c r="AK145" s="15"/>
      <c r="AL145" s="98"/>
      <c r="AM145" s="15"/>
      <c r="AN145" s="30"/>
      <c r="AO145" s="185"/>
      <c r="AP145" s="30"/>
      <c r="AQ145" s="15"/>
      <c r="AR145" s="97">
        <f>+SUM(AR136:AR144)</f>
        <v>895175.68000000005</v>
      </c>
      <c r="AS145" s="24"/>
      <c r="AT145" s="30"/>
      <c r="AU145" s="106"/>
      <c r="AV145" s="30">
        <v>219000</v>
      </c>
      <c r="AW145" s="106" t="s">
        <v>6235</v>
      </c>
      <c r="AX145" s="30">
        <v>70400</v>
      </c>
      <c r="AY145" s="15" t="s">
        <v>6333</v>
      </c>
      <c r="AZ145" s="30"/>
      <c r="BA145" s="15"/>
      <c r="BB145" s="30"/>
      <c r="BC145" s="15"/>
      <c r="BD145" s="100">
        <f>+SUM(BD131:BD144)</f>
        <v>555760.1</v>
      </c>
      <c r="BE145" s="15"/>
      <c r="BF145" s="138">
        <v>2360</v>
      </c>
      <c r="BG145" t="s">
        <v>6455</v>
      </c>
      <c r="BH145" s="122">
        <v>3588.99</v>
      </c>
      <c r="BI145" s="15" t="s">
        <v>6481</v>
      </c>
      <c r="BJ145" s="30"/>
      <c r="BK145" s="15"/>
      <c r="BL145" s="30"/>
      <c r="BM145" s="15"/>
      <c r="BN145" s="30"/>
      <c r="BO145" s="15"/>
      <c r="BP145" s="30"/>
      <c r="BQ145" s="15"/>
      <c r="BR145" s="30"/>
      <c r="BS145" s="15"/>
      <c r="BT145" s="30"/>
      <c r="BU145" s="15"/>
      <c r="BV145" s="30"/>
      <c r="BW145" s="15"/>
      <c r="BX145" s="30"/>
      <c r="BY145" s="15"/>
      <c r="BZ145" s="30"/>
      <c r="CA145" s="15"/>
      <c r="CB145" s="30"/>
      <c r="CC145" s="15"/>
      <c r="CD145" s="30"/>
      <c r="CE145" s="15"/>
      <c r="CF145" s="30"/>
      <c r="CG145" s="15"/>
      <c r="CH145" s="30"/>
      <c r="CI145" s="15"/>
      <c r="CJ145" s="30"/>
      <c r="CK145" s="15"/>
      <c r="CL145" s="30"/>
      <c r="CM145" s="15"/>
      <c r="CN145" s="30"/>
    </row>
    <row r="146" spans="1:92" x14ac:dyDescent="0.25">
      <c r="A146" s="50"/>
      <c r="B146" s="31"/>
      <c r="C146" s="24"/>
      <c r="D146" s="32"/>
      <c r="E146" s="57"/>
      <c r="F146" s="165">
        <v>1099</v>
      </c>
      <c r="G146" s="57" t="s">
        <v>5312</v>
      </c>
      <c r="H146" s="148">
        <f>+SUM(H131:H145)</f>
        <v>594066.44999999995</v>
      </c>
      <c r="I146" s="24"/>
      <c r="J146" s="148">
        <f>+SUM(J133:J145)</f>
        <v>456910.8</v>
      </c>
      <c r="K146" s="24"/>
      <c r="L146" s="104"/>
      <c r="M146" s="57"/>
      <c r="N146" s="94"/>
      <c r="O146" s="57"/>
      <c r="P146" s="63"/>
      <c r="Q146" s="57"/>
      <c r="R146" s="101">
        <v>1169</v>
      </c>
      <c r="S146" s="57" t="s">
        <v>5559</v>
      </c>
      <c r="T146" s="165"/>
      <c r="U146" s="57"/>
      <c r="V146" s="63"/>
      <c r="W146" s="57"/>
      <c r="X146" s="101"/>
      <c r="Y146" s="57"/>
      <c r="Z146" s="63"/>
      <c r="AA146" s="57"/>
      <c r="AB146" s="31"/>
      <c r="AC146" s="86"/>
      <c r="AD146" s="29">
        <v>226400</v>
      </c>
      <c r="AE146" s="24" t="s">
        <v>5792</v>
      </c>
      <c r="AF146" s="101"/>
      <c r="AG146" s="182"/>
      <c r="AH146" s="169">
        <f>+SUM(AH144:AH145)</f>
        <v>260411.09</v>
      </c>
      <c r="AI146" s="57"/>
      <c r="AJ146" s="63"/>
      <c r="AK146" s="57"/>
      <c r="AL146" s="94"/>
      <c r="AM146" s="57"/>
      <c r="AN146" s="101"/>
      <c r="AO146" s="186"/>
      <c r="AP146" s="63"/>
      <c r="AQ146" s="57"/>
      <c r="AR146" s="98"/>
      <c r="AS146" s="57"/>
      <c r="AT146" s="29">
        <v>191453</v>
      </c>
      <c r="AU146" s="108" t="s">
        <v>6182</v>
      </c>
      <c r="AV146" s="29">
        <v>8265.0300000000007</v>
      </c>
      <c r="AW146" s="108" t="s">
        <v>4865</v>
      </c>
      <c r="AX146" s="96">
        <v>80000</v>
      </c>
      <c r="AY146" s="26" t="s">
        <v>6334</v>
      </c>
      <c r="AZ146" s="101"/>
      <c r="BA146" s="57"/>
      <c r="BB146" s="101"/>
      <c r="BC146" s="57"/>
      <c r="BD146" s="63"/>
      <c r="BE146" s="57"/>
      <c r="BF146" s="138">
        <v>2040</v>
      </c>
      <c r="BG146" t="s">
        <v>6456</v>
      </c>
      <c r="BH146" s="165">
        <v>3250</v>
      </c>
      <c r="BI146" s="57" t="s">
        <v>6484</v>
      </c>
      <c r="BJ146" s="101"/>
      <c r="BK146" s="57"/>
      <c r="BL146" s="63"/>
      <c r="BM146" s="57"/>
      <c r="BN146" s="101"/>
      <c r="BO146" s="57"/>
      <c r="BP146" s="63"/>
      <c r="BQ146" s="57"/>
      <c r="BR146" s="63"/>
      <c r="BS146" s="57"/>
      <c r="BT146" s="63"/>
      <c r="BU146" s="57"/>
      <c r="BV146" s="63"/>
      <c r="BW146" s="57"/>
      <c r="BX146" s="63"/>
      <c r="BY146" s="57"/>
      <c r="BZ146" s="63"/>
      <c r="CA146" s="57"/>
      <c r="CB146" s="63"/>
      <c r="CC146" s="57"/>
      <c r="CD146" s="63"/>
      <c r="CE146" s="57"/>
      <c r="CF146" s="63"/>
      <c r="CG146" s="57"/>
      <c r="CH146" s="63"/>
      <c r="CI146" s="57"/>
      <c r="CJ146" s="63"/>
      <c r="CK146" s="57"/>
      <c r="CL146" s="63"/>
      <c r="CM146" s="57"/>
      <c r="CN146" s="63"/>
    </row>
    <row r="147" spans="1:92" x14ac:dyDescent="0.25">
      <c r="A147" s="46"/>
      <c r="B147" s="114"/>
      <c r="C147" s="13"/>
      <c r="D147" s="31"/>
      <c r="E147" s="24"/>
      <c r="F147" s="104">
        <v>1970</v>
      </c>
      <c r="G147" s="24" t="s">
        <v>5313</v>
      </c>
      <c r="H147" s="32"/>
      <c r="I147" s="24"/>
      <c r="J147" s="31"/>
      <c r="K147" s="24"/>
      <c r="L147" s="116"/>
      <c r="M147" s="24"/>
      <c r="N147" s="31"/>
      <c r="O147" s="24"/>
      <c r="P147" s="31"/>
      <c r="Q147" s="24"/>
      <c r="R147" s="31">
        <v>2807</v>
      </c>
      <c r="S147" s="24" t="s">
        <v>5562</v>
      </c>
      <c r="T147" s="104"/>
      <c r="U147" s="24"/>
      <c r="V147" s="31"/>
      <c r="W147" s="24"/>
      <c r="X147" s="31"/>
      <c r="Y147" s="24"/>
      <c r="Z147" s="31"/>
      <c r="AA147" s="24"/>
      <c r="AB147" s="32"/>
      <c r="AC147" s="85"/>
      <c r="AD147" s="29">
        <v>226400</v>
      </c>
      <c r="AE147" s="24" t="s">
        <v>5793</v>
      </c>
      <c r="AF147" s="32"/>
      <c r="AG147" s="180"/>
      <c r="AH147" s="31"/>
      <c r="AI147" s="24"/>
      <c r="AJ147" s="31"/>
      <c r="AK147" s="24"/>
      <c r="AL147" s="31"/>
      <c r="AM147" s="24"/>
      <c r="AN147" s="31"/>
      <c r="AO147" s="184"/>
      <c r="AP147" s="31"/>
      <c r="AQ147" s="24"/>
      <c r="AR147" s="98"/>
      <c r="AS147" s="24"/>
      <c r="AT147" s="78">
        <v>370700</v>
      </c>
      <c r="AU147" s="106" t="s">
        <v>6184</v>
      </c>
      <c r="AV147" s="78">
        <v>1099.01</v>
      </c>
      <c r="AW147" s="106" t="s">
        <v>6255</v>
      </c>
      <c r="AX147" s="31">
        <v>15260.93</v>
      </c>
      <c r="AY147" s="24" t="s">
        <v>6336</v>
      </c>
      <c r="AZ147" s="94"/>
      <c r="BA147" s="24"/>
      <c r="BB147" s="104"/>
      <c r="BC147" s="24"/>
      <c r="BD147" s="104">
        <v>52000</v>
      </c>
      <c r="BE147" s="24" t="s">
        <v>6392</v>
      </c>
      <c r="BF147" s="138">
        <v>2550</v>
      </c>
      <c r="BG147" t="s">
        <v>6457</v>
      </c>
      <c r="BH147" s="104">
        <v>2040</v>
      </c>
      <c r="BI147" s="24" t="s">
        <v>6485</v>
      </c>
      <c r="BJ147" s="31"/>
      <c r="BK147" s="24"/>
      <c r="BL147" s="31"/>
      <c r="BM147" s="24"/>
      <c r="BN147" s="31"/>
      <c r="BO147" s="24"/>
      <c r="BP147" s="31"/>
      <c r="BQ147" s="24"/>
      <c r="BR147" s="31"/>
      <c r="BS147" s="24"/>
      <c r="BT147" s="31"/>
      <c r="BU147" s="24"/>
      <c r="BV147" s="31"/>
      <c r="BW147" s="24"/>
      <c r="BX147" s="31"/>
      <c r="BY147" s="24"/>
      <c r="BZ147" s="31"/>
      <c r="CA147" s="24"/>
      <c r="CB147" s="31"/>
      <c r="CC147" s="24"/>
      <c r="CD147" s="31"/>
      <c r="CE147" s="24"/>
      <c r="CF147" s="31"/>
      <c r="CG147" s="24"/>
      <c r="CH147" s="31"/>
      <c r="CI147" s="24"/>
      <c r="CJ147" s="31"/>
      <c r="CK147" s="24"/>
      <c r="CL147" s="31"/>
      <c r="CM147" s="24"/>
      <c r="CN147" s="31"/>
    </row>
    <row r="148" spans="1:92" x14ac:dyDescent="0.25">
      <c r="A148" s="46"/>
      <c r="B148" s="96"/>
      <c r="C148" s="15"/>
      <c r="D148" s="31"/>
      <c r="E148" s="24"/>
      <c r="F148" s="104">
        <v>1169</v>
      </c>
      <c r="G148" s="24" t="s">
        <v>5314</v>
      </c>
      <c r="H148" s="31"/>
      <c r="I148" s="24"/>
      <c r="J148" s="104"/>
      <c r="K148" s="24"/>
      <c r="L148" s="31"/>
      <c r="M148" s="24"/>
      <c r="N148" s="31"/>
      <c r="O148" s="24"/>
      <c r="P148" s="31"/>
      <c r="Q148" s="24"/>
      <c r="R148" s="31">
        <v>1970</v>
      </c>
      <c r="S148" s="24" t="s">
        <v>5576</v>
      </c>
      <c r="T148" s="104"/>
      <c r="U148" s="24"/>
      <c r="V148" s="31"/>
      <c r="W148" s="24"/>
      <c r="X148" s="32"/>
      <c r="Y148" s="24"/>
      <c r="Z148" s="31"/>
      <c r="AA148" s="24"/>
      <c r="AB148" s="31"/>
      <c r="AC148" s="24"/>
      <c r="AD148" s="29">
        <v>226400</v>
      </c>
      <c r="AE148" s="24" t="s">
        <v>5794</v>
      </c>
      <c r="AF148" s="32"/>
      <c r="AG148" s="24"/>
      <c r="AH148" s="31"/>
      <c r="AI148" s="24"/>
      <c r="AJ148" s="31"/>
      <c r="AK148" s="24"/>
      <c r="AL148" s="31"/>
      <c r="AM148" s="24"/>
      <c r="AN148" s="104"/>
      <c r="AO148" s="187"/>
      <c r="AP148" s="31"/>
      <c r="AQ148" s="24"/>
      <c r="AR148" s="31"/>
      <c r="AS148" s="26"/>
      <c r="AT148" s="78">
        <v>370700</v>
      </c>
      <c r="AU148" s="106" t="s">
        <v>6185</v>
      </c>
      <c r="AV148" s="78">
        <v>5563.19</v>
      </c>
      <c r="AW148" s="106" t="s">
        <v>6257</v>
      </c>
      <c r="AX148" s="31">
        <v>18035.009999999998</v>
      </c>
      <c r="AY148" s="24" t="s">
        <v>6337</v>
      </c>
      <c r="AZ148" s="31"/>
      <c r="BA148" s="24"/>
      <c r="BB148" s="104"/>
      <c r="BC148" s="24"/>
      <c r="BD148" s="104">
        <v>47194.49</v>
      </c>
      <c r="BE148" s="24" t="s">
        <v>6393</v>
      </c>
      <c r="BF148" s="138">
        <v>1099</v>
      </c>
      <c r="BG148" t="s">
        <v>6458</v>
      </c>
      <c r="BH148" s="104">
        <v>2040</v>
      </c>
      <c r="BI148" s="24" t="s">
        <v>6493</v>
      </c>
      <c r="BJ148" s="104"/>
      <c r="BK148" s="24"/>
      <c r="BL148" s="31"/>
      <c r="BM148" s="24"/>
      <c r="BN148" s="31"/>
      <c r="BO148" s="24"/>
      <c r="BP148" s="31"/>
      <c r="BQ148" s="24"/>
      <c r="BR148" s="31"/>
      <c r="BS148" s="24"/>
      <c r="BT148" s="31"/>
      <c r="BU148" s="24"/>
      <c r="BV148" s="31"/>
      <c r="BW148" s="24"/>
      <c r="BX148" s="31"/>
      <c r="BY148" s="24"/>
      <c r="BZ148" s="31"/>
      <c r="CA148" s="24"/>
      <c r="CB148" s="31"/>
      <c r="CC148" s="24"/>
      <c r="CD148" s="31"/>
      <c r="CE148" s="24"/>
      <c r="CF148" s="31"/>
      <c r="CG148" s="24"/>
      <c r="CH148" s="31"/>
      <c r="CI148" s="24"/>
      <c r="CJ148" s="31"/>
      <c r="CK148" s="24"/>
      <c r="CL148" s="31"/>
      <c r="CM148" s="24"/>
      <c r="CN148" s="31"/>
    </row>
    <row r="149" spans="1:92" x14ac:dyDescent="0.25">
      <c r="B149" s="116"/>
      <c r="C149" s="24"/>
      <c r="D149" s="120"/>
      <c r="E149" s="120"/>
      <c r="F149" s="183">
        <v>1970</v>
      </c>
      <c r="G149" s="24" t="s">
        <v>5315</v>
      </c>
      <c r="H149" s="120"/>
      <c r="I149" s="120"/>
      <c r="J149" s="128"/>
      <c r="K149" s="24"/>
      <c r="L149" s="120"/>
      <c r="M149" s="120"/>
      <c r="N149" s="120"/>
      <c r="O149" s="120"/>
      <c r="P149" s="120"/>
      <c r="Q149" s="120"/>
      <c r="R149" s="151">
        <f>+SUM(R131:R148)</f>
        <v>714175.24999999977</v>
      </c>
      <c r="S149" s="120"/>
      <c r="T149" s="173"/>
      <c r="U149" s="24"/>
      <c r="V149" s="120"/>
      <c r="W149" s="120"/>
      <c r="X149" s="120"/>
      <c r="Y149" s="120"/>
      <c r="Z149" s="31"/>
      <c r="AA149" s="24"/>
      <c r="AB149" s="120"/>
      <c r="AC149" s="120"/>
      <c r="AD149" s="29">
        <v>226400</v>
      </c>
      <c r="AE149" s="24" t="s">
        <v>5795</v>
      </c>
      <c r="AF149" s="96"/>
      <c r="AG149" s="120"/>
      <c r="AH149" s="120"/>
      <c r="AI149" s="120"/>
      <c r="AJ149" s="120"/>
      <c r="AK149" s="120"/>
      <c r="AL149" s="128"/>
      <c r="AM149" s="120"/>
      <c r="AN149" s="96"/>
      <c r="AO149" s="188"/>
      <c r="AP149" s="30"/>
      <c r="AQ149" s="24"/>
      <c r="AR149" s="26"/>
      <c r="AS149" s="120"/>
      <c r="AT149" s="150">
        <v>1969</v>
      </c>
      <c r="AU149" s="106" t="s">
        <v>6193</v>
      </c>
      <c r="AV149" s="156">
        <f>+SUM(AV140:AV148)</f>
        <v>1367427.23</v>
      </c>
      <c r="AW149" s="120"/>
      <c r="AX149" s="96">
        <v>5105</v>
      </c>
      <c r="AY149" s="26" t="s">
        <v>6344</v>
      </c>
      <c r="AZ149" s="120"/>
      <c r="BA149" s="120"/>
      <c r="BB149" s="128"/>
      <c r="BC149" s="24"/>
      <c r="BD149" s="128">
        <v>200000</v>
      </c>
      <c r="BE149" s="24" t="s">
        <v>6395</v>
      </c>
      <c r="BF149" s="138">
        <v>4083</v>
      </c>
      <c r="BG149" t="s">
        <v>6459</v>
      </c>
      <c r="BH149" s="128">
        <v>1408</v>
      </c>
      <c r="BI149" s="24" t="s">
        <v>6503</v>
      </c>
      <c r="BJ149" s="128"/>
      <c r="BK149" s="24"/>
      <c r="BL149" s="120"/>
      <c r="BM149" s="120"/>
      <c r="BN149" s="151"/>
      <c r="BO149" s="120"/>
    </row>
    <row r="150" spans="1:92" x14ac:dyDescent="0.25">
      <c r="B150" s="116"/>
      <c r="C150" s="24"/>
      <c r="D150" s="120"/>
      <c r="E150" s="120"/>
      <c r="F150" s="151">
        <f>+SUM(F131:F149)</f>
        <v>1173177.55</v>
      </c>
      <c r="G150" s="120"/>
      <c r="H150" s="120"/>
      <c r="I150" s="124"/>
      <c r="J150" s="96"/>
      <c r="K150" s="15"/>
      <c r="L150" s="120"/>
      <c r="M150" s="120"/>
      <c r="N150" s="120"/>
      <c r="O150" s="120"/>
      <c r="P150" s="120"/>
      <c r="Q150" s="120"/>
      <c r="R150" s="120"/>
      <c r="S150" s="120"/>
      <c r="T150" s="173"/>
      <c r="U150" s="24"/>
      <c r="V150" s="120"/>
      <c r="W150" s="120"/>
      <c r="X150" s="120"/>
      <c r="Y150" s="120"/>
      <c r="Z150" s="32"/>
      <c r="AA150" s="24"/>
      <c r="AB150" s="120"/>
      <c r="AC150" s="120"/>
      <c r="AD150" s="128">
        <v>260000</v>
      </c>
      <c r="AE150" s="24" t="s">
        <v>5766</v>
      </c>
      <c r="AF150" s="179"/>
      <c r="AG150" s="120"/>
      <c r="AH150" s="120"/>
      <c r="AI150" s="120"/>
      <c r="AJ150" s="120"/>
      <c r="AK150" s="120"/>
      <c r="AL150" s="150"/>
      <c r="AM150" s="120"/>
      <c r="AN150" s="183"/>
      <c r="AO150" s="188"/>
      <c r="AP150" s="98"/>
      <c r="AQ150" s="24"/>
      <c r="AR150" s="120"/>
      <c r="AS150" s="120"/>
      <c r="AT150" s="199">
        <v>1657</v>
      </c>
      <c r="AU150" s="106" t="s">
        <v>6200</v>
      </c>
      <c r="AV150" s="120"/>
      <c r="AW150" s="120"/>
      <c r="AX150" s="151">
        <f>+SUM(AX144:AX149)</f>
        <v>202089.41999999998</v>
      </c>
      <c r="AY150" s="120"/>
      <c r="AZ150" s="120"/>
      <c r="BA150" s="120"/>
      <c r="BB150" s="128"/>
      <c r="BC150" s="24"/>
      <c r="BD150" s="128">
        <v>145700</v>
      </c>
      <c r="BE150" s="24" t="s">
        <v>6396</v>
      </c>
      <c r="BF150" s="138">
        <v>3250</v>
      </c>
      <c r="BG150" t="s">
        <v>6439</v>
      </c>
      <c r="BH150" s="96">
        <v>103620</v>
      </c>
      <c r="BI150" s="15" t="s">
        <v>6472</v>
      </c>
      <c r="BJ150" s="128"/>
      <c r="BK150" s="24"/>
      <c r="BL150" s="120"/>
      <c r="BM150" s="120"/>
      <c r="BN150" s="120"/>
      <c r="BO150" s="120"/>
    </row>
    <row r="151" spans="1:92" x14ac:dyDescent="0.25">
      <c r="B151" s="116"/>
      <c r="C151" s="24"/>
      <c r="D151" s="120"/>
      <c r="E151" s="120"/>
      <c r="F151" s="120"/>
      <c r="G151" s="120"/>
      <c r="H151" s="120"/>
      <c r="I151" s="120"/>
      <c r="J151" s="146"/>
      <c r="K151" s="120"/>
      <c r="L151" s="120"/>
      <c r="M151" s="120"/>
      <c r="N151" s="120"/>
      <c r="O151" s="120"/>
      <c r="P151" s="120"/>
      <c r="Q151" s="120"/>
      <c r="R151" s="120"/>
      <c r="S151" s="120"/>
      <c r="T151" s="173"/>
      <c r="U151" s="24"/>
      <c r="V151" s="120"/>
      <c r="W151" s="120"/>
      <c r="X151" s="120"/>
      <c r="Y151" s="120"/>
      <c r="Z151" s="31"/>
      <c r="AA151" s="120"/>
      <c r="AB151" s="120"/>
      <c r="AC151" s="120"/>
      <c r="AD151" s="128">
        <v>3662.06</v>
      </c>
      <c r="AE151" s="24" t="s">
        <v>5800</v>
      </c>
      <c r="AF151" s="128"/>
      <c r="AG151" s="120"/>
      <c r="AH151" s="120"/>
      <c r="AI151" s="120"/>
      <c r="AJ151" s="120"/>
      <c r="AK151" s="120"/>
      <c r="AL151" s="128"/>
      <c r="AM151" s="120"/>
      <c r="AN151" s="128"/>
      <c r="AO151" s="188"/>
      <c r="AP151" s="32"/>
      <c r="AQ151" s="120"/>
      <c r="AR151" s="120"/>
      <c r="AS151" s="120"/>
      <c r="AT151" s="151">
        <f>+SUM(AT146:AT150)</f>
        <v>936479</v>
      </c>
      <c r="AU151" s="120"/>
      <c r="AV151" s="120"/>
      <c r="AW151" s="120"/>
      <c r="AX151" s="128"/>
      <c r="AY151" s="120"/>
      <c r="AZ151" s="120"/>
      <c r="BA151" s="120"/>
      <c r="BB151" s="128"/>
      <c r="BC151" s="24"/>
      <c r="BD151" s="128">
        <v>345700</v>
      </c>
      <c r="BE151" s="24" t="s">
        <v>6396</v>
      </c>
      <c r="BF151" s="203">
        <f>+SUM(BF135:BF150)</f>
        <v>906204.72</v>
      </c>
      <c r="BG151" s="153"/>
      <c r="BH151" s="151">
        <f>+SUM(BH136:BH150)</f>
        <v>860597.44</v>
      </c>
      <c r="BI151" s="120"/>
      <c r="BJ151" s="128"/>
      <c r="BK151" s="24"/>
      <c r="BL151" s="120"/>
      <c r="BM151" s="120"/>
      <c r="BN151" s="120"/>
      <c r="BO151" s="120"/>
    </row>
    <row r="152" spans="1:92" x14ac:dyDescent="0.25">
      <c r="B152" s="116"/>
      <c r="C152" s="24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73"/>
      <c r="U152" s="24"/>
      <c r="V152" s="120"/>
      <c r="W152" s="120"/>
      <c r="X152" s="120"/>
      <c r="Y152" s="120"/>
      <c r="Z152" s="120"/>
      <c r="AA152" s="120"/>
      <c r="AB152" s="120"/>
      <c r="AC152" s="120"/>
      <c r="AD152" s="128">
        <v>2517.64</v>
      </c>
      <c r="AE152" s="24" t="s">
        <v>5801</v>
      </c>
      <c r="AF152" s="128"/>
      <c r="AG152" s="127"/>
      <c r="AH152" s="120"/>
      <c r="AI152" s="120"/>
      <c r="AJ152" s="120"/>
      <c r="AK152" s="120"/>
      <c r="AL152" s="146"/>
      <c r="AM152" s="120"/>
      <c r="AN152" s="128"/>
      <c r="AO152" s="189"/>
      <c r="AP152" s="120"/>
      <c r="AQ152" s="120"/>
      <c r="AR152" s="120"/>
      <c r="AS152" s="120"/>
      <c r="AT152" s="120"/>
      <c r="AU152" s="120"/>
      <c r="AV152" s="120"/>
      <c r="AW152" s="120"/>
      <c r="AX152" s="128"/>
      <c r="AY152" s="120"/>
      <c r="AZ152" s="120"/>
      <c r="BA152" s="124"/>
      <c r="BB152" s="128"/>
      <c r="BC152" s="24"/>
      <c r="BD152" s="128">
        <v>107041.03</v>
      </c>
      <c r="BE152" s="24" t="s">
        <v>6397</v>
      </c>
      <c r="BF152" s="151"/>
      <c r="BG152" s="120"/>
      <c r="BH152" s="128"/>
      <c r="BI152" s="120"/>
      <c r="BJ152" s="128"/>
      <c r="BK152" s="24"/>
      <c r="BL152" s="120"/>
      <c r="BM152" s="120"/>
      <c r="BN152" s="120"/>
      <c r="BO152" s="120"/>
    </row>
    <row r="153" spans="1:92" x14ac:dyDescent="0.25">
      <c r="B153" s="31"/>
      <c r="C153" s="24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91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8">
        <v>2903</v>
      </c>
      <c r="AE153" s="24" t="s">
        <v>5810</v>
      </c>
      <c r="AF153" s="146"/>
      <c r="AG153" s="120"/>
      <c r="AH153" s="120"/>
      <c r="AI153" s="120"/>
      <c r="AJ153" s="120"/>
      <c r="AK153" s="120"/>
      <c r="AL153" s="128"/>
      <c r="AM153" s="120"/>
      <c r="AN153" s="146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8"/>
      <c r="AY153" s="127"/>
      <c r="AZ153" s="120"/>
      <c r="BA153" s="120"/>
      <c r="BB153" s="128"/>
      <c r="BC153" s="24"/>
      <c r="BD153" s="128">
        <v>2800.6</v>
      </c>
      <c r="BE153" s="24" t="s">
        <v>6401</v>
      </c>
      <c r="BF153" s="128"/>
      <c r="BG153" s="120"/>
      <c r="BH153" s="120"/>
      <c r="BI153" s="120"/>
      <c r="BJ153" s="96"/>
      <c r="BK153" s="15"/>
      <c r="BL153" s="120"/>
      <c r="BM153" s="120"/>
      <c r="BN153" s="120"/>
      <c r="BO153" s="120"/>
    </row>
    <row r="154" spans="1:92" x14ac:dyDescent="0.25">
      <c r="B154" s="34"/>
      <c r="C154" s="54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>
        <v>1970</v>
      </c>
      <c r="AD154" s="196">
        <v>2434</v>
      </c>
      <c r="AE154" s="24" t="s">
        <v>5812</v>
      </c>
      <c r="AF154" s="128"/>
      <c r="AG154" s="120"/>
      <c r="AH154" s="120"/>
      <c r="AI154" s="120"/>
      <c r="AJ154" s="120"/>
      <c r="AK154" s="120"/>
      <c r="AL154" s="120"/>
      <c r="AM154" s="120"/>
      <c r="AN154" s="128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8"/>
      <c r="AY154" s="127"/>
      <c r="AZ154" s="120"/>
      <c r="BA154" s="120"/>
      <c r="BB154" s="128"/>
      <c r="BC154" s="24"/>
      <c r="BD154" s="150">
        <f>+SUM(BD147:BD153)</f>
        <v>900436.12</v>
      </c>
      <c r="BE154" s="120"/>
      <c r="BF154" s="120"/>
      <c r="BG154" s="120"/>
      <c r="BH154" s="120"/>
      <c r="BI154" s="120"/>
      <c r="BJ154" s="156"/>
      <c r="BK154" s="120"/>
      <c r="BL154" s="120"/>
      <c r="BM154" s="120"/>
      <c r="BN154" s="120"/>
      <c r="BO154" s="120"/>
    </row>
    <row r="155" spans="1:92" x14ac:dyDescent="0.25">
      <c r="B155" s="31"/>
      <c r="C155" s="24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8">
        <v>3320</v>
      </c>
      <c r="AE155" s="24" t="s">
        <v>5813</v>
      </c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8"/>
      <c r="AY155" s="127"/>
      <c r="AZ155" s="120"/>
      <c r="BA155" s="120"/>
      <c r="BB155" s="128"/>
      <c r="BC155" s="24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</row>
    <row r="156" spans="1:92" x14ac:dyDescent="0.25">
      <c r="B156" s="31"/>
      <c r="C156" s="24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51">
        <f>+SUM(AD135:AD155)</f>
        <v>2412440.7000000002</v>
      </c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46"/>
      <c r="AY156" s="120"/>
      <c r="AZ156" s="120"/>
      <c r="BA156" s="120"/>
      <c r="BB156" s="128"/>
      <c r="BC156" s="24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</row>
    <row r="157" spans="1:92" x14ac:dyDescent="0.25">
      <c r="B157" s="31"/>
      <c r="C157" s="24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8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8"/>
      <c r="AY157" s="127"/>
      <c r="AZ157" s="120"/>
      <c r="BA157" s="120"/>
      <c r="BB157" s="94"/>
      <c r="BC157" s="15"/>
      <c r="BD157" s="9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</row>
    <row r="158" spans="1:92" x14ac:dyDescent="0.25">
      <c r="B158" s="35"/>
      <c r="C158" s="58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94"/>
      <c r="BC158" s="120"/>
      <c r="BD158" s="120"/>
      <c r="BE158" s="120"/>
      <c r="BF158" s="120"/>
      <c r="BG158" s="120"/>
      <c r="BH158" s="120"/>
      <c r="BI158" s="120"/>
      <c r="BJ158" s="149"/>
      <c r="BK158" s="120"/>
      <c r="BL158" s="120"/>
      <c r="BM158" s="120"/>
      <c r="BN158" s="120"/>
      <c r="BO158" s="120"/>
    </row>
    <row r="159" spans="1:92" x14ac:dyDescent="0.25">
      <c r="B159" s="31"/>
      <c r="C159" s="24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8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</row>
    <row r="160" spans="1:92" x14ac:dyDescent="0.25">
      <c r="B160" s="36"/>
      <c r="C160" s="13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5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</row>
    <row r="161" spans="2:67" x14ac:dyDescent="0.25"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4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</row>
    <row r="162" spans="2:67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</row>
    <row r="163" spans="2:67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</row>
    <row r="164" spans="2:67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</row>
    <row r="165" spans="2:67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</row>
    <row r="166" spans="2:67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</row>
    <row r="167" spans="2:67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</row>
    <row r="168" spans="2:67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</row>
    <row r="169" spans="2:67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</row>
    <row r="170" spans="2:67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</row>
    <row r="171" spans="2:67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</row>
    <row r="172" spans="2:67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</row>
    <row r="173" spans="2:67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</row>
    <row r="174" spans="2:67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</row>
    <row r="175" spans="2:67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</row>
    <row r="176" spans="2:67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</row>
    <row r="177" spans="2:47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</row>
    <row r="178" spans="2:47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</row>
    <row r="179" spans="2:47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</row>
    <row r="180" spans="2:47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</row>
    <row r="181" spans="2:47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</row>
    <row r="182" spans="2:47" x14ac:dyDescent="0.25"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</row>
    <row r="183" spans="2:47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</row>
    <row r="184" spans="2:47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</row>
    <row r="185" spans="2:47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</row>
    <row r="186" spans="2:47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86"/>
  <sheetViews>
    <sheetView zoomScaleNormal="100" workbookViewId="0">
      <pane xSplit="1" ySplit="1" topLeftCell="AZ2" activePane="bottomRight" state="frozen"/>
      <selection pane="topRight" activeCell="B1" sqref="B1"/>
      <selection pane="bottomLeft" activeCell="A2" sqref="A2"/>
      <selection pane="bottomRight" activeCell="B51" sqref="B51:B53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4.5703125" bestFit="1" customWidth="1"/>
    <col min="8" max="8" width="13.42578125" bestFit="1" customWidth="1"/>
    <col min="9" max="9" width="12.28515625" bestFit="1" customWidth="1"/>
    <col min="10" max="10" width="13.42578125" bestFit="1" customWidth="1"/>
    <col min="12" max="12" width="13.42578125" bestFit="1" customWidth="1"/>
    <col min="14" max="14" width="13.140625" bestFit="1" customWidth="1"/>
    <col min="16" max="16" width="13.42578125" bestFit="1" customWidth="1"/>
    <col min="18" max="18" width="14.85546875" bestFit="1" customWidth="1"/>
    <col min="20" max="20" width="14.5703125" bestFit="1" customWidth="1"/>
    <col min="22" max="22" width="12" bestFit="1" customWidth="1"/>
    <col min="24" max="24" width="14.5703125" bestFit="1" customWidth="1"/>
    <col min="26" max="26" width="13.5703125" bestFit="1" customWidth="1"/>
    <col min="28" max="28" width="13.42578125" bestFit="1" customWidth="1"/>
    <col min="30" max="30" width="14.85546875" bestFit="1" customWidth="1"/>
    <col min="32" max="32" width="13.85546875" bestFit="1" customWidth="1"/>
    <col min="33" max="33" width="13.140625" bestFit="1" customWidth="1"/>
    <col min="34" max="34" width="14.85546875" customWidth="1"/>
    <col min="36" max="36" width="13.5703125" bestFit="1" customWidth="1"/>
    <col min="38" max="38" width="13.42578125" bestFit="1" customWidth="1"/>
    <col min="40" max="40" width="15.28515625" bestFit="1" customWidth="1"/>
    <col min="42" max="42" width="13.85546875" bestFit="1" customWidth="1"/>
    <col min="44" max="44" width="13.7109375" customWidth="1"/>
    <col min="46" max="46" width="13" bestFit="1" customWidth="1"/>
    <col min="48" max="48" width="13.85546875" bestFit="1" customWidth="1"/>
    <col min="50" max="50" width="12.7109375" bestFit="1" customWidth="1"/>
    <col min="52" max="52" width="13.85546875" bestFit="1" customWidth="1"/>
    <col min="54" max="54" width="13.85546875" bestFit="1" customWidth="1"/>
    <col min="56" max="56" width="13.85546875" bestFit="1" customWidth="1"/>
    <col min="57" max="57" width="12.7109375" bestFit="1" customWidth="1"/>
    <col min="58" max="58" width="13.85546875" bestFit="1" customWidth="1"/>
    <col min="60" max="60" width="13.85546875" bestFit="1" customWidth="1"/>
    <col min="62" max="62" width="13.140625" bestFit="1" customWidth="1"/>
    <col min="63" max="63" width="11.5703125" bestFit="1" customWidth="1"/>
    <col min="64" max="64" width="13.42578125" bestFit="1" customWidth="1"/>
    <col min="66" max="66" width="13.42578125" bestFit="1" customWidth="1"/>
    <col min="68" max="68" width="15.28515625" bestFit="1" customWidth="1"/>
  </cols>
  <sheetData>
    <row r="1" spans="1:94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4" x14ac:dyDescent="0.25">
      <c r="A2" s="47"/>
      <c r="B2" s="142">
        <v>42887</v>
      </c>
      <c r="C2" s="142"/>
      <c r="D2" s="141">
        <v>42888</v>
      </c>
      <c r="E2" s="142"/>
      <c r="F2" s="141">
        <v>42889</v>
      </c>
      <c r="G2" s="142"/>
      <c r="H2" s="141">
        <v>42890</v>
      </c>
      <c r="I2" s="142"/>
      <c r="J2" s="141">
        <v>42891</v>
      </c>
      <c r="K2" s="142"/>
      <c r="L2" s="141">
        <v>42892</v>
      </c>
      <c r="M2" s="142"/>
      <c r="N2" s="141">
        <v>42893</v>
      </c>
      <c r="O2" s="142"/>
      <c r="P2" s="141">
        <v>42894</v>
      </c>
      <c r="Q2" s="142"/>
      <c r="R2" s="141">
        <v>42895</v>
      </c>
      <c r="S2" s="142"/>
      <c r="T2" s="141">
        <v>42896</v>
      </c>
      <c r="U2" s="142"/>
      <c r="V2" s="141">
        <v>1106</v>
      </c>
      <c r="W2" s="142"/>
      <c r="X2" s="141">
        <v>42898</v>
      </c>
      <c r="Y2" s="142"/>
      <c r="Z2" s="141">
        <v>42899</v>
      </c>
      <c r="AA2" s="142"/>
      <c r="AB2" s="141">
        <v>42900</v>
      </c>
      <c r="AC2" s="142"/>
      <c r="AD2" s="141">
        <v>42901</v>
      </c>
      <c r="AE2" s="142"/>
      <c r="AF2" s="141">
        <v>42902</v>
      </c>
      <c r="AG2" s="142"/>
      <c r="AH2" s="141">
        <v>42903</v>
      </c>
      <c r="AI2" s="142"/>
      <c r="AJ2" s="141">
        <v>42904</v>
      </c>
      <c r="AK2" s="142"/>
      <c r="AL2" s="141">
        <v>42905</v>
      </c>
      <c r="AM2" s="142"/>
      <c r="AN2" s="141">
        <v>42786</v>
      </c>
      <c r="AO2" s="142"/>
      <c r="AP2" s="141">
        <v>42907</v>
      </c>
      <c r="AQ2" s="142"/>
      <c r="AR2" s="141">
        <v>42908</v>
      </c>
      <c r="AS2" s="142"/>
      <c r="AT2" s="141">
        <v>42909</v>
      </c>
      <c r="AU2" s="142"/>
      <c r="AV2" s="141">
        <v>42910</v>
      </c>
      <c r="AW2" s="142"/>
      <c r="AX2" s="141">
        <v>42911</v>
      </c>
      <c r="AY2" s="142"/>
      <c r="AZ2" s="141">
        <v>42912</v>
      </c>
      <c r="BA2" s="142"/>
      <c r="BB2" s="141">
        <v>42913</v>
      </c>
      <c r="BC2" s="142"/>
      <c r="BD2" s="141">
        <v>42914</v>
      </c>
      <c r="BE2" s="142"/>
      <c r="BF2" s="141">
        <v>42915</v>
      </c>
      <c r="BG2" s="142"/>
      <c r="BH2" s="141">
        <v>42916</v>
      </c>
      <c r="BI2" s="142"/>
      <c r="BJ2" s="231"/>
      <c r="BK2" s="232"/>
      <c r="BL2" s="231"/>
      <c r="BM2" s="232"/>
      <c r="BN2" s="231"/>
      <c r="BO2" s="232"/>
      <c r="BP2" s="231"/>
      <c r="BQ2" s="232"/>
      <c r="BR2" s="231"/>
      <c r="BS2" s="232"/>
      <c r="BT2" s="231"/>
      <c r="BU2" s="232"/>
      <c r="BV2" s="231"/>
      <c r="BW2" s="232"/>
      <c r="BX2" s="231"/>
      <c r="BY2" s="232"/>
      <c r="BZ2" s="231"/>
      <c r="CA2" s="232"/>
      <c r="CB2" s="231"/>
      <c r="CC2" s="232"/>
      <c r="CD2" s="231"/>
      <c r="CE2" s="232"/>
      <c r="CF2" s="65"/>
      <c r="CG2" s="233"/>
      <c r="CH2" s="65"/>
      <c r="CI2" s="233"/>
      <c r="CJ2" s="65"/>
      <c r="CK2" s="233"/>
      <c r="CL2" s="65"/>
      <c r="CM2" s="233"/>
      <c r="CN2" s="65"/>
      <c r="CO2" s="233"/>
      <c r="CP2" s="65"/>
    </row>
    <row r="3" spans="1:94" x14ac:dyDescent="0.25">
      <c r="A3" s="38" t="s">
        <v>0</v>
      </c>
      <c r="B3" s="143">
        <v>9071.51</v>
      </c>
      <c r="C3" s="15"/>
      <c r="D3" s="143">
        <v>389782.78</v>
      </c>
      <c r="E3" s="15"/>
      <c r="F3" s="143">
        <v>24877.759999999998</v>
      </c>
      <c r="G3" s="15"/>
      <c r="H3" s="143">
        <v>251000</v>
      </c>
      <c r="I3" s="15"/>
      <c r="J3" s="143">
        <v>15313.9</v>
      </c>
      <c r="K3" s="15"/>
      <c r="L3" s="143">
        <v>110140.15</v>
      </c>
      <c r="M3" s="15"/>
      <c r="N3" s="143">
        <v>19060.55</v>
      </c>
      <c r="O3" s="15"/>
      <c r="P3" s="143">
        <v>3199.12</v>
      </c>
      <c r="Q3" s="15"/>
      <c r="R3" s="143">
        <v>11779.23</v>
      </c>
      <c r="S3" s="15"/>
      <c r="T3" s="143">
        <v>31863.88</v>
      </c>
      <c r="U3" s="15"/>
      <c r="V3" s="143"/>
      <c r="W3" s="15"/>
      <c r="X3" s="143">
        <v>7766.38</v>
      </c>
      <c r="Y3" s="15"/>
      <c r="Z3" s="143">
        <v>3557.36</v>
      </c>
      <c r="AA3" s="15"/>
      <c r="AB3" s="98">
        <v>2361.8000000000002</v>
      </c>
      <c r="AC3" s="15"/>
      <c r="AD3" s="143">
        <v>136077.82999999999</v>
      </c>
      <c r="AE3" s="15"/>
      <c r="AF3" s="143">
        <v>189614.57</v>
      </c>
      <c r="AG3" s="15"/>
      <c r="AH3" s="143">
        <v>25043.5</v>
      </c>
      <c r="AI3" s="15"/>
      <c r="AJ3" s="143">
        <v>6000</v>
      </c>
      <c r="AK3" s="15"/>
      <c r="AL3" s="143">
        <v>43133.26</v>
      </c>
      <c r="AM3" s="15"/>
      <c r="AN3" s="143">
        <v>311332.78999999998</v>
      </c>
      <c r="AO3" s="15"/>
      <c r="AP3" s="143">
        <v>239373.63</v>
      </c>
      <c r="AQ3" s="15"/>
      <c r="AR3" s="143">
        <v>379630.94</v>
      </c>
      <c r="AS3" s="15"/>
      <c r="AT3" s="143">
        <v>158346.64000000001</v>
      </c>
      <c r="AU3" s="15"/>
      <c r="AV3" s="143">
        <v>37997.94</v>
      </c>
      <c r="AW3" s="15"/>
      <c r="AX3" s="143">
        <v>50137.24</v>
      </c>
      <c r="AY3" s="15"/>
      <c r="AZ3" s="143">
        <v>29126.23</v>
      </c>
      <c r="BA3" s="15"/>
      <c r="BB3" s="143">
        <v>45391.63</v>
      </c>
      <c r="BC3" s="15"/>
      <c r="BD3" s="143">
        <v>3277.79</v>
      </c>
      <c r="BE3" s="15"/>
      <c r="BF3" s="143">
        <v>3895.54</v>
      </c>
      <c r="BG3" s="15"/>
      <c r="BH3" s="143">
        <v>14842.75</v>
      </c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</row>
    <row r="4" spans="1:94" x14ac:dyDescent="0.25">
      <c r="A4" s="39"/>
      <c r="B4" s="98">
        <v>130866.05</v>
      </c>
      <c r="C4" s="15"/>
      <c r="D4" s="98">
        <v>5893.33</v>
      </c>
      <c r="E4" s="15"/>
      <c r="F4" s="98"/>
      <c r="G4" s="15"/>
      <c r="H4" s="98"/>
      <c r="I4" s="15"/>
      <c r="J4" s="98">
        <v>6993.05</v>
      </c>
      <c r="K4" s="15"/>
      <c r="L4" s="98">
        <v>26747.33</v>
      </c>
      <c r="M4" s="15"/>
      <c r="N4" s="98">
        <v>19902.41</v>
      </c>
      <c r="O4" s="15"/>
      <c r="P4" s="98">
        <v>28727.38</v>
      </c>
      <c r="Q4" s="15"/>
      <c r="R4" s="98">
        <v>57097.42</v>
      </c>
      <c r="S4" s="15"/>
      <c r="T4" s="98"/>
      <c r="U4" s="15"/>
      <c r="V4" s="98"/>
      <c r="W4" s="15"/>
      <c r="X4" s="98">
        <v>206664.69</v>
      </c>
      <c r="Y4" s="15"/>
      <c r="Z4" s="98">
        <v>68907.570000000007</v>
      </c>
      <c r="AA4" s="15"/>
      <c r="AB4" s="98">
        <v>93376.73</v>
      </c>
      <c r="AC4" s="15"/>
      <c r="AD4" s="98">
        <v>105087.75</v>
      </c>
      <c r="AE4" s="15"/>
      <c r="AF4" s="98">
        <v>257980.97</v>
      </c>
      <c r="AG4" s="15"/>
      <c r="AH4" s="98"/>
      <c r="AI4" s="15"/>
      <c r="AJ4" s="98"/>
      <c r="AK4" s="15"/>
      <c r="AL4" s="98">
        <v>19881.52</v>
      </c>
      <c r="AM4" s="15"/>
      <c r="AN4" s="98">
        <v>8050.4</v>
      </c>
      <c r="AO4" s="15"/>
      <c r="AP4" s="98">
        <v>472268.06</v>
      </c>
      <c r="AQ4" s="15"/>
      <c r="AR4" s="98">
        <v>8848.23</v>
      </c>
      <c r="AS4" s="15"/>
      <c r="AT4" s="98">
        <v>63123.47</v>
      </c>
      <c r="AU4" s="15"/>
      <c r="AV4" s="98"/>
      <c r="AW4" s="15"/>
      <c r="AX4" s="98"/>
      <c r="AY4" s="15"/>
      <c r="AZ4" s="98">
        <v>135530.95000000001</v>
      </c>
      <c r="BA4" s="15"/>
      <c r="BB4" s="98">
        <v>149922.23000000001</v>
      </c>
      <c r="BC4" s="15"/>
      <c r="BD4" s="98">
        <v>34431.61</v>
      </c>
      <c r="BE4" s="15"/>
      <c r="BF4" s="98">
        <v>491284.43</v>
      </c>
      <c r="BG4" s="15"/>
      <c r="BH4" s="98">
        <v>258098.45</v>
      </c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</row>
    <row r="5" spans="1:94" x14ac:dyDescent="0.25">
      <c r="A5" s="48"/>
      <c r="B5" s="18"/>
      <c r="C5" s="59"/>
      <c r="D5" s="18"/>
      <c r="E5" s="59"/>
      <c r="F5" s="18"/>
      <c r="G5" s="59"/>
      <c r="H5" s="18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75"/>
      <c r="Y5" s="59"/>
      <c r="Z5" s="18"/>
      <c r="AA5" s="59"/>
      <c r="AB5" s="18"/>
      <c r="AC5" s="59"/>
      <c r="AD5" s="18"/>
      <c r="AE5" s="59"/>
      <c r="AF5" s="18"/>
      <c r="AG5" s="59"/>
      <c r="AH5" s="18"/>
      <c r="AI5" s="59"/>
      <c r="AJ5" s="18"/>
      <c r="AK5" s="59"/>
      <c r="AL5" s="18"/>
      <c r="AM5" s="59"/>
      <c r="AN5" s="18"/>
      <c r="AO5" s="59"/>
      <c r="AP5" s="75"/>
      <c r="AQ5" s="59"/>
      <c r="AR5" s="18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75"/>
      <c r="BK5" s="25"/>
      <c r="BL5" s="75"/>
      <c r="BM5" s="25"/>
      <c r="BN5" s="75"/>
      <c r="BO5" s="25"/>
      <c r="BP5" s="75"/>
      <c r="BQ5" s="25"/>
      <c r="BR5" s="75"/>
      <c r="BS5" s="25"/>
      <c r="BT5" s="75"/>
      <c r="BU5" s="25"/>
      <c r="BV5" s="75"/>
      <c r="BW5" s="25"/>
      <c r="BX5" s="75"/>
      <c r="BY5" s="25"/>
      <c r="BZ5" s="75"/>
      <c r="CA5" s="25"/>
      <c r="CB5" s="75"/>
      <c r="CC5" s="25"/>
      <c r="CD5" s="75"/>
      <c r="CE5" s="25"/>
      <c r="CF5" s="76"/>
      <c r="CG5" s="234"/>
      <c r="CH5" s="76"/>
      <c r="CI5" s="234"/>
      <c r="CJ5" s="76"/>
      <c r="CK5" s="234"/>
      <c r="CL5" s="76"/>
      <c r="CM5" s="234"/>
      <c r="CN5" s="76"/>
      <c r="CO5" s="234"/>
      <c r="CP5" s="76"/>
    </row>
    <row r="6" spans="1:94" x14ac:dyDescent="0.25">
      <c r="A6" s="41"/>
      <c r="B6" s="9">
        <v>888.64</v>
      </c>
      <c r="C6" s="15" t="s">
        <v>6508</v>
      </c>
      <c r="D6" s="9">
        <v>10000</v>
      </c>
      <c r="E6" s="15" t="s">
        <v>6557</v>
      </c>
      <c r="F6" s="9">
        <v>10000</v>
      </c>
      <c r="G6" s="15" t="s">
        <v>6594</v>
      </c>
      <c r="H6" s="9">
        <v>251000</v>
      </c>
      <c r="I6" s="15" t="s">
        <v>6644</v>
      </c>
      <c r="J6" s="9">
        <v>637.72</v>
      </c>
      <c r="K6" s="15" t="s">
        <v>6646</v>
      </c>
      <c r="L6" s="9">
        <v>5000</v>
      </c>
      <c r="M6" s="15" t="s">
        <v>6697</v>
      </c>
      <c r="N6" s="9">
        <v>553.27</v>
      </c>
      <c r="O6" s="15" t="s">
        <v>6749</v>
      </c>
      <c r="P6" s="9">
        <v>175</v>
      </c>
      <c r="Q6" s="15" t="s">
        <v>6793</v>
      </c>
      <c r="R6" s="9">
        <v>1476.54</v>
      </c>
      <c r="S6" s="15" t="s">
        <v>6837</v>
      </c>
      <c r="T6" s="9">
        <v>5000</v>
      </c>
      <c r="U6" s="15" t="s">
        <v>6890</v>
      </c>
      <c r="V6" s="9"/>
      <c r="W6" s="15"/>
      <c r="X6" s="9">
        <v>1169</v>
      </c>
      <c r="Y6" s="15" t="s">
        <v>6940</v>
      </c>
      <c r="Z6" s="9">
        <v>315.36</v>
      </c>
      <c r="AA6" s="15" t="s">
        <v>6980</v>
      </c>
      <c r="AB6" s="9">
        <v>1135.97</v>
      </c>
      <c r="AC6" s="15" t="s">
        <v>6999</v>
      </c>
      <c r="AD6" s="72">
        <v>60000</v>
      </c>
      <c r="AE6" s="86" t="s">
        <v>7079</v>
      </c>
      <c r="AF6" s="72">
        <v>182.9</v>
      </c>
      <c r="AG6" s="15" t="s">
        <v>7133</v>
      </c>
      <c r="AH6" s="9">
        <f>8804.05-5500</f>
        <v>3304.0499999999993</v>
      </c>
      <c r="AI6" s="15" t="s">
        <v>7177</v>
      </c>
      <c r="AJ6" s="72">
        <v>5000</v>
      </c>
      <c r="AK6" s="15" t="s">
        <v>7212</v>
      </c>
      <c r="AL6" s="9">
        <v>1027.52</v>
      </c>
      <c r="AM6" s="15" t="s">
        <v>7214</v>
      </c>
      <c r="AN6" s="112">
        <v>195358.6</v>
      </c>
      <c r="AO6" s="26" t="s">
        <v>7222</v>
      </c>
      <c r="AP6" s="9">
        <v>220000</v>
      </c>
      <c r="AQ6" s="15" t="s">
        <v>7304</v>
      </c>
      <c r="AR6" s="213">
        <f>2455-955</f>
        <v>1500</v>
      </c>
      <c r="AS6" s="15" t="s">
        <v>7378</v>
      </c>
      <c r="AT6" s="72">
        <v>10000</v>
      </c>
      <c r="AU6" s="24" t="s">
        <v>7430</v>
      </c>
      <c r="AV6" s="9">
        <v>1000</v>
      </c>
      <c r="AW6" s="15" t="s">
        <v>7506</v>
      </c>
      <c r="AX6" s="9">
        <v>50137.24</v>
      </c>
      <c r="AY6" s="15" t="s">
        <v>7541</v>
      </c>
      <c r="AZ6" s="9">
        <v>709.36</v>
      </c>
      <c r="BA6" s="15" t="s">
        <v>7542</v>
      </c>
      <c r="BB6" s="9">
        <v>232</v>
      </c>
      <c r="BC6" s="15" t="s">
        <v>7594</v>
      </c>
      <c r="BD6" s="9">
        <v>1945.35</v>
      </c>
      <c r="BE6" s="15" t="s">
        <v>7664</v>
      </c>
      <c r="BF6" s="9">
        <v>838.73</v>
      </c>
      <c r="BG6" s="15" t="s">
        <v>7725</v>
      </c>
      <c r="BH6" s="7">
        <v>436.82</v>
      </c>
      <c r="BI6" s="26" t="s">
        <v>7784</v>
      </c>
      <c r="BJ6" s="9"/>
      <c r="BK6" s="15"/>
      <c r="BL6" s="9"/>
      <c r="BM6" s="15"/>
      <c r="BN6" s="9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  <c r="CO6" s="15"/>
      <c r="CP6" s="9"/>
    </row>
    <row r="7" spans="1:94" x14ac:dyDescent="0.25">
      <c r="A7" s="41"/>
      <c r="B7" s="7">
        <v>2956.68</v>
      </c>
      <c r="C7" s="26" t="s">
        <v>6511</v>
      </c>
      <c r="D7" s="7">
        <v>14476.8</v>
      </c>
      <c r="E7" s="26" t="s">
        <v>6558</v>
      </c>
      <c r="F7" s="9">
        <v>963.39</v>
      </c>
      <c r="G7" s="26" t="s">
        <v>6595</v>
      </c>
      <c r="H7" s="9"/>
      <c r="I7" s="15"/>
      <c r="J7" s="9">
        <v>928</v>
      </c>
      <c r="K7" s="26" t="s">
        <v>6658</v>
      </c>
      <c r="L7" s="7">
        <v>100000</v>
      </c>
      <c r="M7" s="26" t="s">
        <v>6698</v>
      </c>
      <c r="N7" s="7">
        <v>5673.47</v>
      </c>
      <c r="O7" s="26" t="s">
        <v>6753</v>
      </c>
      <c r="P7" s="7">
        <v>704.99</v>
      </c>
      <c r="Q7" s="26" t="s">
        <v>6796</v>
      </c>
      <c r="R7" s="9">
        <v>1645.23</v>
      </c>
      <c r="S7" s="26" t="s">
        <v>6838</v>
      </c>
      <c r="T7" s="7">
        <v>217.51</v>
      </c>
      <c r="U7" s="26" t="s">
        <v>6891</v>
      </c>
      <c r="V7" s="9"/>
      <c r="W7" s="26"/>
      <c r="X7" s="9">
        <v>3300</v>
      </c>
      <c r="Y7" s="26" t="s">
        <v>6941</v>
      </c>
      <c r="Z7" s="7">
        <v>1451.72</v>
      </c>
      <c r="AA7" s="26" t="s">
        <v>6982</v>
      </c>
      <c r="AB7" s="9">
        <v>56.83</v>
      </c>
      <c r="AC7" s="15" t="s">
        <v>7000</v>
      </c>
      <c r="AD7" s="87">
        <v>1169</v>
      </c>
      <c r="AE7" s="88" t="s">
        <v>7082</v>
      </c>
      <c r="AF7" s="72">
        <v>185000</v>
      </c>
      <c r="AG7" s="26" t="s">
        <v>7137</v>
      </c>
      <c r="AH7" s="7">
        <v>229.91</v>
      </c>
      <c r="AI7" s="26" t="s">
        <v>7181</v>
      </c>
      <c r="AJ7" s="87">
        <v>1000</v>
      </c>
      <c r="AK7" s="26" t="s">
        <v>7213</v>
      </c>
      <c r="AL7" s="7">
        <f>59060-20000</f>
        <v>39060</v>
      </c>
      <c r="AM7" s="26" t="s">
        <v>7216</v>
      </c>
      <c r="AN7" s="112">
        <v>2250</v>
      </c>
      <c r="AO7" s="15" t="s">
        <v>7223</v>
      </c>
      <c r="AP7" s="9">
        <f>35105.34-17000</f>
        <v>18105.339999999997</v>
      </c>
      <c r="AQ7" s="26" t="s">
        <v>7313</v>
      </c>
      <c r="AR7" s="213">
        <v>1828.32</v>
      </c>
      <c r="AS7" s="26" t="s">
        <v>7388</v>
      </c>
      <c r="AT7" s="72">
        <v>110000</v>
      </c>
      <c r="AU7" s="24" t="s">
        <v>7432</v>
      </c>
      <c r="AV7" s="7">
        <v>3000</v>
      </c>
      <c r="AW7" s="26" t="s">
        <v>7510</v>
      </c>
      <c r="AX7" s="7"/>
      <c r="AY7" s="26"/>
      <c r="AZ7" s="7">
        <v>23000</v>
      </c>
      <c r="BA7" s="26" t="s">
        <v>7543</v>
      </c>
      <c r="BB7" s="7">
        <v>6900</v>
      </c>
      <c r="BC7" s="26" t="s">
        <v>7596</v>
      </c>
      <c r="BD7" s="9">
        <v>84</v>
      </c>
      <c r="BE7" s="26" t="s">
        <v>7667</v>
      </c>
      <c r="BF7" s="9">
        <v>2064.5300000000002</v>
      </c>
      <c r="BG7" s="26" t="s">
        <v>7727</v>
      </c>
      <c r="BH7" s="9">
        <v>1449</v>
      </c>
      <c r="BI7" s="15" t="s">
        <v>7788</v>
      </c>
      <c r="BJ7" s="9"/>
      <c r="BK7" s="15"/>
      <c r="BL7" s="9"/>
      <c r="BM7" s="15"/>
      <c r="BN7" s="9"/>
      <c r="BO7" s="15"/>
      <c r="BP7" s="9"/>
      <c r="BQ7" s="15"/>
      <c r="BR7" s="9"/>
      <c r="BS7" s="15"/>
      <c r="BT7" s="9"/>
      <c r="BU7" s="15"/>
      <c r="BV7" s="9"/>
      <c r="BW7" s="15"/>
      <c r="BX7" s="9"/>
      <c r="BY7" s="15"/>
      <c r="BZ7" s="9"/>
      <c r="CA7" s="15"/>
      <c r="CB7" s="9"/>
      <c r="CC7" s="15"/>
      <c r="CD7" s="9"/>
      <c r="CE7" s="15"/>
      <c r="CF7" s="9"/>
      <c r="CG7" s="15"/>
      <c r="CH7" s="9"/>
      <c r="CI7" s="15"/>
      <c r="CJ7" s="9"/>
      <c r="CK7" s="15"/>
      <c r="CL7" s="9"/>
      <c r="CM7" s="15"/>
      <c r="CN7" s="9"/>
      <c r="CO7" s="15"/>
      <c r="CP7" s="9"/>
    </row>
    <row r="8" spans="1:94" x14ac:dyDescent="0.25">
      <c r="A8" s="41"/>
      <c r="B8" s="7">
        <v>1522.12</v>
      </c>
      <c r="C8" s="26" t="s">
        <v>6517</v>
      </c>
      <c r="D8" s="7">
        <v>70000</v>
      </c>
      <c r="E8" s="26" t="s">
        <v>6559</v>
      </c>
      <c r="F8" s="9">
        <v>2500</v>
      </c>
      <c r="G8" s="26" t="s">
        <v>6596</v>
      </c>
      <c r="H8" s="9"/>
      <c r="I8" s="15"/>
      <c r="J8" s="9">
        <v>2040</v>
      </c>
      <c r="K8" s="26" t="s">
        <v>6661</v>
      </c>
      <c r="L8" s="7">
        <v>1000</v>
      </c>
      <c r="M8" s="26" t="s">
        <v>6699</v>
      </c>
      <c r="N8" s="7">
        <v>1099</v>
      </c>
      <c r="O8" s="26" t="s">
        <v>6754</v>
      </c>
      <c r="P8" s="7">
        <v>434.97</v>
      </c>
      <c r="Q8" s="26" t="s">
        <v>6801</v>
      </c>
      <c r="R8" s="9">
        <v>2758.97</v>
      </c>
      <c r="S8" s="26" t="s">
        <v>6839</v>
      </c>
      <c r="T8" s="7">
        <v>3248.63</v>
      </c>
      <c r="U8" s="26" t="s">
        <v>6894</v>
      </c>
      <c r="V8" s="9"/>
      <c r="W8" s="15"/>
      <c r="X8" s="9">
        <v>200</v>
      </c>
      <c r="Y8" s="15" t="s">
        <v>6943</v>
      </c>
      <c r="Z8" s="9">
        <v>1099.01</v>
      </c>
      <c r="AA8" s="26" t="s">
        <v>6992</v>
      </c>
      <c r="AB8" s="9">
        <v>1169</v>
      </c>
      <c r="AC8" s="26" t="s">
        <v>7002</v>
      </c>
      <c r="AD8" s="87">
        <v>1099.01</v>
      </c>
      <c r="AE8" s="12" t="s">
        <v>7083</v>
      </c>
      <c r="AF8" s="127">
        <v>2040</v>
      </c>
      <c r="AG8" s="15" t="s">
        <v>7139</v>
      </c>
      <c r="AH8" s="7">
        <v>3588.99</v>
      </c>
      <c r="AI8" s="26" t="s">
        <v>7183</v>
      </c>
      <c r="AJ8" s="87"/>
      <c r="AK8" s="26"/>
      <c r="AL8" s="7">
        <v>1169</v>
      </c>
      <c r="AM8" s="26" t="s">
        <v>7217</v>
      </c>
      <c r="AN8" s="112">
        <v>10000</v>
      </c>
      <c r="AO8" s="15" t="s">
        <v>7226</v>
      </c>
      <c r="AP8" s="9">
        <v>169</v>
      </c>
      <c r="AQ8" s="26" t="s">
        <v>7317</v>
      </c>
      <c r="AR8" s="213">
        <v>11940.31</v>
      </c>
      <c r="AS8" s="26" t="s">
        <v>7389</v>
      </c>
      <c r="AT8" s="9">
        <v>1612.2</v>
      </c>
      <c r="AU8" s="15" t="s">
        <v>7439</v>
      </c>
      <c r="AV8" s="7">
        <v>920</v>
      </c>
      <c r="AW8" s="26" t="s">
        <v>7512</v>
      </c>
      <c r="AX8" s="7"/>
      <c r="AY8" s="26"/>
      <c r="AZ8" s="7">
        <v>403.41</v>
      </c>
      <c r="BA8" s="26" t="s">
        <v>7547</v>
      </c>
      <c r="BB8" s="7">
        <v>2000</v>
      </c>
      <c r="BC8" s="26" t="s">
        <v>7597</v>
      </c>
      <c r="BD8" s="9">
        <v>1169</v>
      </c>
      <c r="BE8" s="26" t="s">
        <v>7677</v>
      </c>
      <c r="BF8" s="9">
        <v>232</v>
      </c>
      <c r="BG8" s="26" t="s">
        <v>7737</v>
      </c>
      <c r="BH8" s="7">
        <v>4464.99</v>
      </c>
      <c r="BI8" s="26" t="s">
        <v>7791</v>
      </c>
      <c r="BJ8" s="9"/>
      <c r="BK8" s="15"/>
      <c r="BL8" s="9"/>
      <c r="BM8" s="15"/>
      <c r="BN8" s="9"/>
      <c r="BO8" s="15"/>
      <c r="BP8" s="9"/>
      <c r="BQ8" s="15"/>
      <c r="BR8" s="9"/>
      <c r="BS8" s="15"/>
      <c r="BT8" s="9"/>
      <c r="BU8" s="15"/>
      <c r="BV8" s="9"/>
      <c r="BW8" s="15"/>
      <c r="BX8" s="9"/>
      <c r="BY8" s="15"/>
      <c r="BZ8" s="9"/>
      <c r="CA8" s="15"/>
      <c r="CB8" s="9"/>
      <c r="CC8" s="15"/>
      <c r="CD8" s="9"/>
      <c r="CE8" s="15"/>
      <c r="CF8" s="9"/>
      <c r="CG8" s="15"/>
      <c r="CH8" s="9"/>
      <c r="CI8" s="15"/>
      <c r="CJ8" s="9"/>
      <c r="CK8" s="15"/>
      <c r="CL8" s="9"/>
      <c r="CM8" s="15"/>
      <c r="CN8" s="9"/>
      <c r="CO8" s="15"/>
      <c r="CP8" s="9"/>
    </row>
    <row r="9" spans="1:94" x14ac:dyDescent="0.25">
      <c r="A9" s="41"/>
      <c r="B9" s="9">
        <v>374.42</v>
      </c>
      <c r="C9" s="15" t="s">
        <v>6520</v>
      </c>
      <c r="D9" s="9">
        <v>10000</v>
      </c>
      <c r="E9" s="15" t="s">
        <v>6560</v>
      </c>
      <c r="F9" s="9">
        <v>1513</v>
      </c>
      <c r="G9" s="15" t="s">
        <v>6597</v>
      </c>
      <c r="H9" s="9"/>
      <c r="I9" s="15"/>
      <c r="J9" s="9">
        <v>52.2</v>
      </c>
      <c r="K9" s="15" t="s">
        <v>6663</v>
      </c>
      <c r="L9" s="9">
        <v>175</v>
      </c>
      <c r="M9" s="15" t="s">
        <v>6700</v>
      </c>
      <c r="N9" s="9">
        <v>1168.99</v>
      </c>
      <c r="O9" s="15" t="s">
        <v>6756</v>
      </c>
      <c r="P9" s="9">
        <v>328.34</v>
      </c>
      <c r="Q9" s="15" t="s">
        <v>6802</v>
      </c>
      <c r="R9" s="9">
        <v>2146.48</v>
      </c>
      <c r="S9" s="15" t="s">
        <v>6841</v>
      </c>
      <c r="T9" s="9">
        <v>1034.95</v>
      </c>
      <c r="U9" s="15" t="s">
        <v>6896</v>
      </c>
      <c r="V9" s="9"/>
      <c r="W9" s="15"/>
      <c r="X9" s="9">
        <v>1168.99</v>
      </c>
      <c r="Y9" s="15" t="s">
        <v>6945</v>
      </c>
      <c r="Z9" s="9">
        <v>96.86</v>
      </c>
      <c r="AA9" s="15" t="s">
        <v>6993</v>
      </c>
      <c r="AB9" s="9"/>
      <c r="AC9" s="15"/>
      <c r="AD9" s="72">
        <v>2040</v>
      </c>
      <c r="AE9" s="85" t="s">
        <v>7084</v>
      </c>
      <c r="AF9" s="72">
        <v>1099.01</v>
      </c>
      <c r="AG9" s="15" t="s">
        <v>7140</v>
      </c>
      <c r="AH9" s="9">
        <v>1970</v>
      </c>
      <c r="AI9" s="15" t="s">
        <v>7184</v>
      </c>
      <c r="AJ9" s="72"/>
      <c r="AK9" s="15"/>
      <c r="AL9" s="9">
        <v>1876.74</v>
      </c>
      <c r="AM9" s="15" t="s">
        <v>7220</v>
      </c>
      <c r="AN9" s="112">
        <v>5000</v>
      </c>
      <c r="AO9" s="26" t="s">
        <v>7227</v>
      </c>
      <c r="AP9" s="9">
        <v>304.92</v>
      </c>
      <c r="AQ9" s="15" t="s">
        <v>7318</v>
      </c>
      <c r="AR9" s="213">
        <v>1498.75</v>
      </c>
      <c r="AS9" s="15" t="s">
        <v>7390</v>
      </c>
      <c r="AT9" s="7">
        <v>14137.25</v>
      </c>
      <c r="AU9" s="26" t="s">
        <v>7440</v>
      </c>
      <c r="AV9" s="9">
        <v>10000</v>
      </c>
      <c r="AW9" s="15" t="s">
        <v>7513</v>
      </c>
      <c r="AX9" s="9"/>
      <c r="AY9" s="15"/>
      <c r="AZ9" s="9">
        <v>1169</v>
      </c>
      <c r="BA9" s="15" t="s">
        <v>7549</v>
      </c>
      <c r="BB9" s="9">
        <v>28000</v>
      </c>
      <c r="BC9" s="15" t="s">
        <v>7598</v>
      </c>
      <c r="BD9" s="72">
        <v>79.44</v>
      </c>
      <c r="BE9" s="24" t="s">
        <v>7684</v>
      </c>
      <c r="BF9" s="9">
        <v>760.28</v>
      </c>
      <c r="BG9" s="15" t="s">
        <v>7739</v>
      </c>
      <c r="BH9" s="9">
        <v>765.99</v>
      </c>
      <c r="BI9" s="15" t="s">
        <v>7793</v>
      </c>
      <c r="BJ9" s="9"/>
      <c r="BK9" s="15"/>
      <c r="BL9" s="9"/>
      <c r="BM9" s="15"/>
      <c r="BN9" s="9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  <c r="CO9" s="15"/>
      <c r="CP9" s="9"/>
    </row>
    <row r="10" spans="1:94" x14ac:dyDescent="0.25">
      <c r="A10" s="41"/>
      <c r="B10" s="7">
        <v>677.35</v>
      </c>
      <c r="C10" s="26" t="s">
        <v>6521</v>
      </c>
      <c r="D10" s="7">
        <v>14757.44</v>
      </c>
      <c r="E10" s="26" t="s">
        <v>6563</v>
      </c>
      <c r="F10" s="9">
        <v>3319.99</v>
      </c>
      <c r="G10" s="26" t="s">
        <v>6612</v>
      </c>
      <c r="H10" s="9"/>
      <c r="I10" s="15"/>
      <c r="J10" s="9">
        <v>1970</v>
      </c>
      <c r="K10" s="26" t="s">
        <v>6665</v>
      </c>
      <c r="L10" s="7">
        <v>3238.99</v>
      </c>
      <c r="M10" s="26" t="s">
        <v>6701</v>
      </c>
      <c r="N10" s="7">
        <v>1099.07</v>
      </c>
      <c r="O10" s="26" t="s">
        <v>6757</v>
      </c>
      <c r="P10" s="7">
        <v>1041.33</v>
      </c>
      <c r="Q10" s="26" t="s">
        <v>6804</v>
      </c>
      <c r="R10" s="9">
        <v>1099.01</v>
      </c>
      <c r="S10" s="26" t="s">
        <v>6842</v>
      </c>
      <c r="T10" s="7">
        <v>7245.02</v>
      </c>
      <c r="U10" s="26" t="s">
        <v>6898</v>
      </c>
      <c r="V10" s="9"/>
      <c r="W10" s="26"/>
      <c r="X10" s="9">
        <v>284.94</v>
      </c>
      <c r="Y10" s="26" t="s">
        <v>6947</v>
      </c>
      <c r="Z10" s="9">
        <v>594.41999999999996</v>
      </c>
      <c r="AA10" s="26" t="s">
        <v>6994</v>
      </c>
      <c r="AB10" s="9">
        <v>5152.24</v>
      </c>
      <c r="AC10" s="26" t="s">
        <v>7043</v>
      </c>
      <c r="AD10" s="87">
        <v>1168.99</v>
      </c>
      <c r="AE10" s="88" t="s">
        <v>7087</v>
      </c>
      <c r="AF10" s="72">
        <v>1292.6600000000001</v>
      </c>
      <c r="AG10" s="26" t="s">
        <v>7142</v>
      </c>
      <c r="AH10" s="7">
        <v>1168.99</v>
      </c>
      <c r="AI10" s="26" t="s">
        <v>7186</v>
      </c>
      <c r="AJ10" s="87"/>
      <c r="AK10" s="26"/>
      <c r="AL10" s="7"/>
      <c r="AM10" s="26"/>
      <c r="AN10" s="112">
        <v>11</v>
      </c>
      <c r="AO10" s="26" t="s">
        <v>7228</v>
      </c>
      <c r="AP10" s="9">
        <v>794.37</v>
      </c>
      <c r="AQ10" s="26" t="s">
        <v>7320</v>
      </c>
      <c r="AR10" s="213">
        <v>1106.55</v>
      </c>
      <c r="AS10" s="26" t="s">
        <v>7391</v>
      </c>
      <c r="AT10" s="7">
        <v>1039.33</v>
      </c>
      <c r="AU10" s="26" t="s">
        <v>7441</v>
      </c>
      <c r="AV10" s="7">
        <v>5000</v>
      </c>
      <c r="AW10" s="26" t="s">
        <v>7514</v>
      </c>
      <c r="AX10" s="7"/>
      <c r="AY10" s="26"/>
      <c r="AZ10" s="7">
        <v>1168.99</v>
      </c>
      <c r="BA10" s="26" t="s">
        <v>7550</v>
      </c>
      <c r="BB10" s="7">
        <v>175</v>
      </c>
      <c r="BC10" s="26" t="s">
        <v>7599</v>
      </c>
      <c r="BD10" s="9"/>
      <c r="BE10" s="26"/>
      <c r="BF10" s="9"/>
      <c r="BG10" s="26"/>
      <c r="BH10" s="9">
        <v>3250</v>
      </c>
      <c r="BI10" s="15" t="s">
        <v>7794</v>
      </c>
      <c r="BJ10" s="9"/>
      <c r="BK10" s="15"/>
      <c r="BL10" s="9"/>
      <c r="BM10" s="15"/>
      <c r="BN10" s="9"/>
      <c r="BO10" s="15"/>
      <c r="BP10" s="9"/>
      <c r="BQ10" s="15"/>
      <c r="BR10" s="9"/>
      <c r="BS10" s="15"/>
      <c r="BT10" s="9"/>
      <c r="BU10" s="15"/>
      <c r="BV10" s="9"/>
      <c r="BW10" s="15"/>
      <c r="BX10" s="9"/>
      <c r="BY10" s="15"/>
      <c r="BZ10" s="9"/>
      <c r="CA10" s="15"/>
      <c r="CB10" s="9"/>
      <c r="CC10" s="15"/>
      <c r="CD10" s="9"/>
      <c r="CE10" s="15"/>
      <c r="CF10" s="9"/>
      <c r="CG10" s="15"/>
      <c r="CH10" s="9"/>
      <c r="CI10" s="15"/>
      <c r="CJ10" s="9"/>
      <c r="CK10" s="15"/>
      <c r="CL10" s="9"/>
      <c r="CM10" s="15"/>
      <c r="CN10" s="9"/>
      <c r="CO10" s="15"/>
      <c r="CP10" s="9"/>
    </row>
    <row r="11" spans="1:94" x14ac:dyDescent="0.25">
      <c r="A11" s="41"/>
      <c r="B11" s="7">
        <v>1633.67</v>
      </c>
      <c r="C11" s="26" t="s">
        <v>6522</v>
      </c>
      <c r="D11" s="7">
        <v>1686.25</v>
      </c>
      <c r="E11" s="7" t="s">
        <v>6564</v>
      </c>
      <c r="F11" s="9">
        <v>232</v>
      </c>
      <c r="G11" s="26" t="s">
        <v>6613</v>
      </c>
      <c r="H11" s="9"/>
      <c r="I11" s="15"/>
      <c r="J11" s="9">
        <v>1169.99</v>
      </c>
      <c r="K11" s="26" t="s">
        <v>6667</v>
      </c>
      <c r="L11" s="7">
        <v>277.94</v>
      </c>
      <c r="M11" s="26" t="s">
        <v>6707</v>
      </c>
      <c r="N11" s="7">
        <v>464</v>
      </c>
      <c r="O11" s="26" t="s">
        <v>6759</v>
      </c>
      <c r="P11" s="7">
        <v>511.49</v>
      </c>
      <c r="Q11" s="26" t="s">
        <v>6803</v>
      </c>
      <c r="R11" s="9">
        <v>2189</v>
      </c>
      <c r="S11" s="26" t="s">
        <v>6845</v>
      </c>
      <c r="T11" s="7">
        <v>3320</v>
      </c>
      <c r="U11" s="26" t="s">
        <v>6899</v>
      </c>
      <c r="V11" s="9"/>
      <c r="W11" s="26"/>
      <c r="X11" s="9">
        <v>1143.45</v>
      </c>
      <c r="Y11" s="26" t="s">
        <v>6948</v>
      </c>
      <c r="Z11" s="9"/>
      <c r="AA11" s="26"/>
      <c r="AB11" s="9">
        <v>552.88</v>
      </c>
      <c r="AC11" s="26" t="s">
        <v>7044</v>
      </c>
      <c r="AD11" s="87">
        <v>82.93</v>
      </c>
      <c r="AE11" s="86" t="s">
        <v>7088</v>
      </c>
      <c r="AF11" s="9"/>
      <c r="AG11" s="15"/>
      <c r="AH11" s="7">
        <v>1099.01</v>
      </c>
      <c r="AI11" s="26" t="s">
        <v>7188</v>
      </c>
      <c r="AJ11" s="87"/>
      <c r="AK11" s="26"/>
      <c r="AL11" s="7">
        <v>6043.68</v>
      </c>
      <c r="AM11" s="26" t="s">
        <v>7279</v>
      </c>
      <c r="AN11" s="112">
        <v>75000</v>
      </c>
      <c r="AO11" s="26" t="s">
        <v>7229</v>
      </c>
      <c r="AP11" s="9"/>
      <c r="AQ11" s="26"/>
      <c r="AR11" s="213">
        <v>100600</v>
      </c>
      <c r="AS11" s="15" t="s">
        <v>7392</v>
      </c>
      <c r="AT11" s="9">
        <v>1</v>
      </c>
      <c r="AU11" s="15" t="s">
        <v>7443</v>
      </c>
      <c r="AV11" s="9">
        <v>1168.99</v>
      </c>
      <c r="AW11" s="26" t="s">
        <v>7519</v>
      </c>
      <c r="AX11" s="7"/>
      <c r="AY11" s="26"/>
      <c r="AZ11" s="7">
        <v>635</v>
      </c>
      <c r="BA11" s="26" t="s">
        <v>7551</v>
      </c>
      <c r="BB11" s="9">
        <v>765.99</v>
      </c>
      <c r="BC11" s="15" t="s">
        <v>7602</v>
      </c>
      <c r="BD11" s="9">
        <v>591.5</v>
      </c>
      <c r="BE11" s="15" t="s">
        <v>7686</v>
      </c>
      <c r="BF11" s="9">
        <v>255400</v>
      </c>
      <c r="BG11" s="26" t="s">
        <v>7742</v>
      </c>
      <c r="BH11" s="9">
        <v>696</v>
      </c>
      <c r="BI11" s="15" t="s">
        <v>7795</v>
      </c>
      <c r="BJ11" s="9"/>
      <c r="BK11" s="15"/>
      <c r="BL11" s="9"/>
      <c r="BM11" s="15"/>
      <c r="BN11" s="9"/>
      <c r="BO11" s="15"/>
      <c r="BP11" s="9"/>
      <c r="BQ11" s="15"/>
      <c r="BR11" s="9"/>
      <c r="BS11" s="15"/>
      <c r="BT11" s="9"/>
      <c r="BU11" s="15"/>
      <c r="BV11" s="9"/>
      <c r="BW11" s="15"/>
      <c r="BX11" s="9"/>
      <c r="BY11" s="15"/>
      <c r="BZ11" s="9"/>
      <c r="CA11" s="15"/>
      <c r="CB11" s="9"/>
      <c r="CC11" s="15"/>
      <c r="CD11" s="9"/>
      <c r="CE11" s="15"/>
      <c r="CF11" s="9"/>
      <c r="CG11" s="15"/>
      <c r="CH11" s="9"/>
      <c r="CI11" s="15"/>
      <c r="CJ11" s="9"/>
      <c r="CK11" s="15"/>
      <c r="CL11" s="9"/>
      <c r="CM11" s="15"/>
      <c r="CN11" s="9"/>
      <c r="CO11" s="15"/>
      <c r="CP11" s="9"/>
    </row>
    <row r="12" spans="1:94" x14ac:dyDescent="0.25">
      <c r="A12" s="41"/>
      <c r="B12" s="9">
        <f>1997.82-983.18</f>
        <v>1014.64</v>
      </c>
      <c r="C12" s="15" t="s">
        <v>6524</v>
      </c>
      <c r="D12" s="9">
        <v>250000</v>
      </c>
      <c r="E12" s="15" t="s">
        <v>6566</v>
      </c>
      <c r="F12" s="9">
        <v>1169</v>
      </c>
      <c r="G12" s="15" t="s">
        <v>6617</v>
      </c>
      <c r="H12" s="9"/>
      <c r="I12" s="15"/>
      <c r="J12" s="9">
        <v>1168.99</v>
      </c>
      <c r="K12" s="15" t="s">
        <v>6666</v>
      </c>
      <c r="L12" s="9">
        <v>448.22</v>
      </c>
      <c r="M12" s="15" t="s">
        <v>6709</v>
      </c>
      <c r="N12" s="9">
        <v>2420</v>
      </c>
      <c r="O12" s="15" t="s">
        <v>6764</v>
      </c>
      <c r="P12" s="9"/>
      <c r="Q12" s="15"/>
      <c r="R12" s="9">
        <v>464</v>
      </c>
      <c r="S12" s="15" t="s">
        <v>6846</v>
      </c>
      <c r="T12" s="9">
        <v>3239.01</v>
      </c>
      <c r="U12" s="15" t="s">
        <v>6904</v>
      </c>
      <c r="V12" s="9"/>
      <c r="W12" s="15"/>
      <c r="X12" s="9"/>
      <c r="Y12" s="15"/>
      <c r="Z12" s="9">
        <v>1619.1</v>
      </c>
      <c r="AA12" s="15" t="s">
        <v>7008</v>
      </c>
      <c r="AB12" s="9">
        <v>40000</v>
      </c>
      <c r="AC12" s="15" t="s">
        <v>7051</v>
      </c>
      <c r="AD12" s="72">
        <v>517.89</v>
      </c>
      <c r="AE12" s="88" t="s">
        <v>7089</v>
      </c>
      <c r="AF12" s="72">
        <v>235000</v>
      </c>
      <c r="AG12" s="15" t="s">
        <v>7144</v>
      </c>
      <c r="AH12" s="9">
        <v>1169</v>
      </c>
      <c r="AI12" s="15" t="s">
        <v>7189</v>
      </c>
      <c r="AJ12" s="9"/>
      <c r="AK12" s="15"/>
      <c r="AL12" s="9">
        <f>15858.43-5000</f>
        <v>10858.43</v>
      </c>
      <c r="AM12" s="15" t="s">
        <v>7282</v>
      </c>
      <c r="AN12" s="112">
        <f>21053-13000</f>
        <v>8053</v>
      </c>
      <c r="AO12" s="15" t="s">
        <v>7235</v>
      </c>
      <c r="AP12" s="9">
        <v>690</v>
      </c>
      <c r="AQ12" s="15" t="s">
        <v>7321</v>
      </c>
      <c r="AR12" s="213">
        <v>245000</v>
      </c>
      <c r="AS12" s="15" t="s">
        <v>7393</v>
      </c>
      <c r="AT12" s="9">
        <v>1099.01</v>
      </c>
      <c r="AU12" s="15" t="s">
        <v>7447</v>
      </c>
      <c r="AV12" s="222">
        <v>1169</v>
      </c>
      <c r="AW12" s="106" t="s">
        <v>7523</v>
      </c>
      <c r="AX12" s="9"/>
      <c r="AY12" s="15"/>
      <c r="AZ12" s="9">
        <v>1164.5</v>
      </c>
      <c r="BA12" s="15" t="s">
        <v>7552</v>
      </c>
      <c r="BB12" s="9">
        <v>1169</v>
      </c>
      <c r="BC12" s="15" t="s">
        <v>7606</v>
      </c>
      <c r="BD12" s="9">
        <v>1084.95</v>
      </c>
      <c r="BE12" s="15" t="s">
        <v>7693</v>
      </c>
      <c r="BF12" s="9">
        <v>100</v>
      </c>
      <c r="BG12" s="15" t="s">
        <v>7753</v>
      </c>
      <c r="BH12" s="120">
        <v>254.92</v>
      </c>
      <c r="BI12" s="15" t="s">
        <v>7796</v>
      </c>
      <c r="BJ12" s="9"/>
      <c r="BK12" s="15"/>
      <c r="BL12" s="9"/>
      <c r="BM12" s="15"/>
      <c r="BN12" s="9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  <c r="CO12" s="15"/>
      <c r="CP12" s="9"/>
    </row>
    <row r="13" spans="1:94" x14ac:dyDescent="0.25">
      <c r="A13" s="41"/>
      <c r="B13" s="9">
        <f>1168.99-1165</f>
        <v>3.9900000000000091</v>
      </c>
      <c r="C13" s="15" t="s">
        <v>6514</v>
      </c>
      <c r="D13" s="9">
        <v>308.56</v>
      </c>
      <c r="E13" s="15" t="s">
        <v>6567</v>
      </c>
      <c r="F13" s="9">
        <v>464</v>
      </c>
      <c r="G13" s="15" t="s">
        <v>6618</v>
      </c>
      <c r="H13" s="9"/>
      <c r="I13" s="15"/>
      <c r="J13" s="9">
        <v>2040</v>
      </c>
      <c r="K13" s="15" t="s">
        <v>6668</v>
      </c>
      <c r="L13" s="9"/>
      <c r="M13" s="15"/>
      <c r="N13" s="9">
        <v>1169</v>
      </c>
      <c r="O13" s="15" t="s">
        <v>6766</v>
      </c>
      <c r="P13" s="9">
        <v>5000</v>
      </c>
      <c r="Q13" s="15" t="s">
        <v>6813</v>
      </c>
      <c r="R13" s="9"/>
      <c r="S13" s="15"/>
      <c r="T13" s="9">
        <v>575</v>
      </c>
      <c r="U13" s="15" t="s">
        <v>6905</v>
      </c>
      <c r="V13" s="9"/>
      <c r="W13" s="15"/>
      <c r="X13" s="9">
        <v>40000</v>
      </c>
      <c r="Y13" s="15" t="s">
        <v>6951</v>
      </c>
      <c r="Z13" s="9">
        <v>55230.55</v>
      </c>
      <c r="AA13" s="15" t="s">
        <v>7010</v>
      </c>
      <c r="AB13" s="9">
        <v>5000</v>
      </c>
      <c r="AC13" s="15" t="s">
        <v>7052</v>
      </c>
      <c r="AD13" s="72">
        <v>70000</v>
      </c>
      <c r="AE13" s="86" t="s">
        <v>7080</v>
      </c>
      <c r="AF13" s="72">
        <v>5070</v>
      </c>
      <c r="AG13" s="15" t="s">
        <v>7148</v>
      </c>
      <c r="AH13" s="9">
        <v>1169</v>
      </c>
      <c r="AI13" s="15" t="s">
        <v>7190</v>
      </c>
      <c r="AJ13" s="9"/>
      <c r="AK13" s="15"/>
      <c r="AL13" s="9">
        <v>2384.9899999999998</v>
      </c>
      <c r="AM13" s="15" t="s">
        <v>7285</v>
      </c>
      <c r="AN13" s="112">
        <v>1973.01</v>
      </c>
      <c r="AO13" s="26" t="s">
        <v>7242</v>
      </c>
      <c r="AP13" s="9">
        <v>20000</v>
      </c>
      <c r="AQ13" s="26" t="s">
        <v>7326</v>
      </c>
      <c r="AR13" s="213">
        <v>1168</v>
      </c>
      <c r="AS13" s="26" t="s">
        <v>7401</v>
      </c>
      <c r="AT13" s="7">
        <v>2040</v>
      </c>
      <c r="AU13" s="26" t="s">
        <v>7449</v>
      </c>
      <c r="AV13" s="222">
        <v>2707.73</v>
      </c>
      <c r="AW13" s="106" t="s">
        <v>7529</v>
      </c>
      <c r="AX13" s="9"/>
      <c r="AY13" s="15"/>
      <c r="AZ13" s="9">
        <v>875.96</v>
      </c>
      <c r="BA13" s="15" t="s">
        <v>7553</v>
      </c>
      <c r="BB13" s="9">
        <v>5268</v>
      </c>
      <c r="BC13" s="15" t="s">
        <v>7608</v>
      </c>
      <c r="BD13" s="9">
        <v>3000</v>
      </c>
      <c r="BE13" s="15" t="s">
        <v>7696</v>
      </c>
      <c r="BF13" s="9">
        <v>5000</v>
      </c>
      <c r="BG13" s="15" t="s">
        <v>7755</v>
      </c>
      <c r="BH13" s="9">
        <v>428.56</v>
      </c>
      <c r="BI13" s="15" t="s">
        <v>7797</v>
      </c>
      <c r="BJ13" s="9"/>
      <c r="BK13" s="15"/>
      <c r="BL13" s="9"/>
      <c r="BM13" s="15"/>
      <c r="BN13" s="9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  <c r="CO13" s="15"/>
      <c r="CP13" s="9"/>
    </row>
    <row r="14" spans="1:94" x14ac:dyDescent="0.25">
      <c r="A14" s="41"/>
      <c r="B14" s="7"/>
      <c r="C14" s="26"/>
      <c r="D14" s="7">
        <v>5000</v>
      </c>
      <c r="E14" s="26" t="s">
        <v>6568</v>
      </c>
      <c r="F14" s="9">
        <v>2040</v>
      </c>
      <c r="G14" s="26" t="s">
        <v>6619</v>
      </c>
      <c r="H14" s="9"/>
      <c r="I14" s="15"/>
      <c r="J14" s="9">
        <v>464</v>
      </c>
      <c r="K14" s="26" t="s">
        <v>6671</v>
      </c>
      <c r="L14" s="9">
        <v>156.47999999999999</v>
      </c>
      <c r="M14" s="15" t="s">
        <v>6715</v>
      </c>
      <c r="N14" s="7">
        <v>1168.99</v>
      </c>
      <c r="O14" s="26" t="s">
        <v>6767</v>
      </c>
      <c r="P14" s="7">
        <v>2935.99</v>
      </c>
      <c r="Q14" s="26" t="s">
        <v>6818</v>
      </c>
      <c r="R14" s="9">
        <v>27331.01</v>
      </c>
      <c r="S14" s="26" t="s">
        <v>6850</v>
      </c>
      <c r="T14" s="7">
        <v>1169</v>
      </c>
      <c r="U14" s="26" t="s">
        <v>6909</v>
      </c>
      <c r="V14" s="9"/>
      <c r="W14" s="26"/>
      <c r="X14" s="9">
        <v>1000</v>
      </c>
      <c r="Y14" s="26" t="s">
        <v>6955</v>
      </c>
      <c r="Z14" s="9">
        <v>619.91999999999996</v>
      </c>
      <c r="AA14" s="26" t="s">
        <v>7011</v>
      </c>
      <c r="AB14" s="9">
        <v>2935.99</v>
      </c>
      <c r="AC14" s="15" t="s">
        <v>7056</v>
      </c>
      <c r="AD14" s="87"/>
      <c r="AE14" s="86"/>
      <c r="AF14" s="72">
        <v>696</v>
      </c>
      <c r="AG14" s="26" t="s">
        <v>7155</v>
      </c>
      <c r="AH14" s="7">
        <v>1099</v>
      </c>
      <c r="AI14" s="26" t="s">
        <v>7191</v>
      </c>
      <c r="AJ14" s="87"/>
      <c r="AK14" s="26"/>
      <c r="AL14" s="7">
        <v>594.41999999999996</v>
      </c>
      <c r="AM14" s="26" t="s">
        <v>7291</v>
      </c>
      <c r="AN14" s="112">
        <v>1168.99</v>
      </c>
      <c r="AO14" s="26" t="s">
        <v>7247</v>
      </c>
      <c r="AP14" s="9">
        <v>208000</v>
      </c>
      <c r="AQ14" s="26" t="s">
        <v>7331</v>
      </c>
      <c r="AR14" s="213">
        <v>1168.99</v>
      </c>
      <c r="AS14" s="26" t="s">
        <v>7402</v>
      </c>
      <c r="AT14" s="7">
        <v>1099.01</v>
      </c>
      <c r="AU14" s="26" t="s">
        <v>7452</v>
      </c>
      <c r="AV14" s="9">
        <v>2459.9899999999998</v>
      </c>
      <c r="AW14" s="26" t="s">
        <v>7530</v>
      </c>
      <c r="AX14" s="7"/>
      <c r="AY14" s="26"/>
      <c r="AZ14" s="7"/>
      <c r="BA14" s="26"/>
      <c r="BB14" s="9">
        <f>3857.14-2975.5</f>
        <v>881.63999999999987</v>
      </c>
      <c r="BC14" s="15" t="s">
        <v>7609</v>
      </c>
      <c r="BD14" s="9">
        <v>150</v>
      </c>
      <c r="BE14" s="26" t="s">
        <v>7700</v>
      </c>
      <c r="BF14" s="9">
        <v>200000</v>
      </c>
      <c r="BG14" s="26" t="s">
        <v>7756</v>
      </c>
      <c r="BH14" s="9">
        <v>2021.13</v>
      </c>
      <c r="BI14" s="15" t="s">
        <v>7798</v>
      </c>
      <c r="BJ14" s="9"/>
      <c r="BK14" s="15"/>
      <c r="BL14" s="9"/>
      <c r="BM14" s="15"/>
      <c r="BN14" s="9"/>
      <c r="BO14" s="15"/>
      <c r="BP14" s="9"/>
      <c r="BQ14" s="15"/>
      <c r="BR14" s="9"/>
      <c r="BS14" s="15"/>
      <c r="BT14" s="9"/>
      <c r="BU14" s="15"/>
      <c r="BV14" s="9"/>
      <c r="BW14" s="15"/>
      <c r="BX14" s="9"/>
      <c r="BY14" s="15"/>
      <c r="BZ14" s="9"/>
      <c r="CA14" s="15"/>
      <c r="CB14" s="9"/>
      <c r="CC14" s="15"/>
      <c r="CD14" s="9"/>
      <c r="CE14" s="15"/>
      <c r="CF14" s="9"/>
      <c r="CG14" s="15"/>
      <c r="CH14" s="9"/>
      <c r="CI14" s="15"/>
      <c r="CJ14" s="9"/>
      <c r="CK14" s="15"/>
      <c r="CL14" s="9"/>
      <c r="CM14" s="15"/>
      <c r="CN14" s="9"/>
      <c r="CO14" s="15"/>
      <c r="CP14" s="9"/>
    </row>
    <row r="15" spans="1:94" x14ac:dyDescent="0.25">
      <c r="A15" s="41"/>
      <c r="B15">
        <v>678.34</v>
      </c>
      <c r="C15" t="s">
        <v>6525</v>
      </c>
      <c r="D15" s="7">
        <f>3631.99-201.31</f>
        <v>3430.68</v>
      </c>
      <c r="E15" s="26" t="s">
        <v>6571</v>
      </c>
      <c r="F15" s="9">
        <v>1000</v>
      </c>
      <c r="G15" s="26" t="s">
        <v>6621</v>
      </c>
      <c r="H15" s="9"/>
      <c r="I15" s="15"/>
      <c r="J15" s="9">
        <v>1168.99</v>
      </c>
      <c r="K15" s="26" t="s">
        <v>6672</v>
      </c>
      <c r="L15" s="7">
        <v>3000</v>
      </c>
      <c r="M15" s="26" t="s">
        <v>6717</v>
      </c>
      <c r="N15" s="7">
        <v>696</v>
      </c>
      <c r="O15" s="26" t="s">
        <v>6768</v>
      </c>
      <c r="P15" s="7">
        <v>1168.99</v>
      </c>
      <c r="Q15" s="26" t="s">
        <v>6822</v>
      </c>
      <c r="R15" s="9">
        <v>4000</v>
      </c>
      <c r="S15" s="26" t="s">
        <v>6856</v>
      </c>
      <c r="T15" s="7">
        <v>1970</v>
      </c>
      <c r="U15" s="26" t="s">
        <v>6914</v>
      </c>
      <c r="V15" s="7"/>
      <c r="W15" s="26"/>
      <c r="X15" s="7">
        <v>150000</v>
      </c>
      <c r="Y15" s="26" t="s">
        <v>6959</v>
      </c>
      <c r="Z15" s="9">
        <v>2039.99</v>
      </c>
      <c r="AA15" s="26" t="s">
        <v>7013</v>
      </c>
      <c r="AB15" s="9">
        <v>2040</v>
      </c>
      <c r="AC15" s="15" t="s">
        <v>7057</v>
      </c>
      <c r="AD15" s="87">
        <v>175</v>
      </c>
      <c r="AE15" s="86" t="s">
        <v>7092</v>
      </c>
      <c r="AF15" s="72">
        <v>2065.0100000000002</v>
      </c>
      <c r="AG15" s="26" t="s">
        <v>7156</v>
      </c>
      <c r="AH15" s="7">
        <v>2065.0100000000002</v>
      </c>
      <c r="AI15" s="26" t="s">
        <v>7193</v>
      </c>
      <c r="AJ15" s="87"/>
      <c r="AK15" s="26"/>
      <c r="AL15" s="7"/>
      <c r="AM15" s="26"/>
      <c r="AN15" s="112">
        <v>3916</v>
      </c>
      <c r="AO15" s="26" t="s">
        <v>7248</v>
      </c>
      <c r="AP15" s="11">
        <v>36900</v>
      </c>
      <c r="AQ15" s="12" t="s">
        <v>7335</v>
      </c>
      <c r="AR15" s="213">
        <v>1549.01</v>
      </c>
      <c r="AS15" s="26" t="s">
        <v>7403</v>
      </c>
      <c r="AT15" s="7">
        <v>1939</v>
      </c>
      <c r="AU15" s="26" t="s">
        <v>7455</v>
      </c>
      <c r="AV15" s="7">
        <v>1168.99</v>
      </c>
      <c r="AW15" s="26" t="s">
        <v>7531</v>
      </c>
      <c r="AX15" s="7"/>
      <c r="AY15" s="26"/>
      <c r="AZ15" s="7">
        <v>10000</v>
      </c>
      <c r="BA15" s="26" t="s">
        <v>7554</v>
      </c>
      <c r="BB15" s="9"/>
      <c r="BC15" s="15"/>
      <c r="BD15" s="9">
        <v>1969.99</v>
      </c>
      <c r="BE15" s="26" t="s">
        <v>7703</v>
      </c>
      <c r="BF15" s="9">
        <v>1740.48</v>
      </c>
      <c r="BG15" s="26" t="s">
        <v>7757</v>
      </c>
      <c r="BH15" s="9">
        <v>1075.3399999999999</v>
      </c>
      <c r="BI15" s="15" t="s">
        <v>7800</v>
      </c>
      <c r="BJ15" s="9"/>
      <c r="BK15" s="15"/>
      <c r="BL15" s="9"/>
      <c r="BM15" s="15"/>
      <c r="BN15" s="9"/>
      <c r="BO15" s="15"/>
      <c r="BP15" s="9"/>
      <c r="BQ15" s="15"/>
      <c r="BR15" s="9"/>
      <c r="BS15" s="15"/>
      <c r="BT15" s="9"/>
      <c r="BU15" s="15"/>
      <c r="BV15" s="9"/>
      <c r="BW15" s="15"/>
      <c r="BX15" s="9"/>
      <c r="BY15" s="15"/>
      <c r="BZ15" s="9"/>
      <c r="CA15" s="15"/>
      <c r="CB15" s="9"/>
      <c r="CC15" s="15"/>
      <c r="CD15" s="9"/>
      <c r="CE15" s="15"/>
      <c r="CF15" s="9"/>
      <c r="CG15" s="15"/>
      <c r="CH15" s="9"/>
      <c r="CI15" s="15"/>
      <c r="CJ15" s="9"/>
      <c r="CK15" s="15"/>
      <c r="CL15" s="9"/>
      <c r="CM15" s="15"/>
      <c r="CN15" s="9"/>
      <c r="CO15" s="15"/>
      <c r="CP15" s="9"/>
    </row>
    <row r="16" spans="1:94" x14ac:dyDescent="0.25">
      <c r="A16" s="41"/>
      <c r="B16">
        <v>115000</v>
      </c>
      <c r="C16" t="s">
        <v>6526</v>
      </c>
      <c r="D16" s="7">
        <v>2040</v>
      </c>
      <c r="E16" s="26" t="s">
        <v>6578</v>
      </c>
      <c r="F16" s="9">
        <v>1169</v>
      </c>
      <c r="G16" s="26" t="s">
        <v>6622</v>
      </c>
      <c r="H16" s="9"/>
      <c r="I16" s="15"/>
      <c r="J16" s="9">
        <v>2250.0100000000002</v>
      </c>
      <c r="K16" s="26" t="s">
        <v>6677</v>
      </c>
      <c r="L16" s="7">
        <v>7008.5</v>
      </c>
      <c r="M16" s="26" t="s">
        <v>6719</v>
      </c>
      <c r="N16" s="7">
        <v>337.37</v>
      </c>
      <c r="O16" s="26" t="s">
        <v>6772</v>
      </c>
      <c r="P16" s="7">
        <v>1169</v>
      </c>
      <c r="Q16" s="26" t="s">
        <v>6823</v>
      </c>
      <c r="R16" s="9">
        <v>4000</v>
      </c>
      <c r="S16" s="26" t="s">
        <v>6858</v>
      </c>
      <c r="T16" s="7">
        <v>1168.99</v>
      </c>
      <c r="U16" s="26" t="s">
        <v>6919</v>
      </c>
      <c r="V16" s="9"/>
      <c r="W16" s="26"/>
      <c r="X16" s="9">
        <v>5000</v>
      </c>
      <c r="Y16" s="26" t="s">
        <v>6960</v>
      </c>
      <c r="Z16" s="9">
        <v>1169</v>
      </c>
      <c r="AA16" s="26" t="s">
        <v>7022</v>
      </c>
      <c r="AB16" s="9">
        <v>25032.28</v>
      </c>
      <c r="AC16" s="15" t="s">
        <v>7061</v>
      </c>
      <c r="AD16" s="87">
        <v>1000</v>
      </c>
      <c r="AE16" s="88" t="s">
        <v>7104</v>
      </c>
      <c r="AF16" s="72">
        <v>2040</v>
      </c>
      <c r="AG16" s="26" t="s">
        <v>7160</v>
      </c>
      <c r="AH16" s="7">
        <v>1169</v>
      </c>
      <c r="AI16" s="26" t="s">
        <v>7196</v>
      </c>
      <c r="AJ16" s="87"/>
      <c r="AK16" s="9"/>
      <c r="AL16" s="7"/>
      <c r="AM16" s="26"/>
      <c r="AN16" s="112">
        <v>185.6</v>
      </c>
      <c r="AO16" s="26" t="s">
        <v>7249</v>
      </c>
      <c r="AP16" s="9">
        <v>5000</v>
      </c>
      <c r="AQ16" s="26" t="s">
        <v>7337</v>
      </c>
      <c r="AR16" s="213">
        <f>2040-1970</f>
        <v>70</v>
      </c>
      <c r="AS16" s="7" t="s">
        <v>7404</v>
      </c>
      <c r="AT16" s="7">
        <v>464</v>
      </c>
      <c r="AU16" s="26" t="s">
        <v>7457</v>
      </c>
      <c r="AV16" s="7">
        <v>1169</v>
      </c>
      <c r="AW16" s="26" t="s">
        <v>7533</v>
      </c>
      <c r="AX16" s="7"/>
      <c r="AY16" s="26"/>
      <c r="AZ16" s="7">
        <v>9500</v>
      </c>
      <c r="BA16" s="26" t="s">
        <v>7557</v>
      </c>
      <c r="BB16" s="9">
        <v>85000</v>
      </c>
      <c r="BC16" s="15" t="s">
        <v>7614</v>
      </c>
      <c r="BD16" s="9">
        <v>2713.99</v>
      </c>
      <c r="BE16" s="26" t="s">
        <v>7704</v>
      </c>
      <c r="BF16" s="9">
        <v>9571.18</v>
      </c>
      <c r="BG16" s="26" t="s">
        <v>7762</v>
      </c>
      <c r="BH16" s="120"/>
      <c r="BI16" s="120"/>
      <c r="BJ16" s="9"/>
      <c r="BK16" s="15"/>
      <c r="BL16" s="9"/>
      <c r="BM16" s="15"/>
      <c r="BN16" s="9"/>
      <c r="BO16" s="15"/>
      <c r="BP16" s="9"/>
      <c r="BQ16" s="15"/>
      <c r="BR16" s="9"/>
      <c r="BS16" s="15"/>
      <c r="BT16" s="9"/>
      <c r="BU16" s="15"/>
      <c r="BV16" s="9"/>
      <c r="BW16" s="15"/>
      <c r="BX16" s="9"/>
      <c r="BY16" s="15"/>
      <c r="BZ16" s="9"/>
      <c r="CA16" s="15"/>
      <c r="CB16" s="9"/>
      <c r="CC16" s="15"/>
      <c r="CD16" s="9"/>
      <c r="CE16" s="15"/>
      <c r="CF16" s="9"/>
      <c r="CG16" s="15"/>
      <c r="CH16" s="9"/>
      <c r="CI16" s="15"/>
      <c r="CJ16" s="9"/>
      <c r="CK16" s="15"/>
      <c r="CL16" s="9"/>
      <c r="CM16" s="15"/>
      <c r="CN16" s="9"/>
      <c r="CO16" s="15"/>
      <c r="CP16" s="9"/>
    </row>
    <row r="17" spans="1:94" x14ac:dyDescent="0.25">
      <c r="A17" s="41"/>
      <c r="B17">
        <v>1970</v>
      </c>
      <c r="C17" t="s">
        <v>6527</v>
      </c>
      <c r="D17" s="7">
        <v>1168</v>
      </c>
      <c r="E17" s="26" t="s">
        <v>6579</v>
      </c>
      <c r="F17" s="9">
        <v>150</v>
      </c>
      <c r="G17" s="26" t="s">
        <v>6628</v>
      </c>
      <c r="H17" s="9"/>
      <c r="I17" s="15"/>
      <c r="J17" s="72">
        <v>1425</v>
      </c>
      <c r="K17" s="24" t="s">
        <v>6649</v>
      </c>
      <c r="L17" s="7">
        <v>16.3</v>
      </c>
      <c r="M17" s="26" t="s">
        <v>6721</v>
      </c>
      <c r="N17" s="7">
        <v>953.08</v>
      </c>
      <c r="O17" s="26" t="s">
        <v>6773</v>
      </c>
      <c r="P17" s="7">
        <v>1883.26</v>
      </c>
      <c r="Q17" s="26" t="s">
        <v>6824</v>
      </c>
      <c r="R17" s="9">
        <v>5149.99</v>
      </c>
      <c r="S17" s="15" t="s">
        <v>6860</v>
      </c>
      <c r="T17" s="9">
        <v>1099.01</v>
      </c>
      <c r="U17" s="26" t="s">
        <v>6920</v>
      </c>
      <c r="V17" s="9"/>
      <c r="W17" s="26"/>
      <c r="X17" s="9">
        <v>3356.68</v>
      </c>
      <c r="Y17" s="26" t="s">
        <v>6961</v>
      </c>
      <c r="Z17" s="9">
        <v>2445</v>
      </c>
      <c r="AA17" s="26" t="s">
        <v>7023</v>
      </c>
      <c r="AB17" s="9">
        <v>3319.99</v>
      </c>
      <c r="AC17" s="26" t="s">
        <v>7065</v>
      </c>
      <c r="AD17" s="87">
        <v>1169</v>
      </c>
      <c r="AE17" s="88" t="s">
        <v>7105</v>
      </c>
      <c r="AF17" s="72">
        <v>2039.99</v>
      </c>
      <c r="AG17" s="26" t="s">
        <v>7161</v>
      </c>
      <c r="AH17" s="7">
        <v>100</v>
      </c>
      <c r="AI17" s="26" t="s">
        <v>7200</v>
      </c>
      <c r="AJ17" s="87"/>
      <c r="AK17" s="26"/>
      <c r="AL17" s="7"/>
      <c r="AM17" s="26"/>
      <c r="AN17" s="112">
        <v>1169</v>
      </c>
      <c r="AO17" s="26" t="s">
        <v>7250</v>
      </c>
      <c r="AP17" s="9">
        <v>906.66</v>
      </c>
      <c r="AQ17" s="26" t="s">
        <v>7338</v>
      </c>
      <c r="AR17" s="213">
        <v>4639.9799999999996</v>
      </c>
      <c r="AS17" s="26" t="s">
        <v>7405</v>
      </c>
      <c r="AT17" s="7">
        <v>100</v>
      </c>
      <c r="AU17" s="26" t="s">
        <v>7458</v>
      </c>
      <c r="AV17" s="7">
        <v>2040</v>
      </c>
      <c r="AW17" s="26" t="s">
        <v>7534</v>
      </c>
      <c r="AX17" s="7"/>
      <c r="AY17" s="26"/>
      <c r="AZ17" s="7">
        <v>303.77</v>
      </c>
      <c r="BA17" s="26" t="s">
        <v>7558</v>
      </c>
      <c r="BB17" s="9">
        <v>3000</v>
      </c>
      <c r="BC17" s="15" t="s">
        <v>7615</v>
      </c>
      <c r="BD17" s="9">
        <v>1169</v>
      </c>
      <c r="BE17" s="26" t="s">
        <v>7705</v>
      </c>
      <c r="BF17" s="9">
        <v>2040</v>
      </c>
      <c r="BG17" s="26" t="s">
        <v>7764</v>
      </c>
      <c r="BH17" s="9">
        <v>296.14999999999998</v>
      </c>
      <c r="BI17" s="15" t="s">
        <v>7803</v>
      </c>
      <c r="BJ17" s="9"/>
      <c r="BK17" s="15"/>
      <c r="BL17" s="9"/>
      <c r="BM17" s="15"/>
      <c r="BN17" s="9"/>
      <c r="BO17" s="15"/>
      <c r="BP17" s="9"/>
      <c r="BQ17" s="15"/>
      <c r="BR17" s="9"/>
      <c r="BS17" s="15"/>
      <c r="BT17" s="9"/>
      <c r="BU17" s="15"/>
      <c r="BV17" s="9"/>
      <c r="BW17" s="15"/>
      <c r="BX17" s="9"/>
      <c r="BY17" s="15"/>
      <c r="BZ17" s="9"/>
      <c r="CA17" s="15"/>
      <c r="CB17" s="9"/>
      <c r="CC17" s="15"/>
      <c r="CD17" s="9"/>
      <c r="CE17" s="15"/>
      <c r="CF17" s="9"/>
      <c r="CG17" s="15"/>
      <c r="CH17" s="9"/>
      <c r="CI17" s="15"/>
      <c r="CJ17" s="9"/>
      <c r="CK17" s="15"/>
      <c r="CL17" s="9"/>
      <c r="CM17" s="15"/>
      <c r="CN17" s="9"/>
      <c r="CO17" s="15"/>
      <c r="CP17" s="9"/>
    </row>
    <row r="18" spans="1:94" x14ac:dyDescent="0.25">
      <c r="A18" s="41"/>
      <c r="B18">
        <v>4000</v>
      </c>
      <c r="C18" t="s">
        <v>6528</v>
      </c>
      <c r="D18" s="7">
        <v>1829.01</v>
      </c>
      <c r="E18" s="26" t="s">
        <v>6582</v>
      </c>
      <c r="F18" s="9">
        <v>79.44</v>
      </c>
      <c r="G18" s="26" t="s">
        <v>6631</v>
      </c>
      <c r="H18" s="9"/>
      <c r="I18" s="15"/>
      <c r="J18" s="9"/>
      <c r="K18" s="26"/>
      <c r="L18" s="7">
        <v>733.57</v>
      </c>
      <c r="M18" s="26" t="s">
        <v>6722</v>
      </c>
      <c r="N18" s="7">
        <v>834.25</v>
      </c>
      <c r="O18" s="26" t="s">
        <v>6774</v>
      </c>
      <c r="P18" s="7">
        <v>2040</v>
      </c>
      <c r="Q18" s="26" t="s">
        <v>6825</v>
      </c>
      <c r="R18" s="9">
        <v>1099.0139999999999</v>
      </c>
      <c r="S18" s="15" t="s">
        <v>6864</v>
      </c>
      <c r="T18" s="9">
        <v>1169</v>
      </c>
      <c r="U18" s="26" t="s">
        <v>6922</v>
      </c>
      <c r="V18" s="9"/>
      <c r="W18" s="26"/>
      <c r="X18" s="9">
        <v>3000</v>
      </c>
      <c r="Y18" s="26" t="s">
        <v>6964</v>
      </c>
      <c r="Z18" s="9">
        <v>1099.01</v>
      </c>
      <c r="AA18" s="26" t="s">
        <v>7028</v>
      </c>
      <c r="AB18" s="9">
        <v>1168.99</v>
      </c>
      <c r="AC18" s="26" t="s">
        <v>7070</v>
      </c>
      <c r="AD18" s="87">
        <v>97000</v>
      </c>
      <c r="AE18" s="88" t="s">
        <v>7106</v>
      </c>
      <c r="AF18" s="72">
        <v>5680.01</v>
      </c>
      <c r="AG18" s="26" t="s">
        <v>7167</v>
      </c>
      <c r="AH18" s="7">
        <v>4216</v>
      </c>
      <c r="AI18" s="26" t="s">
        <v>7202</v>
      </c>
      <c r="AJ18" s="72"/>
      <c r="AK18" s="15"/>
      <c r="AL18" s="9"/>
      <c r="AM18" s="15"/>
      <c r="AN18" s="112">
        <v>1169</v>
      </c>
      <c r="AO18" s="26" t="s">
        <v>7251</v>
      </c>
      <c r="AP18" s="9">
        <v>150000</v>
      </c>
      <c r="AQ18" s="26" t="s">
        <v>7339</v>
      </c>
      <c r="AR18" s="213">
        <v>1169</v>
      </c>
      <c r="AS18" s="26" t="s">
        <v>7407</v>
      </c>
      <c r="AT18" s="7">
        <v>1099</v>
      </c>
      <c r="AU18" s="26" t="s">
        <v>7463</v>
      </c>
      <c r="AV18" s="7">
        <v>3494.3</v>
      </c>
      <c r="AW18" s="26" t="s">
        <v>7535</v>
      </c>
      <c r="AX18" s="7"/>
      <c r="AY18" s="26"/>
      <c r="AZ18" s="7">
        <v>304.92</v>
      </c>
      <c r="BA18" s="26" t="s">
        <v>7565</v>
      </c>
      <c r="BB18" s="9">
        <v>8154</v>
      </c>
      <c r="BC18" s="15" t="s">
        <v>7616</v>
      </c>
      <c r="BD18" s="9">
        <v>52.2</v>
      </c>
      <c r="BE18" s="26" t="s">
        <v>7707</v>
      </c>
      <c r="BF18" s="9">
        <v>1995</v>
      </c>
      <c r="BG18" s="26" t="s">
        <v>7769</v>
      </c>
      <c r="BH18" s="9">
        <v>619.91999999999996</v>
      </c>
      <c r="BI18" s="15" t="s">
        <v>7804</v>
      </c>
      <c r="BJ18" s="9"/>
      <c r="BK18" s="15"/>
      <c r="BL18" s="9"/>
      <c r="BM18" s="15"/>
      <c r="BN18" s="9"/>
      <c r="BO18" s="15"/>
      <c r="BP18" s="9"/>
      <c r="BQ18" s="15"/>
      <c r="BR18" s="9"/>
      <c r="BS18" s="15"/>
      <c r="BT18" s="9"/>
      <c r="BU18" s="15"/>
      <c r="BV18" s="9"/>
      <c r="BW18" s="15"/>
      <c r="BX18" s="9"/>
      <c r="BY18" s="15"/>
      <c r="BZ18" s="9"/>
      <c r="CA18" s="15"/>
      <c r="CB18" s="9"/>
      <c r="CC18" s="15"/>
      <c r="CD18" s="9"/>
      <c r="CE18" s="15"/>
      <c r="CF18" s="9"/>
      <c r="CG18" s="15"/>
      <c r="CH18" s="9"/>
      <c r="CI18" s="15"/>
      <c r="CJ18" s="9"/>
      <c r="CK18" s="15"/>
      <c r="CL18" s="9"/>
      <c r="CM18" s="15"/>
      <c r="CN18" s="9"/>
      <c r="CO18" s="15"/>
      <c r="CP18" s="9"/>
    </row>
    <row r="19" spans="1:94" x14ac:dyDescent="0.25">
      <c r="A19" s="41"/>
      <c r="B19">
        <v>1168.99</v>
      </c>
      <c r="C19" t="s">
        <v>6529</v>
      </c>
      <c r="D19" s="7">
        <v>2040</v>
      </c>
      <c r="E19" s="26" t="s">
        <v>6583</v>
      </c>
      <c r="F19" s="9">
        <v>277.94</v>
      </c>
      <c r="G19" s="26" t="s">
        <v>6632</v>
      </c>
      <c r="H19" s="9"/>
      <c r="I19" s="15"/>
      <c r="J19" s="9">
        <v>1000</v>
      </c>
      <c r="K19" s="26" t="s">
        <v>6679</v>
      </c>
      <c r="L19" s="7">
        <v>4228</v>
      </c>
      <c r="M19" s="26" t="s">
        <v>6726</v>
      </c>
      <c r="N19" s="7">
        <v>417.55</v>
      </c>
      <c r="O19" s="26" t="s">
        <v>6775</v>
      </c>
      <c r="P19" s="7">
        <v>3250.01</v>
      </c>
      <c r="Q19" s="26" t="s">
        <v>6826</v>
      </c>
      <c r="R19" s="9">
        <v>1099.01</v>
      </c>
      <c r="S19" s="26" t="s">
        <v>6868</v>
      </c>
      <c r="T19" s="9">
        <v>150</v>
      </c>
      <c r="U19" s="26" t="s">
        <v>6928</v>
      </c>
      <c r="V19" s="9"/>
      <c r="W19" s="26"/>
      <c r="X19" s="9">
        <v>2040</v>
      </c>
      <c r="Y19" s="26" t="s">
        <v>6970</v>
      </c>
      <c r="Z19" s="9">
        <v>1169</v>
      </c>
      <c r="AA19" s="26" t="s">
        <v>7029</v>
      </c>
      <c r="AB19" s="9">
        <v>3250.01</v>
      </c>
      <c r="AC19" s="26" t="s">
        <v>7072</v>
      </c>
      <c r="AD19" s="87">
        <v>1168.99</v>
      </c>
      <c r="AE19" s="88" t="s">
        <v>7111</v>
      </c>
      <c r="AF19" s="72">
        <v>1548.99</v>
      </c>
      <c r="AG19" s="26" t="s">
        <v>7168</v>
      </c>
      <c r="AH19" s="9">
        <v>82.93</v>
      </c>
      <c r="AI19" s="15" t="s">
        <v>7205</v>
      </c>
      <c r="AJ19" s="87"/>
      <c r="AK19" s="26"/>
      <c r="AL19" s="7"/>
      <c r="AM19" s="26"/>
      <c r="AN19" s="112">
        <v>1169</v>
      </c>
      <c r="AO19" s="26" t="s">
        <v>7252</v>
      </c>
      <c r="AP19" s="9">
        <v>4542.72</v>
      </c>
      <c r="AQ19" s="26" t="s">
        <v>7344</v>
      </c>
      <c r="AR19" s="213">
        <v>1430</v>
      </c>
      <c r="AS19" s="26" t="s">
        <v>7409</v>
      </c>
      <c r="AT19" s="7">
        <f>11904.89-2904.89</f>
        <v>9000</v>
      </c>
      <c r="AU19" s="26" t="s">
        <v>7467</v>
      </c>
      <c r="AV19" s="7">
        <v>1168.99</v>
      </c>
      <c r="AW19" s="26" t="s">
        <v>7537</v>
      </c>
      <c r="AX19" s="7"/>
      <c r="AY19" s="26"/>
      <c r="AZ19" s="7">
        <v>18700</v>
      </c>
      <c r="BA19" s="26" t="s">
        <v>7566</v>
      </c>
      <c r="BB19" s="9">
        <v>3500</v>
      </c>
      <c r="BC19" s="15" t="s">
        <v>7617</v>
      </c>
      <c r="BD19" s="9">
        <v>1099.01</v>
      </c>
      <c r="BE19" s="26" t="s">
        <v>7708</v>
      </c>
      <c r="BF19" s="9">
        <v>1969.99</v>
      </c>
      <c r="BG19" s="26" t="s">
        <v>7770</v>
      </c>
      <c r="BH19" s="9">
        <v>966.49</v>
      </c>
      <c r="BI19" s="15" t="s">
        <v>7808</v>
      </c>
      <c r="BJ19" s="9"/>
      <c r="BK19" s="15"/>
      <c r="BL19" s="9"/>
      <c r="BM19" s="15"/>
      <c r="BN19" s="9"/>
      <c r="BO19" s="15"/>
      <c r="BP19" s="9"/>
      <c r="BQ19" s="15"/>
      <c r="BR19" s="9"/>
      <c r="BS19" s="15"/>
      <c r="BT19" s="9"/>
      <c r="BU19" s="15"/>
      <c r="BV19" s="9"/>
      <c r="BW19" s="15"/>
      <c r="BX19" s="9"/>
      <c r="BY19" s="15"/>
      <c r="BZ19" s="9"/>
      <c r="CA19" s="15"/>
      <c r="CB19" s="9"/>
      <c r="CC19" s="15"/>
      <c r="CD19" s="9"/>
      <c r="CE19" s="15"/>
      <c r="CF19" s="9"/>
      <c r="CG19" s="15"/>
      <c r="CH19" s="9"/>
      <c r="CI19" s="15"/>
      <c r="CJ19" s="9"/>
      <c r="CK19" s="15"/>
      <c r="CL19" s="9"/>
      <c r="CM19" s="15"/>
      <c r="CN19" s="9"/>
      <c r="CO19" s="15"/>
      <c r="CP19" s="9"/>
    </row>
    <row r="20" spans="1:94" x14ac:dyDescent="0.25">
      <c r="A20" s="41"/>
      <c r="B20">
        <v>350</v>
      </c>
      <c r="C20" t="s">
        <v>6530</v>
      </c>
      <c r="D20" s="7">
        <v>1099</v>
      </c>
      <c r="E20" s="26" t="s">
        <v>6584</v>
      </c>
      <c r="F20" s="9"/>
      <c r="G20" s="26"/>
      <c r="H20" s="9"/>
      <c r="I20" s="15"/>
      <c r="J20" s="9">
        <v>1883.54</v>
      </c>
      <c r="K20" s="26" t="s">
        <v>6681</v>
      </c>
      <c r="L20" s="9">
        <v>1169</v>
      </c>
      <c r="M20" s="15" t="s">
        <v>6727</v>
      </c>
      <c r="N20" s="7">
        <v>1006.51</v>
      </c>
      <c r="O20" s="26" t="s">
        <v>6776</v>
      </c>
      <c r="P20" s="7">
        <v>5115.99</v>
      </c>
      <c r="Q20" s="26" t="s">
        <v>6827</v>
      </c>
      <c r="R20" s="9">
        <v>2290</v>
      </c>
      <c r="S20" s="26" t="s">
        <v>6872</v>
      </c>
      <c r="T20" s="9">
        <v>143.47</v>
      </c>
      <c r="U20" s="26" t="s">
        <v>6929</v>
      </c>
      <c r="V20" s="9"/>
      <c r="W20" s="26"/>
      <c r="X20" s="9">
        <v>1099</v>
      </c>
      <c r="Y20" s="26" t="s">
        <v>6974</v>
      </c>
      <c r="Z20" s="9">
        <v>1169</v>
      </c>
      <c r="AA20" s="26" t="s">
        <v>7030</v>
      </c>
      <c r="AB20" s="9">
        <v>1169</v>
      </c>
      <c r="AC20" s="26" t="s">
        <v>7059</v>
      </c>
      <c r="AD20" s="87">
        <v>1099.01</v>
      </c>
      <c r="AE20" s="88" t="s">
        <v>7124</v>
      </c>
      <c r="AF20" s="72">
        <v>1169</v>
      </c>
      <c r="AG20" s="26" t="s">
        <v>7169</v>
      </c>
      <c r="AH20" s="9">
        <v>224.11</v>
      </c>
      <c r="AI20" s="15" t="s">
        <v>7206</v>
      </c>
      <c r="AJ20" s="87"/>
      <c r="AK20" s="26"/>
      <c r="AL20" s="7"/>
      <c r="AM20" s="26"/>
      <c r="AN20" s="112">
        <v>3320</v>
      </c>
      <c r="AO20" s="26" t="s">
        <v>7257</v>
      </c>
      <c r="AP20" s="9">
        <v>970</v>
      </c>
      <c r="AQ20" s="15" t="s">
        <v>7345</v>
      </c>
      <c r="AR20" s="214">
        <v>1169</v>
      </c>
      <c r="AS20" s="24" t="s">
        <v>7410</v>
      </c>
      <c r="AT20" s="9">
        <v>200</v>
      </c>
      <c r="AU20" s="15" t="s">
        <v>7470</v>
      </c>
      <c r="AV20" s="7">
        <v>434.97</v>
      </c>
      <c r="AW20" s="26" t="s">
        <v>7538</v>
      </c>
      <c r="AX20" s="7"/>
      <c r="AY20" s="26"/>
      <c r="AZ20" s="7">
        <v>1099</v>
      </c>
      <c r="BA20" s="26" t="s">
        <v>7571</v>
      </c>
      <c r="BB20" s="9">
        <v>156.47999999999999</v>
      </c>
      <c r="BC20" s="15" t="s">
        <v>7619</v>
      </c>
      <c r="BD20" s="9">
        <v>5676</v>
      </c>
      <c r="BE20" s="26" t="s">
        <v>7709</v>
      </c>
      <c r="BF20" s="9">
        <v>4818.1099999999997</v>
      </c>
      <c r="BG20" s="26" t="s">
        <v>7772</v>
      </c>
      <c r="BH20" s="9">
        <v>56.03</v>
      </c>
      <c r="BI20" s="15" t="s">
        <v>7811</v>
      </c>
      <c r="BJ20" s="9"/>
      <c r="BK20" s="15"/>
      <c r="BL20" s="9"/>
      <c r="BM20" s="15"/>
      <c r="BN20" s="9"/>
      <c r="BO20" s="15"/>
      <c r="BP20" s="9"/>
      <c r="BQ20" s="15"/>
      <c r="BR20" s="9"/>
      <c r="BS20" s="15"/>
      <c r="BT20" s="9"/>
      <c r="BU20" s="15"/>
      <c r="BV20" s="9"/>
      <c r="BW20" s="15"/>
      <c r="BX20" s="9"/>
      <c r="BY20" s="15"/>
      <c r="BZ20" s="9"/>
      <c r="CA20" s="15"/>
      <c r="CB20" s="9"/>
      <c r="CC20" s="15"/>
      <c r="CD20" s="9"/>
      <c r="CE20" s="15"/>
      <c r="CF20" s="9"/>
      <c r="CG20" s="15"/>
      <c r="CH20" s="9"/>
      <c r="CI20" s="15"/>
      <c r="CJ20" s="9"/>
      <c r="CK20" s="15"/>
      <c r="CL20" s="9"/>
      <c r="CM20" s="15"/>
      <c r="CN20" s="9"/>
      <c r="CO20" s="15"/>
      <c r="CP20" s="9"/>
    </row>
    <row r="21" spans="1:94" x14ac:dyDescent="0.25">
      <c r="A21" s="41"/>
      <c r="B21">
        <v>1970</v>
      </c>
      <c r="C21" t="s">
        <v>6531</v>
      </c>
      <c r="D21" s="7">
        <v>95.75</v>
      </c>
      <c r="E21" s="26" t="s">
        <v>6588</v>
      </c>
      <c r="F21" s="9"/>
      <c r="G21" s="26"/>
      <c r="H21" s="9"/>
      <c r="I21" s="15"/>
      <c r="J21" s="9">
        <v>2610.5100000000002</v>
      </c>
      <c r="K21" s="26" t="s">
        <v>6682</v>
      </c>
      <c r="L21" s="7">
        <v>1099.01</v>
      </c>
      <c r="M21" s="26" t="s">
        <v>6728</v>
      </c>
      <c r="N21" s="7"/>
      <c r="O21" s="26"/>
      <c r="P21" s="7">
        <v>1169</v>
      </c>
      <c r="Q21" s="26" t="s">
        <v>6832</v>
      </c>
      <c r="R21" s="9">
        <v>4815.9799999999996</v>
      </c>
      <c r="S21" s="15" t="s">
        <v>6874</v>
      </c>
      <c r="T21" s="9">
        <v>962.29</v>
      </c>
      <c r="U21" s="26" t="s">
        <v>6931</v>
      </c>
      <c r="V21" s="9"/>
      <c r="W21" s="26"/>
      <c r="X21" s="9">
        <v>1169</v>
      </c>
      <c r="Y21" s="26" t="s">
        <v>6976</v>
      </c>
      <c r="Z21" s="9">
        <v>1169</v>
      </c>
      <c r="AA21" s="9" t="s">
        <v>7031</v>
      </c>
      <c r="AB21" s="9">
        <v>1168.99</v>
      </c>
      <c r="AC21" s="26" t="s">
        <v>7073</v>
      </c>
      <c r="AD21" s="87">
        <v>1169</v>
      </c>
      <c r="AE21" s="88" t="s">
        <v>7125</v>
      </c>
      <c r="AF21" s="72">
        <v>1169</v>
      </c>
      <c r="AG21" s="26" t="s">
        <v>7170</v>
      </c>
      <c r="AH21" s="7">
        <v>1287.04</v>
      </c>
      <c r="AI21" s="26" t="s">
        <v>7209</v>
      </c>
      <c r="AJ21" s="87"/>
      <c r="AK21" s="26"/>
      <c r="AL21" s="7"/>
      <c r="AM21" s="26"/>
      <c r="AN21" s="112">
        <v>1099.01</v>
      </c>
      <c r="AO21" s="26" t="s">
        <v>7258</v>
      </c>
      <c r="AP21" s="9">
        <v>1518.99</v>
      </c>
      <c r="AQ21" s="26" t="s">
        <v>7347</v>
      </c>
      <c r="AR21" s="213">
        <v>1169</v>
      </c>
      <c r="AS21" s="15" t="s">
        <v>7415</v>
      </c>
      <c r="AT21" s="7">
        <v>765.99</v>
      </c>
      <c r="AU21" s="26" t="s">
        <v>7471</v>
      </c>
      <c r="AV21" s="7">
        <v>1062.93</v>
      </c>
      <c r="AW21" s="26" t="s">
        <v>7539</v>
      </c>
      <c r="AX21" s="7"/>
      <c r="AY21" s="26"/>
      <c r="AZ21" s="7">
        <v>2040</v>
      </c>
      <c r="BA21" s="26" t="s">
        <v>7573</v>
      </c>
      <c r="BB21" s="9">
        <v>566.49</v>
      </c>
      <c r="BC21" s="15" t="s">
        <v>7633</v>
      </c>
      <c r="BD21" s="9">
        <v>1168.99</v>
      </c>
      <c r="BE21" s="26" t="s">
        <v>7710</v>
      </c>
      <c r="BF21" s="9">
        <v>1169</v>
      </c>
      <c r="BG21" s="26" t="s">
        <v>7776</v>
      </c>
      <c r="BH21" s="9">
        <v>232</v>
      </c>
      <c r="BI21" s="26" t="s">
        <v>7817</v>
      </c>
      <c r="BJ21" s="9"/>
      <c r="BK21" s="15"/>
      <c r="BL21" s="11"/>
      <c r="BM21" s="13"/>
      <c r="BN21" s="9"/>
      <c r="BO21" s="15"/>
      <c r="BP21" s="9"/>
      <c r="BQ21" s="15"/>
      <c r="BR21" s="9"/>
      <c r="BS21" s="15"/>
      <c r="BT21" s="9"/>
      <c r="BU21" s="15"/>
      <c r="BV21" s="9"/>
      <c r="BW21" s="15"/>
      <c r="BX21" s="9"/>
      <c r="BY21" s="15"/>
      <c r="BZ21" s="9"/>
      <c r="CA21" s="15"/>
      <c r="CB21" s="9"/>
      <c r="CC21" s="15"/>
      <c r="CD21" s="9"/>
      <c r="CE21" s="15"/>
      <c r="CF21" s="9"/>
      <c r="CG21" s="15"/>
      <c r="CH21" s="9"/>
      <c r="CI21" s="15"/>
      <c r="CJ21" s="9"/>
      <c r="CK21" s="15"/>
      <c r="CL21" s="9"/>
      <c r="CM21" s="15"/>
      <c r="CN21" s="9"/>
      <c r="CO21" s="15"/>
      <c r="CP21" s="9"/>
    </row>
    <row r="22" spans="1:94" x14ac:dyDescent="0.25">
      <c r="A22" s="41"/>
      <c r="B22">
        <v>2040</v>
      </c>
      <c r="C22" t="s">
        <v>6532</v>
      </c>
      <c r="D22" s="7">
        <v>688.3</v>
      </c>
      <c r="E22" s="26" t="s">
        <v>6589</v>
      </c>
      <c r="F22" s="9"/>
      <c r="G22" s="26"/>
      <c r="H22" s="9"/>
      <c r="I22" s="15"/>
      <c r="J22" s="9">
        <v>1499</v>
      </c>
      <c r="K22" s="26" t="s">
        <v>6686</v>
      </c>
      <c r="L22" s="7">
        <v>1099</v>
      </c>
      <c r="M22" s="26" t="s">
        <v>6729</v>
      </c>
      <c r="N22" s="7">
        <v>400</v>
      </c>
      <c r="O22" s="26" t="s">
        <v>6779</v>
      </c>
      <c r="P22" s="9">
        <v>1970</v>
      </c>
      <c r="Q22" s="15" t="s">
        <v>6834</v>
      </c>
      <c r="R22" s="9">
        <v>1099.01</v>
      </c>
      <c r="S22" s="15" t="s">
        <v>6876</v>
      </c>
      <c r="T22" s="9">
        <v>150</v>
      </c>
      <c r="U22" s="26" t="s">
        <v>6935</v>
      </c>
      <c r="V22" s="9"/>
      <c r="W22" s="26"/>
      <c r="X22" s="9"/>
      <c r="Y22" s="26"/>
      <c r="Z22" s="9">
        <v>1168.99</v>
      </c>
      <c r="AA22" s="26" t="s">
        <v>7038</v>
      </c>
      <c r="AB22" s="9">
        <v>594.41999999999996</v>
      </c>
      <c r="AC22" s="26" t="s">
        <v>7075</v>
      </c>
      <c r="AD22" s="72">
        <v>1169</v>
      </c>
      <c r="AE22" s="88" t="s">
        <v>7128</v>
      </c>
      <c r="AF22" s="9">
        <v>497.69</v>
      </c>
      <c r="AG22" s="86" t="s">
        <v>7173</v>
      </c>
      <c r="AH22" s="7">
        <v>105.51</v>
      </c>
      <c r="AI22" s="26" t="s">
        <v>7211</v>
      </c>
      <c r="AJ22" s="87"/>
      <c r="AK22" s="26"/>
      <c r="AL22" s="7"/>
      <c r="AM22" s="26"/>
      <c r="AN22" s="112">
        <v>331.71</v>
      </c>
      <c r="AO22" s="26" t="s">
        <v>7261</v>
      </c>
      <c r="AP22" s="9">
        <v>21794.31</v>
      </c>
      <c r="AQ22" s="26" t="s">
        <v>7348</v>
      </c>
      <c r="AR22" s="213">
        <v>1169</v>
      </c>
      <c r="AS22" s="15" t="s">
        <v>7420</v>
      </c>
      <c r="AT22" s="7">
        <v>3500.85</v>
      </c>
      <c r="AU22" s="26" t="s">
        <v>7472</v>
      </c>
      <c r="AV22" s="7">
        <v>33</v>
      </c>
      <c r="AW22" s="26"/>
      <c r="AX22" s="7"/>
      <c r="AY22" s="26"/>
      <c r="AZ22" s="7">
        <v>1970</v>
      </c>
      <c r="BA22" s="26" t="s">
        <v>7583</v>
      </c>
      <c r="BB22" s="9">
        <v>20000</v>
      </c>
      <c r="BC22" s="15" t="s">
        <v>7634</v>
      </c>
      <c r="BD22" s="9">
        <v>3250.01</v>
      </c>
      <c r="BE22" s="26" t="s">
        <v>7712</v>
      </c>
      <c r="BF22" s="9">
        <v>4220</v>
      </c>
      <c r="BG22" s="26" t="s">
        <v>7777</v>
      </c>
      <c r="BH22" s="9">
        <v>568.28</v>
      </c>
      <c r="BI22" s="26" t="s">
        <v>7818</v>
      </c>
      <c r="BJ22" s="9"/>
      <c r="BK22" s="15"/>
      <c r="BL22" s="11"/>
      <c r="BM22" s="13"/>
      <c r="BN22" s="9"/>
      <c r="BO22" s="15"/>
      <c r="BP22" s="9"/>
      <c r="BQ22" s="15"/>
      <c r="BR22" s="9"/>
      <c r="BS22" s="15"/>
      <c r="BT22" s="9"/>
      <c r="BU22" s="15"/>
      <c r="BV22" s="9"/>
      <c r="BW22" s="15"/>
      <c r="BX22" s="9"/>
      <c r="BY22" s="15"/>
      <c r="BZ22" s="9"/>
      <c r="CA22" s="15"/>
      <c r="CB22" s="9"/>
      <c r="CC22" s="15"/>
      <c r="CD22" s="9"/>
      <c r="CE22" s="15"/>
      <c r="CF22" s="9"/>
      <c r="CG22" s="15"/>
      <c r="CH22" s="9"/>
      <c r="CI22" s="15"/>
      <c r="CJ22" s="9"/>
      <c r="CK22" s="15"/>
      <c r="CL22" s="9"/>
      <c r="CM22" s="15"/>
      <c r="CN22" s="9"/>
      <c r="CO22" s="15"/>
      <c r="CP22" s="9"/>
    </row>
    <row r="23" spans="1:94" x14ac:dyDescent="0.25">
      <c r="A23" s="41"/>
      <c r="B23">
        <v>1169</v>
      </c>
      <c r="C23" t="s">
        <v>6533</v>
      </c>
      <c r="D23" s="7">
        <v>277.94</v>
      </c>
      <c r="E23" s="26" t="s">
        <v>6590</v>
      </c>
      <c r="F23" s="9"/>
      <c r="G23" s="26"/>
      <c r="H23" s="9"/>
      <c r="I23" s="15"/>
      <c r="J23" s="9"/>
      <c r="K23" s="15"/>
      <c r="L23" s="9">
        <v>1169</v>
      </c>
      <c r="M23" s="15" t="s">
        <v>6730</v>
      </c>
      <c r="N23" s="9">
        <v>637.72</v>
      </c>
      <c r="O23" s="15" t="s">
        <v>6780</v>
      </c>
      <c r="P23" s="9">
        <v>1970</v>
      </c>
      <c r="Q23" s="15" t="s">
        <v>6835</v>
      </c>
      <c r="R23" s="9">
        <v>1169</v>
      </c>
      <c r="S23" s="15" t="s">
        <v>6878</v>
      </c>
      <c r="T23" s="9">
        <v>2</v>
      </c>
      <c r="U23" s="15" t="s">
        <v>6936</v>
      </c>
      <c r="V23" s="9"/>
      <c r="W23" s="15"/>
      <c r="X23" s="9"/>
      <c r="Y23" s="15"/>
      <c r="Z23" s="9">
        <v>9</v>
      </c>
      <c r="AA23" s="15" t="s">
        <v>7036</v>
      </c>
      <c r="AB23" s="9">
        <v>1991.92</v>
      </c>
      <c r="AC23" s="15" t="s">
        <v>7076</v>
      </c>
      <c r="AD23" s="87">
        <v>953.38</v>
      </c>
      <c r="AE23" s="88" t="s">
        <v>7130</v>
      </c>
      <c r="AF23" s="72">
        <v>105.51</v>
      </c>
      <c r="AG23" s="26" t="s">
        <v>7174</v>
      </c>
      <c r="AH23" s="72">
        <v>995.91</v>
      </c>
      <c r="AI23" s="24" t="s">
        <v>7208</v>
      </c>
      <c r="AJ23" s="87"/>
      <c r="AK23" s="26"/>
      <c r="AL23" s="7"/>
      <c r="AM23" s="26"/>
      <c r="AN23" s="112">
        <v>158.87</v>
      </c>
      <c r="AO23" s="26" t="s">
        <v>7263</v>
      </c>
      <c r="AP23" s="9">
        <v>1169</v>
      </c>
      <c r="AQ23" s="26" t="s">
        <v>7349</v>
      </c>
      <c r="AR23" s="213">
        <v>250.53</v>
      </c>
      <c r="AS23" s="26" t="s">
        <v>7425</v>
      </c>
      <c r="AT23" s="7">
        <v>250</v>
      </c>
      <c r="AU23" s="26" t="s">
        <v>7473</v>
      </c>
      <c r="AV23" s="9"/>
      <c r="AW23" s="15"/>
      <c r="AX23" s="9"/>
      <c r="AY23" s="15"/>
      <c r="AZ23" s="7">
        <v>4395</v>
      </c>
      <c r="BA23" s="26" t="s">
        <v>7585</v>
      </c>
      <c r="BB23" s="9">
        <v>3200</v>
      </c>
      <c r="BC23" s="15" t="s">
        <v>7637</v>
      </c>
      <c r="BD23" s="9">
        <v>2520</v>
      </c>
      <c r="BE23" s="26" t="s">
        <v>7714</v>
      </c>
      <c r="BF23" s="9">
        <v>923.66</v>
      </c>
      <c r="BG23" s="26" t="s">
        <v>7778</v>
      </c>
      <c r="BH23" s="9">
        <v>492.3</v>
      </c>
      <c r="BI23" s="26" t="s">
        <v>7819</v>
      </c>
      <c r="BJ23" s="9"/>
      <c r="BK23" s="15"/>
      <c r="BL23" s="9"/>
      <c r="BM23" s="15"/>
      <c r="BN23" s="9"/>
      <c r="BO23" s="15"/>
      <c r="BP23" s="9"/>
      <c r="BQ23" s="15"/>
      <c r="BR23" s="9"/>
      <c r="BS23" s="15"/>
      <c r="BT23" s="9"/>
      <c r="BU23" s="15"/>
      <c r="BV23" s="9"/>
      <c r="BW23" s="15"/>
      <c r="BX23" s="9"/>
      <c r="BY23" s="15"/>
      <c r="BZ23" s="9"/>
      <c r="CA23" s="15"/>
      <c r="CB23" s="9"/>
      <c r="CC23" s="15"/>
      <c r="CD23" s="9"/>
      <c r="CE23" s="15"/>
      <c r="CF23" s="9"/>
      <c r="CG23" s="15"/>
      <c r="CH23" s="9"/>
      <c r="CI23" s="15"/>
      <c r="CJ23" s="9"/>
      <c r="CK23" s="15"/>
      <c r="CL23" s="9"/>
      <c r="CM23" s="15"/>
      <c r="CN23" s="9"/>
      <c r="CO23" s="15"/>
      <c r="CP23" s="9"/>
    </row>
    <row r="24" spans="1:94" x14ac:dyDescent="0.25">
      <c r="A24" s="41"/>
      <c r="B24">
        <v>1169</v>
      </c>
      <c r="C24" t="s">
        <v>6534</v>
      </c>
      <c r="D24" s="7">
        <v>801.12</v>
      </c>
      <c r="E24" s="26" t="s">
        <v>6591</v>
      </c>
      <c r="F24" s="9"/>
      <c r="G24" s="26"/>
      <c r="H24" s="9"/>
      <c r="I24" s="9"/>
      <c r="J24" s="9"/>
      <c r="K24" s="15"/>
      <c r="L24" s="9">
        <v>2039.99</v>
      </c>
      <c r="M24" s="15" t="s">
        <v>6731</v>
      </c>
      <c r="N24" s="9">
        <v>17936.689999999999</v>
      </c>
      <c r="O24" s="15" t="s">
        <v>6781</v>
      </c>
      <c r="P24" s="9">
        <f>1943.78-888.64</f>
        <v>1055.1399999999999</v>
      </c>
      <c r="Q24" s="15" t="s">
        <v>6836</v>
      </c>
      <c r="R24" s="9">
        <v>1970</v>
      </c>
      <c r="S24" s="15" t="s">
        <v>6879</v>
      </c>
      <c r="T24" s="9"/>
      <c r="U24" s="15"/>
      <c r="V24" s="9"/>
      <c r="W24" s="15"/>
      <c r="X24" s="9"/>
      <c r="Y24" s="15"/>
      <c r="Z24" s="9"/>
      <c r="AA24" s="15"/>
      <c r="AB24" s="9"/>
      <c r="AC24" s="15"/>
      <c r="AD24" s="72">
        <v>78.849999999999994</v>
      </c>
      <c r="AE24" s="86" t="s">
        <v>7131</v>
      </c>
      <c r="AF24" s="9">
        <v>899.77</v>
      </c>
      <c r="AG24" s="15" t="s">
        <v>7176</v>
      </c>
      <c r="AH24" s="7"/>
      <c r="AI24" s="26"/>
      <c r="AJ24" s="87"/>
      <c r="AK24" s="26"/>
      <c r="AL24" s="7"/>
      <c r="AM24" s="26"/>
      <c r="AN24" s="112"/>
      <c r="AO24" s="26"/>
      <c r="AP24" s="9">
        <v>4065</v>
      </c>
      <c r="AQ24" s="26" t="s">
        <v>7351</v>
      </c>
      <c r="AR24" s="7">
        <v>1203.48</v>
      </c>
      <c r="AS24" s="26" t="s">
        <v>7426</v>
      </c>
      <c r="AT24" s="7"/>
      <c r="AU24" s="26"/>
      <c r="AV24" s="9"/>
      <c r="AW24" s="15"/>
      <c r="AX24" s="9"/>
      <c r="AY24" s="15"/>
      <c r="AZ24" s="7">
        <v>3319.99</v>
      </c>
      <c r="BA24" s="26" t="s">
        <v>7586</v>
      </c>
      <c r="BB24" s="9">
        <v>15137.25</v>
      </c>
      <c r="BC24" s="15" t="s">
        <v>7638</v>
      </c>
      <c r="BD24" s="9">
        <v>2935.99</v>
      </c>
      <c r="BE24" s="15" t="s">
        <v>7715</v>
      </c>
      <c r="BF24" s="9">
        <v>598.03</v>
      </c>
      <c r="BG24" s="26" t="s">
        <v>7779</v>
      </c>
      <c r="BH24" s="9">
        <v>20000</v>
      </c>
      <c r="BI24" s="26" t="s">
        <v>7820</v>
      </c>
      <c r="BJ24" s="9"/>
      <c r="BK24" s="15"/>
      <c r="BL24" s="9"/>
      <c r="BM24" s="15"/>
      <c r="BN24" s="9"/>
      <c r="BO24" s="15"/>
      <c r="BP24" s="9"/>
      <c r="BQ24" s="15"/>
      <c r="BR24" s="9"/>
      <c r="BS24" s="15"/>
      <c r="BT24" s="9"/>
      <c r="BU24" s="15"/>
      <c r="BV24" s="9"/>
      <c r="BW24" s="15"/>
      <c r="BX24" s="9"/>
      <c r="BY24" s="15"/>
      <c r="BZ24" s="9"/>
      <c r="CA24" s="15"/>
      <c r="CB24" s="9"/>
      <c r="CC24" s="15"/>
      <c r="CD24" s="9"/>
      <c r="CE24" s="15"/>
      <c r="CF24" s="9"/>
      <c r="CG24" s="15"/>
      <c r="CH24" s="9"/>
      <c r="CI24" s="15"/>
      <c r="CJ24" s="9"/>
      <c r="CK24" s="15"/>
      <c r="CL24" s="9"/>
      <c r="CM24" s="15"/>
      <c r="CN24" s="9"/>
      <c r="CO24" s="15"/>
      <c r="CP24" s="9"/>
    </row>
    <row r="25" spans="1:94" x14ac:dyDescent="0.25">
      <c r="A25" s="41"/>
      <c r="B25">
        <v>1099</v>
      </c>
      <c r="C25" t="s">
        <v>6535</v>
      </c>
      <c r="D25" s="7">
        <v>82.93</v>
      </c>
      <c r="E25" s="26" t="s">
        <v>6592</v>
      </c>
      <c r="F25" s="9"/>
      <c r="G25" s="26"/>
      <c r="H25" s="9"/>
      <c r="I25" s="15"/>
      <c r="J25" s="9"/>
      <c r="K25" s="15"/>
      <c r="L25" s="9">
        <v>1519</v>
      </c>
      <c r="M25" s="15" t="s">
        <v>6732</v>
      </c>
      <c r="N25" s="9">
        <v>464</v>
      </c>
      <c r="O25" s="15" t="s">
        <v>6786</v>
      </c>
      <c r="P25" s="9"/>
      <c r="Q25" s="15"/>
      <c r="R25" s="9">
        <v>1099</v>
      </c>
      <c r="S25" s="15" t="s">
        <v>6882</v>
      </c>
      <c r="T25" s="9"/>
      <c r="U25" s="15"/>
      <c r="V25" s="9"/>
      <c r="W25" s="15"/>
      <c r="X25" s="9"/>
      <c r="Y25" s="15"/>
      <c r="Z25" s="9"/>
      <c r="AA25" s="15"/>
      <c r="AB25" s="9"/>
      <c r="AC25" s="15"/>
      <c r="AD25" s="87">
        <v>105.51</v>
      </c>
      <c r="AE25" s="88" t="s">
        <v>7132</v>
      </c>
      <c r="AF25" s="9"/>
      <c r="AG25" s="26"/>
      <c r="AH25" s="7"/>
      <c r="AI25" s="26"/>
      <c r="AJ25" s="87"/>
      <c r="AK25" s="26"/>
      <c r="AL25" s="7"/>
      <c r="AM25" s="26"/>
      <c r="AN25" s="7"/>
      <c r="AO25" s="26"/>
      <c r="AP25" s="9">
        <v>1099.01</v>
      </c>
      <c r="AQ25" s="15" t="s">
        <v>7352</v>
      </c>
      <c r="AR25" s="7"/>
      <c r="AS25" s="26"/>
      <c r="AT25" s="7">
        <v>1000</v>
      </c>
      <c r="AU25" s="26" t="s">
        <v>7491</v>
      </c>
      <c r="AV25" s="9"/>
      <c r="AW25" s="15"/>
      <c r="AX25" s="9"/>
      <c r="AY25" s="15"/>
      <c r="AZ25" s="7">
        <v>1169</v>
      </c>
      <c r="BA25" s="26" t="s">
        <v>7589</v>
      </c>
      <c r="BB25" s="9">
        <v>2662</v>
      </c>
      <c r="BC25" s="15" t="s">
        <v>7642</v>
      </c>
      <c r="BD25" s="9">
        <v>3320</v>
      </c>
      <c r="BE25" s="15" t="s">
        <v>7716</v>
      </c>
      <c r="BF25" s="9">
        <v>1738.98</v>
      </c>
      <c r="BG25" s="26" t="s">
        <v>7780</v>
      </c>
      <c r="BH25" s="72">
        <v>3400</v>
      </c>
      <c r="BI25" s="24" t="s">
        <v>7821</v>
      </c>
      <c r="BJ25" s="9"/>
      <c r="BK25" s="15"/>
      <c r="BL25" s="9"/>
      <c r="BM25" s="15"/>
      <c r="BN25" s="9"/>
      <c r="BO25" s="15"/>
      <c r="BP25" s="9"/>
      <c r="BQ25" s="15"/>
      <c r="BR25" s="9"/>
      <c r="BS25" s="15"/>
      <c r="BT25" s="9"/>
      <c r="BU25" s="15"/>
      <c r="BV25" s="9"/>
      <c r="BW25" s="15"/>
      <c r="BX25" s="9"/>
      <c r="BY25" s="15"/>
      <c r="BZ25" s="9"/>
      <c r="CA25" s="15"/>
      <c r="CB25" s="9"/>
      <c r="CC25" s="15"/>
      <c r="CD25" s="9"/>
      <c r="CE25" s="15"/>
      <c r="CF25" s="9"/>
      <c r="CG25" s="15"/>
      <c r="CH25" s="9"/>
      <c r="CI25" s="15"/>
      <c r="CJ25" s="9"/>
      <c r="CK25" s="15"/>
      <c r="CL25" s="9"/>
      <c r="CM25" s="15"/>
      <c r="CN25" s="9"/>
      <c r="CO25" s="15"/>
      <c r="CP25" s="9"/>
    </row>
    <row r="26" spans="1:94" x14ac:dyDescent="0.25">
      <c r="A26" s="41"/>
      <c r="B26">
        <v>165.86</v>
      </c>
      <c r="C26" t="s">
        <v>6536</v>
      </c>
      <c r="D26" s="7"/>
      <c r="E26" s="26"/>
      <c r="F26" s="9"/>
      <c r="G26" s="26"/>
      <c r="H26" s="9"/>
      <c r="I26" s="15"/>
      <c r="J26" s="9"/>
      <c r="K26" s="15"/>
      <c r="L26" s="9">
        <v>1169</v>
      </c>
      <c r="M26" s="15" t="s">
        <v>6736</v>
      </c>
      <c r="N26" s="9">
        <v>464</v>
      </c>
      <c r="O26" s="15" t="s">
        <v>6788</v>
      </c>
      <c r="P26" s="7"/>
      <c r="Q26" s="26"/>
      <c r="R26" s="7">
        <v>1631.05</v>
      </c>
      <c r="S26" s="26" t="s">
        <v>6885</v>
      </c>
      <c r="T26" s="72"/>
      <c r="U26" s="24"/>
      <c r="V26" s="9"/>
      <c r="W26" s="15"/>
      <c r="X26" s="9"/>
      <c r="Y26" s="15"/>
      <c r="Z26" s="9"/>
      <c r="AA26" s="15"/>
      <c r="AB26" s="9"/>
      <c r="AC26" s="15"/>
      <c r="AD26" s="149"/>
      <c r="AE26" s="86"/>
      <c r="AF26" s="87"/>
      <c r="AG26" s="26"/>
      <c r="AH26" s="7"/>
      <c r="AI26" s="26"/>
      <c r="AJ26" s="87"/>
      <c r="AK26" s="26"/>
      <c r="AL26" s="7"/>
      <c r="AM26" s="26"/>
      <c r="AN26" s="7">
        <v>904.86</v>
      </c>
      <c r="AO26" s="26" t="s">
        <v>7294</v>
      </c>
      <c r="AP26" s="9">
        <v>3632.99</v>
      </c>
      <c r="AQ26" s="15" t="s">
        <v>7354</v>
      </c>
      <c r="AR26" s="7">
        <v>848.23</v>
      </c>
      <c r="AS26" s="26" t="s">
        <v>7478</v>
      </c>
      <c r="AT26" s="7">
        <v>100</v>
      </c>
      <c r="AU26" s="26" t="s">
        <v>7497</v>
      </c>
      <c r="AV26" s="7"/>
      <c r="AW26" s="26"/>
      <c r="AX26" s="7"/>
      <c r="AY26" s="26"/>
      <c r="AZ26" s="7">
        <v>934.26</v>
      </c>
      <c r="BA26" s="26" t="s">
        <v>7592</v>
      </c>
      <c r="BB26" s="9">
        <v>1970</v>
      </c>
      <c r="BC26" s="15" t="s">
        <v>7655</v>
      </c>
      <c r="BD26" s="9">
        <v>2560.9899999999998</v>
      </c>
      <c r="BE26" s="15" t="s">
        <v>7718</v>
      </c>
      <c r="BF26" s="72"/>
      <c r="BG26" s="24"/>
      <c r="BH26" s="9">
        <v>419.36</v>
      </c>
      <c r="BI26" s="26" t="s">
        <v>7822</v>
      </c>
      <c r="BJ26" s="9"/>
      <c r="BK26" s="15"/>
      <c r="BL26" s="9"/>
      <c r="BM26" s="15"/>
      <c r="BN26" s="9"/>
      <c r="BO26" s="15"/>
      <c r="BP26" s="9"/>
      <c r="BQ26" s="15"/>
      <c r="BR26" s="9"/>
      <c r="BS26" s="15"/>
      <c r="BT26" s="9"/>
      <c r="BU26" s="15"/>
      <c r="BV26" s="9"/>
      <c r="BW26" s="15"/>
      <c r="BX26" s="9"/>
      <c r="BY26" s="15"/>
      <c r="BZ26" s="9"/>
      <c r="CA26" s="15"/>
      <c r="CB26" s="9"/>
      <c r="CC26" s="15"/>
      <c r="CD26" s="9"/>
      <c r="CE26" s="15"/>
      <c r="CF26" s="9"/>
      <c r="CG26" s="15"/>
      <c r="CH26" s="9"/>
      <c r="CI26" s="15"/>
      <c r="CJ26" s="9"/>
      <c r="CK26" s="15"/>
      <c r="CL26" s="9"/>
      <c r="CM26" s="15"/>
      <c r="CN26" s="9"/>
      <c r="CO26" s="15"/>
      <c r="CP26" s="9"/>
    </row>
    <row r="27" spans="1:94" x14ac:dyDescent="0.25">
      <c r="A27" s="41"/>
      <c r="B27">
        <v>85.84</v>
      </c>
      <c r="C27" t="s">
        <v>6537</v>
      </c>
      <c r="D27" s="7">
        <v>846.02</v>
      </c>
      <c r="E27" s="15" t="s">
        <v>6636</v>
      </c>
      <c r="F27" s="7"/>
      <c r="G27" s="26"/>
      <c r="H27" s="9"/>
      <c r="I27" s="15"/>
      <c r="J27" s="9"/>
      <c r="K27" s="9"/>
      <c r="L27" s="7">
        <v>628.51</v>
      </c>
      <c r="M27" s="26" t="s">
        <v>6737</v>
      </c>
      <c r="N27" s="7"/>
      <c r="O27" s="26"/>
      <c r="P27" s="7"/>
      <c r="Q27" s="26"/>
      <c r="R27" s="7">
        <f>795.35-787.56</f>
        <v>7.7900000000000773</v>
      </c>
      <c r="S27" s="26" t="s">
        <v>6886</v>
      </c>
      <c r="T27" s="9"/>
      <c r="U27" s="26"/>
      <c r="V27" s="7"/>
      <c r="W27" s="26"/>
      <c r="X27" s="7"/>
      <c r="Y27" s="26"/>
      <c r="Z27" s="9"/>
      <c r="AA27" s="26"/>
      <c r="AB27" s="9"/>
      <c r="AC27" s="26"/>
      <c r="AD27" s="87"/>
      <c r="AE27" s="88"/>
      <c r="AF27" s="87"/>
      <c r="AG27" s="26"/>
      <c r="AH27" s="7"/>
      <c r="AI27" s="26"/>
      <c r="AJ27" s="87"/>
      <c r="AK27" s="26"/>
      <c r="AL27" s="7"/>
      <c r="AM27" s="26"/>
      <c r="AN27" s="7">
        <v>175</v>
      </c>
      <c r="AO27" s="26" t="s">
        <v>7295</v>
      </c>
      <c r="AP27" s="9">
        <v>1168.99</v>
      </c>
      <c r="AQ27" s="26" t="s">
        <v>7357</v>
      </c>
      <c r="AR27" s="7">
        <v>500</v>
      </c>
      <c r="AS27" s="26" t="s">
        <v>7480</v>
      </c>
      <c r="AT27" s="7">
        <v>53000</v>
      </c>
      <c r="AU27" s="26" t="s">
        <v>7498</v>
      </c>
      <c r="AV27" s="7"/>
      <c r="AW27" s="26"/>
      <c r="AX27" s="7"/>
      <c r="AY27" s="26"/>
      <c r="AZ27" s="7">
        <v>1536.1</v>
      </c>
      <c r="BA27" s="26" t="s">
        <v>7593</v>
      </c>
      <c r="BB27" s="9">
        <v>1099</v>
      </c>
      <c r="BC27" s="15" t="s">
        <v>7656</v>
      </c>
      <c r="BD27" s="7">
        <v>1168.99</v>
      </c>
      <c r="BE27" s="26" t="s">
        <v>7721</v>
      </c>
      <c r="BF27" s="9"/>
      <c r="BG27" s="15"/>
      <c r="BH27" s="9">
        <v>915.05</v>
      </c>
      <c r="BI27" s="26" t="s">
        <v>7823</v>
      </c>
      <c r="BJ27" s="9"/>
      <c r="BK27" s="15"/>
      <c r="BL27" s="9"/>
      <c r="BM27" s="15"/>
      <c r="BN27" s="9"/>
      <c r="BO27" s="15"/>
      <c r="BP27" s="9"/>
      <c r="BQ27" s="15"/>
      <c r="BR27" s="9"/>
      <c r="BS27" s="15"/>
      <c r="BT27" s="9"/>
      <c r="BU27" s="15"/>
      <c r="BV27" s="9"/>
      <c r="BW27" s="15"/>
      <c r="BX27" s="9"/>
      <c r="BY27" s="15"/>
      <c r="BZ27" s="9"/>
      <c r="CA27" s="15"/>
      <c r="CB27" s="9"/>
      <c r="CC27" s="15"/>
      <c r="CD27" s="9"/>
      <c r="CE27" s="15"/>
      <c r="CF27" s="9"/>
      <c r="CG27" s="15"/>
      <c r="CH27" s="9"/>
      <c r="CI27" s="15"/>
      <c r="CJ27" s="9"/>
      <c r="CK27" s="15"/>
      <c r="CL27" s="9"/>
      <c r="CM27" s="15"/>
      <c r="CN27" s="9"/>
      <c r="CO27" s="15"/>
      <c r="CP27" s="9"/>
    </row>
    <row r="28" spans="1:94" x14ac:dyDescent="0.25">
      <c r="A28" s="41"/>
      <c r="B28" s="7"/>
      <c r="C28" s="26"/>
      <c r="D28" s="7">
        <v>3320</v>
      </c>
      <c r="E28" s="26" t="s">
        <v>6640</v>
      </c>
      <c r="F28" s="7"/>
      <c r="G28" s="26"/>
      <c r="H28" s="9"/>
      <c r="I28" s="15"/>
      <c r="J28" s="9"/>
      <c r="K28" s="9"/>
      <c r="L28" s="7">
        <v>1083.46</v>
      </c>
      <c r="M28" s="26" t="s">
        <v>6738</v>
      </c>
      <c r="N28" s="7"/>
      <c r="O28" s="26"/>
      <c r="P28" s="7"/>
      <c r="Q28" s="26"/>
      <c r="R28" s="7">
        <v>338.57</v>
      </c>
      <c r="S28" s="26" t="s">
        <v>6887</v>
      </c>
      <c r="T28" s="9"/>
      <c r="U28" s="26"/>
      <c r="V28" s="7"/>
      <c r="W28" s="26"/>
      <c r="X28" s="7"/>
      <c r="Y28" s="26"/>
      <c r="Z28" s="9"/>
      <c r="AA28" s="26"/>
      <c r="AB28" s="9"/>
      <c r="AC28" s="26"/>
      <c r="AD28" s="7"/>
      <c r="AE28" s="26"/>
      <c r="AF28" s="87"/>
      <c r="AG28" s="26"/>
      <c r="AH28" s="7"/>
      <c r="AI28" s="26"/>
      <c r="AJ28" s="87"/>
      <c r="AK28" s="15"/>
      <c r="AL28" s="7"/>
      <c r="AM28" s="26"/>
      <c r="AN28" s="7">
        <v>2500</v>
      </c>
      <c r="AO28" s="26" t="s">
        <v>7296</v>
      </c>
      <c r="AP28" s="7">
        <v>1169</v>
      </c>
      <c r="AQ28" s="26" t="s">
        <v>7360</v>
      </c>
      <c r="AR28" s="7">
        <v>7500</v>
      </c>
      <c r="AS28" s="26" t="s">
        <v>7481</v>
      </c>
      <c r="AT28" s="7">
        <v>2040</v>
      </c>
      <c r="AU28" s="26" t="s">
        <v>7500</v>
      </c>
      <c r="AV28" s="9"/>
      <c r="AW28" s="15"/>
      <c r="AX28" s="9"/>
      <c r="AY28" s="15"/>
      <c r="AZ28" s="9">
        <v>80258.91</v>
      </c>
      <c r="BA28" s="15" t="s">
        <v>7570</v>
      </c>
      <c r="BB28" s="9">
        <v>1168.99</v>
      </c>
      <c r="BC28" s="15" t="s">
        <v>7658</v>
      </c>
      <c r="BD28" s="7"/>
      <c r="BE28" s="26"/>
      <c r="BF28" s="9"/>
      <c r="BG28" s="15"/>
      <c r="BH28" s="7">
        <v>205000</v>
      </c>
      <c r="BI28" s="26" t="s">
        <v>7824</v>
      </c>
      <c r="BJ28" s="9"/>
      <c r="BK28" s="15"/>
      <c r="BL28" s="9"/>
      <c r="BM28" s="15"/>
      <c r="BN28" s="9"/>
      <c r="BO28" s="15"/>
      <c r="BP28" s="9"/>
      <c r="BQ28" s="15"/>
      <c r="BR28" s="9"/>
      <c r="BS28" s="15"/>
      <c r="BT28" s="9"/>
      <c r="BU28" s="15"/>
      <c r="BV28" s="9"/>
      <c r="BW28" s="15"/>
      <c r="BX28" s="9"/>
      <c r="BY28" s="15"/>
      <c r="BZ28" s="9"/>
      <c r="CA28" s="15"/>
      <c r="CB28" s="9"/>
      <c r="CC28" s="15"/>
      <c r="CD28" s="9"/>
      <c r="CE28" s="15"/>
      <c r="CF28" s="9"/>
      <c r="CG28" s="15"/>
      <c r="CH28" s="9"/>
      <c r="CI28" s="15"/>
      <c r="CJ28" s="9"/>
      <c r="CK28" s="15"/>
      <c r="CL28" s="9"/>
      <c r="CM28" s="15"/>
      <c r="CN28" s="9"/>
      <c r="CO28" s="15"/>
      <c r="CP28" s="9"/>
    </row>
    <row r="29" spans="1:94" x14ac:dyDescent="0.25">
      <c r="A29" s="41"/>
      <c r="B29" s="7"/>
      <c r="C29" s="26"/>
      <c r="D29" s="7">
        <v>1727.31</v>
      </c>
      <c r="E29" s="26" t="s">
        <v>6643</v>
      </c>
      <c r="F29" s="7"/>
      <c r="G29" s="26"/>
      <c r="H29" s="9"/>
      <c r="I29" s="15"/>
      <c r="J29" s="9"/>
      <c r="K29" s="26"/>
      <c r="L29" s="7">
        <v>628.51</v>
      </c>
      <c r="M29" s="26" t="s">
        <v>6739</v>
      </c>
      <c r="N29" s="7"/>
      <c r="O29" s="26"/>
      <c r="P29" s="7"/>
      <c r="Q29" s="26"/>
      <c r="R29" s="9"/>
      <c r="S29" s="15"/>
      <c r="T29" s="9"/>
      <c r="U29" s="26"/>
      <c r="V29" s="7"/>
      <c r="W29" s="26"/>
      <c r="X29" s="7"/>
      <c r="Y29" s="26"/>
      <c r="Z29" s="9"/>
      <c r="AA29" s="26"/>
      <c r="AB29" s="9"/>
      <c r="AC29" s="26"/>
      <c r="AD29" s="7"/>
      <c r="AE29" s="26"/>
      <c r="AF29" s="7"/>
      <c r="AG29" s="26"/>
      <c r="AH29" s="7"/>
      <c r="AI29" s="26"/>
      <c r="AJ29" s="87"/>
      <c r="AK29" s="26"/>
      <c r="AL29" s="7"/>
      <c r="AM29" s="26"/>
      <c r="AN29" s="7">
        <v>1086.55</v>
      </c>
      <c r="AO29" s="26" t="s">
        <v>7297</v>
      </c>
      <c r="AP29" s="7">
        <v>3498.85</v>
      </c>
      <c r="AQ29" s="26" t="s">
        <v>7361</v>
      </c>
      <c r="AR29" s="7"/>
      <c r="AS29" s="26"/>
      <c r="AT29" s="7">
        <v>3320</v>
      </c>
      <c r="AU29" s="26" t="s">
        <v>7501</v>
      </c>
      <c r="AV29" s="9"/>
      <c r="AW29" s="15"/>
      <c r="AX29" s="9"/>
      <c r="AY29" s="15"/>
      <c r="AZ29" s="7"/>
      <c r="BA29" s="26"/>
      <c r="BB29" s="9">
        <v>1099.01</v>
      </c>
      <c r="BC29" s="15" t="s">
        <v>7659</v>
      </c>
      <c r="BD29" s="7"/>
      <c r="BE29" s="26"/>
      <c r="BF29" s="7"/>
      <c r="BG29" s="26"/>
      <c r="BH29" s="7">
        <v>2900</v>
      </c>
      <c r="BI29" s="26" t="s">
        <v>7827</v>
      </c>
      <c r="BJ29" s="9"/>
      <c r="BK29" s="15"/>
      <c r="BL29" s="9"/>
      <c r="BM29" s="15"/>
      <c r="BN29" s="9"/>
      <c r="BO29" s="15"/>
      <c r="BP29" s="9"/>
      <c r="BQ29" s="15"/>
      <c r="BR29" s="9"/>
      <c r="BS29" s="15"/>
      <c r="BT29" s="9"/>
      <c r="BU29" s="15"/>
      <c r="BV29" s="9"/>
      <c r="BW29" s="15"/>
      <c r="BX29" s="9"/>
      <c r="BY29" s="15"/>
      <c r="BZ29" s="9"/>
      <c r="CA29" s="15"/>
      <c r="CB29" s="9"/>
      <c r="CC29" s="15"/>
      <c r="CD29" s="9"/>
      <c r="CE29" s="15"/>
      <c r="CF29" s="9"/>
      <c r="CG29" s="15"/>
      <c r="CH29" s="9"/>
      <c r="CI29" s="15"/>
      <c r="CJ29" s="9"/>
      <c r="CK29" s="15"/>
      <c r="CL29" s="9"/>
      <c r="CM29" s="15"/>
      <c r="CN29" s="9"/>
      <c r="CO29" s="15"/>
      <c r="CP29" s="9"/>
    </row>
    <row r="30" spans="1:94" x14ac:dyDescent="0.25">
      <c r="A30" s="41"/>
      <c r="B30" s="9"/>
      <c r="C30" s="15"/>
      <c r="D30" s="9"/>
      <c r="E30" s="15"/>
      <c r="F30" s="9"/>
      <c r="G30" s="15"/>
      <c r="H30" s="9"/>
      <c r="I30" s="15"/>
      <c r="J30" s="9"/>
      <c r="K30" s="15"/>
      <c r="L30" s="9"/>
      <c r="M30" s="15"/>
      <c r="N30" s="9"/>
      <c r="O30" s="15"/>
      <c r="P30" s="7"/>
      <c r="Q30" s="26"/>
      <c r="R30" s="10"/>
      <c r="S30" s="12"/>
      <c r="T30" s="9"/>
      <c r="U30" s="15"/>
      <c r="V30" s="9"/>
      <c r="W30" s="15"/>
      <c r="X30" s="9"/>
      <c r="Y30" s="15"/>
      <c r="Z30" s="9"/>
      <c r="AA30" s="15"/>
      <c r="AB30" s="11"/>
      <c r="AC30" s="13"/>
      <c r="AD30" s="9"/>
      <c r="AE30" s="15"/>
      <c r="AF30" s="9"/>
      <c r="AG30" s="15"/>
      <c r="AH30" s="9"/>
      <c r="AI30" s="15"/>
      <c r="AJ30" s="72"/>
      <c r="AK30" s="15"/>
      <c r="AL30" s="9"/>
      <c r="AM30" s="15"/>
      <c r="AN30" s="9">
        <v>175</v>
      </c>
      <c r="AO30" s="15" t="s">
        <v>7298</v>
      </c>
      <c r="AP30" s="9">
        <v>1169</v>
      </c>
      <c r="AQ30" s="15" t="s">
        <v>7362</v>
      </c>
      <c r="AR30" s="9"/>
      <c r="AS30" s="15"/>
      <c r="AT30" s="9">
        <v>1169</v>
      </c>
      <c r="AU30" s="15" t="s">
        <v>7502</v>
      </c>
      <c r="AV30" s="9"/>
      <c r="AW30" s="15"/>
      <c r="AX30" s="9"/>
      <c r="AY30" s="15"/>
      <c r="AZ30" s="9"/>
      <c r="BA30" s="15"/>
      <c r="BB30" s="11">
        <v>1169</v>
      </c>
      <c r="BC30" s="13" t="s">
        <v>7660</v>
      </c>
      <c r="BD30" s="9"/>
      <c r="BE30" s="15"/>
      <c r="BF30" s="9"/>
      <c r="BG30" s="15"/>
      <c r="BH30" s="9">
        <v>1000</v>
      </c>
      <c r="BI30" s="15" t="s">
        <v>7828</v>
      </c>
      <c r="BJ30" s="9"/>
      <c r="BK30" s="15"/>
      <c r="BL30" s="9"/>
      <c r="BM30" s="15"/>
      <c r="BN30" s="9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  <c r="CO30" s="15"/>
      <c r="CP30" s="9"/>
    </row>
    <row r="31" spans="1:94" x14ac:dyDescent="0.25">
      <c r="A31" s="43"/>
      <c r="B31" s="10"/>
      <c r="C31" s="12"/>
      <c r="D31" s="10"/>
      <c r="E31" s="12"/>
      <c r="F31" s="10"/>
      <c r="G31" s="12"/>
      <c r="H31" s="9"/>
      <c r="I31" s="15"/>
      <c r="J31" s="11"/>
      <c r="K31" s="12"/>
      <c r="L31" s="10"/>
      <c r="M31" s="12"/>
      <c r="N31" s="10"/>
      <c r="O31" s="12"/>
      <c r="P31" s="9"/>
      <c r="Q31" s="15"/>
      <c r="R31" s="7"/>
      <c r="S31" s="26"/>
      <c r="T31" s="11"/>
      <c r="U31" s="12"/>
      <c r="V31" s="10"/>
      <c r="W31" s="12"/>
      <c r="X31" s="10"/>
      <c r="Y31" s="12"/>
      <c r="Z31" s="11"/>
      <c r="AA31" s="12"/>
      <c r="AB31" s="10"/>
      <c r="AC31" s="12"/>
      <c r="AD31" s="10"/>
      <c r="AE31" s="12"/>
      <c r="AF31" s="10"/>
      <c r="AG31" s="12"/>
      <c r="AH31" s="10"/>
      <c r="AI31" s="12"/>
      <c r="AJ31" s="87"/>
      <c r="AK31" s="12"/>
      <c r="AL31" s="10"/>
      <c r="AM31" s="12"/>
      <c r="AN31" s="10">
        <v>2040</v>
      </c>
      <c r="AO31" s="12" t="s">
        <v>7301</v>
      </c>
      <c r="AP31" s="10">
        <v>1169</v>
      </c>
      <c r="AQ31" s="12" t="s">
        <v>7364</v>
      </c>
      <c r="AR31" s="10"/>
      <c r="AS31" s="12"/>
      <c r="AT31" s="10">
        <v>1375.71</v>
      </c>
      <c r="AU31" s="12" t="s">
        <v>7503</v>
      </c>
      <c r="AV31" s="10"/>
      <c r="AW31" s="12"/>
      <c r="AX31" s="10"/>
      <c r="AY31" s="12"/>
      <c r="AZ31" s="10"/>
      <c r="BA31" s="12"/>
      <c r="BB31" s="9">
        <v>2040</v>
      </c>
      <c r="BC31" s="15" t="s">
        <v>7661</v>
      </c>
      <c r="BD31" s="10"/>
      <c r="BE31" s="12"/>
      <c r="BF31" s="10"/>
      <c r="BG31" s="12"/>
      <c r="BH31" s="10">
        <v>2040</v>
      </c>
      <c r="BI31" s="12" t="s">
        <v>7832</v>
      </c>
      <c r="BJ31" s="11"/>
      <c r="BK31" s="13"/>
      <c r="BL31" s="11"/>
      <c r="BM31" s="13"/>
      <c r="BN31" s="11"/>
      <c r="BO31" s="13"/>
      <c r="BP31" s="11"/>
      <c r="BQ31" s="13"/>
      <c r="BR31" s="11"/>
      <c r="BS31" s="13"/>
      <c r="BT31" s="11"/>
      <c r="BU31" s="13"/>
      <c r="BV31" s="11"/>
      <c r="BW31" s="13"/>
      <c r="BX31" s="11"/>
      <c r="BY31" s="13"/>
      <c r="BZ31" s="11"/>
      <c r="CA31" s="13"/>
      <c r="CB31" s="11"/>
      <c r="CC31" s="13"/>
      <c r="CD31" s="11"/>
      <c r="CE31" s="13"/>
      <c r="CF31" s="11"/>
      <c r="CG31" s="13"/>
      <c r="CH31" s="11"/>
      <c r="CI31" s="13"/>
      <c r="CJ31" s="11"/>
      <c r="CK31" s="13"/>
      <c r="CL31" s="11"/>
      <c r="CM31" s="13"/>
      <c r="CN31" s="11"/>
      <c r="CO31" s="13"/>
      <c r="CP31" s="11"/>
    </row>
    <row r="32" spans="1:94" x14ac:dyDescent="0.25">
      <c r="A32" s="41"/>
      <c r="B32" s="7"/>
      <c r="C32" s="26"/>
      <c r="D32" s="7"/>
      <c r="E32" s="26"/>
      <c r="F32" s="7"/>
      <c r="G32" s="26"/>
      <c r="H32" s="9"/>
      <c r="I32" s="15"/>
      <c r="J32" s="9"/>
      <c r="K32" s="26"/>
      <c r="L32" s="7"/>
      <c r="M32" s="26"/>
      <c r="N32" s="7"/>
      <c r="O32" s="26"/>
      <c r="P32" s="7"/>
      <c r="Q32" s="26"/>
      <c r="R32" s="7"/>
      <c r="S32" s="26"/>
      <c r="T32" s="9"/>
      <c r="U32" s="26"/>
      <c r="V32" s="7"/>
      <c r="W32" s="26"/>
      <c r="X32" s="7"/>
      <c r="Y32" s="26"/>
      <c r="Z32" s="9"/>
      <c r="AA32" s="26"/>
      <c r="AB32" s="7"/>
      <c r="AC32" s="26"/>
      <c r="AD32" s="7"/>
      <c r="AE32" s="26"/>
      <c r="AF32" s="7"/>
      <c r="AG32" s="26"/>
      <c r="AH32" s="7"/>
      <c r="AI32" s="26"/>
      <c r="AJ32" s="7"/>
      <c r="AK32" s="26"/>
      <c r="AL32" s="9"/>
      <c r="AM32" s="15"/>
      <c r="AN32" s="7">
        <v>1168.99</v>
      </c>
      <c r="AO32" s="26" t="s">
        <v>7302</v>
      </c>
      <c r="AP32" s="7">
        <v>78.849999999999994</v>
      </c>
      <c r="AQ32" s="26" t="s">
        <v>7368</v>
      </c>
      <c r="AR32" s="7"/>
      <c r="AS32" s="26"/>
      <c r="AT32" s="7">
        <v>1118.76</v>
      </c>
      <c r="AU32" s="26" t="s">
        <v>7504</v>
      </c>
      <c r="AV32" s="7"/>
      <c r="AW32" s="26"/>
      <c r="AX32" s="7"/>
      <c r="AY32" s="26"/>
      <c r="AZ32" s="7"/>
      <c r="BA32" s="26"/>
      <c r="BB32" s="9"/>
      <c r="BC32" s="15"/>
      <c r="BD32" s="7"/>
      <c r="BE32" s="26"/>
      <c r="BF32" s="7"/>
      <c r="BG32" s="26"/>
      <c r="BH32" s="7">
        <v>1168.99</v>
      </c>
      <c r="BI32" s="26" t="s">
        <v>7833</v>
      </c>
      <c r="BJ32" s="9"/>
      <c r="BK32" s="15"/>
      <c r="BL32" s="9"/>
      <c r="BM32" s="15"/>
      <c r="BN32" s="9"/>
      <c r="BO32" s="15"/>
      <c r="BP32" s="9"/>
      <c r="BQ32" s="15"/>
      <c r="BR32" s="9"/>
      <c r="BS32" s="15"/>
      <c r="BT32" s="9"/>
      <c r="BU32" s="15"/>
      <c r="BV32" s="9"/>
      <c r="BW32" s="15"/>
      <c r="BX32" s="9"/>
      <c r="BY32" s="15"/>
      <c r="BZ32" s="9"/>
      <c r="CA32" s="15"/>
      <c r="CB32" s="9"/>
      <c r="CC32" s="15"/>
      <c r="CD32" s="9"/>
      <c r="CE32" s="15"/>
      <c r="CF32" s="9"/>
      <c r="CG32" s="15"/>
      <c r="CH32" s="9"/>
      <c r="CI32" s="15"/>
      <c r="CJ32" s="9"/>
      <c r="CK32" s="15"/>
      <c r="CL32" s="9"/>
      <c r="CM32" s="15"/>
      <c r="CN32" s="9"/>
      <c r="CO32" s="15"/>
      <c r="CP32" s="9"/>
    </row>
    <row r="33" spans="1:94" x14ac:dyDescent="0.25">
      <c r="A33" s="41"/>
      <c r="B33" s="7"/>
      <c r="C33" s="26"/>
      <c r="D33" s="7"/>
      <c r="E33" s="26"/>
      <c r="F33" s="7"/>
      <c r="G33" s="26"/>
      <c r="H33" s="9"/>
      <c r="I33" s="15"/>
      <c r="J33" s="9"/>
      <c r="K33" s="26"/>
      <c r="L33" s="7"/>
      <c r="M33" s="26"/>
      <c r="N33" s="7"/>
      <c r="O33" s="26"/>
      <c r="P33" s="7"/>
      <c r="Q33" s="26"/>
      <c r="R33" s="7"/>
      <c r="S33" s="26"/>
      <c r="T33" s="9"/>
      <c r="U33" s="26"/>
      <c r="V33" s="7"/>
      <c r="W33" s="26"/>
      <c r="X33" s="7"/>
      <c r="Y33" s="26"/>
      <c r="Z33" s="9"/>
      <c r="AA33" s="26"/>
      <c r="AB33" s="7"/>
      <c r="AC33" s="26"/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>
        <v>352.04</v>
      </c>
      <c r="AQ33" s="26" t="s">
        <v>7369</v>
      </c>
      <c r="AR33" s="7"/>
      <c r="AS33" s="26"/>
      <c r="AT33" s="7"/>
      <c r="AU33" s="26"/>
      <c r="AV33" s="7"/>
      <c r="AW33" s="26"/>
      <c r="AX33" s="7"/>
      <c r="AY33" s="26"/>
      <c r="AZ33" s="7"/>
      <c r="BA33" s="26"/>
      <c r="BB33" s="9"/>
      <c r="BC33" s="15"/>
      <c r="BD33" s="7"/>
      <c r="BE33" s="26"/>
      <c r="BF33" s="7"/>
      <c r="BG33" s="26"/>
      <c r="BH33" s="7">
        <v>1168.99</v>
      </c>
      <c r="BI33" s="26" t="s">
        <v>7834</v>
      </c>
      <c r="BJ33" s="9"/>
      <c r="BK33" s="15"/>
      <c r="BL33" s="9"/>
      <c r="BM33" s="15"/>
      <c r="BN33" s="9"/>
      <c r="BO33" s="15"/>
      <c r="BP33" s="9"/>
      <c r="BQ33" s="15"/>
      <c r="BR33" s="9"/>
      <c r="BS33" s="15"/>
      <c r="BT33" s="9"/>
      <c r="BU33" s="15"/>
      <c r="BV33" s="9"/>
      <c r="BW33" s="15"/>
      <c r="BX33" s="9"/>
      <c r="BY33" s="15"/>
      <c r="BZ33" s="9"/>
      <c r="CA33" s="15"/>
      <c r="CB33" s="9"/>
      <c r="CC33" s="15"/>
      <c r="CD33" s="9"/>
      <c r="CE33" s="15"/>
      <c r="CF33" s="9"/>
      <c r="CG33" s="15"/>
      <c r="CH33" s="9"/>
      <c r="CI33" s="15"/>
      <c r="CJ33" s="9"/>
      <c r="CK33" s="15"/>
      <c r="CL33" s="9"/>
      <c r="CM33" s="15"/>
      <c r="CN33" s="9"/>
      <c r="CO33" s="15"/>
      <c r="CP33" s="9"/>
    </row>
    <row r="34" spans="1:94" x14ac:dyDescent="0.25">
      <c r="A34" s="41"/>
      <c r="B34" s="7"/>
      <c r="C34" s="26"/>
      <c r="D34" s="7"/>
      <c r="E34" s="26"/>
      <c r="F34" s="7"/>
      <c r="G34" s="26"/>
      <c r="H34" s="9"/>
      <c r="I34" s="15"/>
      <c r="J34" s="9"/>
      <c r="K34" s="26"/>
      <c r="L34" s="7"/>
      <c r="M34" s="26"/>
      <c r="N34" s="7"/>
      <c r="O34" s="26"/>
      <c r="P34" s="7"/>
      <c r="Q34" s="26"/>
      <c r="R34" s="7"/>
      <c r="S34" s="26"/>
      <c r="T34" s="9"/>
      <c r="U34" s="26"/>
      <c r="V34" s="7"/>
      <c r="W34" s="26"/>
      <c r="X34" s="7"/>
      <c r="Y34" s="26"/>
      <c r="Z34" s="9"/>
      <c r="AA34" s="26"/>
      <c r="AB34" s="7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>
        <v>558.48</v>
      </c>
      <c r="AQ34" s="26" t="s">
        <v>7370</v>
      </c>
      <c r="AR34" s="7"/>
      <c r="AS34" s="26"/>
      <c r="AT34" s="7"/>
      <c r="AU34" s="26"/>
      <c r="AV34" s="7"/>
      <c r="AW34" s="26"/>
      <c r="AX34" s="7"/>
      <c r="AY34" s="26"/>
      <c r="AZ34" s="7"/>
      <c r="BA34" s="26"/>
      <c r="BB34" s="9"/>
      <c r="BC34" s="15"/>
      <c r="BD34" s="7"/>
      <c r="BE34" s="26"/>
      <c r="BF34" s="7"/>
      <c r="BG34" s="26"/>
      <c r="BH34" s="7">
        <v>1099.02</v>
      </c>
      <c r="BI34" s="26" t="s">
        <v>7835</v>
      </c>
      <c r="BJ34" s="9"/>
      <c r="BK34" s="15"/>
      <c r="BL34" s="9"/>
      <c r="BM34" s="15"/>
      <c r="BN34" s="9"/>
      <c r="BO34" s="15"/>
      <c r="BP34" s="9"/>
      <c r="BQ34" s="15"/>
      <c r="BR34" s="9"/>
      <c r="BS34" s="15"/>
      <c r="BT34" s="9"/>
      <c r="BU34" s="15"/>
      <c r="BV34" s="9"/>
      <c r="BW34" s="15"/>
      <c r="BX34" s="9"/>
      <c r="BY34" s="15"/>
      <c r="BZ34" s="9"/>
      <c r="CA34" s="15"/>
      <c r="CB34" s="9"/>
      <c r="CC34" s="15"/>
      <c r="CD34" s="9"/>
      <c r="CE34" s="15"/>
      <c r="CF34" s="9"/>
      <c r="CG34" s="15"/>
      <c r="CH34" s="9"/>
      <c r="CI34" s="15"/>
      <c r="CJ34" s="9"/>
      <c r="CK34" s="15"/>
      <c r="CL34" s="9"/>
      <c r="CM34" s="15"/>
      <c r="CN34" s="9"/>
      <c r="CO34" s="15"/>
      <c r="CP34" s="9"/>
    </row>
    <row r="35" spans="1:94" x14ac:dyDescent="0.25">
      <c r="A35" s="41"/>
      <c r="B35" s="7"/>
      <c r="C35" s="26"/>
      <c r="D35" s="7"/>
      <c r="E35" s="26"/>
      <c r="F35" s="7"/>
      <c r="G35" s="26"/>
      <c r="H35" s="9"/>
      <c r="I35" s="15"/>
      <c r="J35" s="9"/>
      <c r="K35" s="26"/>
      <c r="L35" s="7"/>
      <c r="M35" s="26"/>
      <c r="N35" s="7"/>
      <c r="O35" s="26"/>
      <c r="P35" s="7"/>
      <c r="Q35" s="26"/>
      <c r="R35" s="7"/>
      <c r="S35" s="26"/>
      <c r="T35" s="9"/>
      <c r="U35" s="26"/>
      <c r="V35" s="7"/>
      <c r="W35" s="26"/>
      <c r="X35" s="7"/>
      <c r="Y35" s="26"/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>
        <v>300</v>
      </c>
      <c r="AQ35" s="26" t="s">
        <v>7371</v>
      </c>
      <c r="AR35" s="7"/>
      <c r="AS35" s="26"/>
      <c r="AT35" s="7"/>
      <c r="AU35" s="26"/>
      <c r="AV35" s="7"/>
      <c r="AW35" s="26"/>
      <c r="AX35" s="7"/>
      <c r="AY35" s="26"/>
      <c r="AZ35" s="7"/>
      <c r="BA35" s="26"/>
      <c r="BB35" s="9"/>
      <c r="BC35" s="15"/>
      <c r="BD35" s="7"/>
      <c r="BE35" s="26"/>
      <c r="BF35" s="7"/>
      <c r="BG35" s="26"/>
      <c r="BH35" s="7">
        <v>1200</v>
      </c>
      <c r="BI35" s="26" t="s">
        <v>7840</v>
      </c>
      <c r="BJ35" s="9"/>
      <c r="BK35" s="15"/>
      <c r="BL35" s="9"/>
      <c r="BM35" s="15"/>
      <c r="BN35" s="9"/>
      <c r="BO35" s="15"/>
      <c r="BP35" s="9"/>
      <c r="BQ35" s="15"/>
      <c r="BR35" s="9"/>
      <c r="BS35" s="15"/>
      <c r="BT35" s="9"/>
      <c r="BU35" s="15"/>
      <c r="BV35" s="9"/>
      <c r="BW35" s="15"/>
      <c r="BX35" s="9"/>
      <c r="BY35" s="15"/>
      <c r="BZ35" s="9"/>
      <c r="CA35" s="15"/>
      <c r="CB35" s="9"/>
      <c r="CC35" s="15"/>
      <c r="CD35" s="9"/>
      <c r="CE35" s="15"/>
      <c r="CF35" s="9"/>
      <c r="CG35" s="15"/>
      <c r="CH35" s="9"/>
      <c r="CI35" s="15"/>
      <c r="CJ35" s="9"/>
      <c r="CK35" s="15"/>
      <c r="CL35" s="9"/>
      <c r="CM35" s="15"/>
      <c r="CN35" s="9"/>
      <c r="CO35" s="15"/>
      <c r="CP35" s="9"/>
    </row>
    <row r="36" spans="1:94" x14ac:dyDescent="0.25">
      <c r="A36" s="41"/>
      <c r="B36" s="7"/>
      <c r="C36" s="26"/>
      <c r="D36" s="7"/>
      <c r="E36" s="26"/>
      <c r="F36" s="7"/>
      <c r="G36" s="26"/>
      <c r="H36" s="9"/>
      <c r="I36" s="15"/>
      <c r="J36" s="9"/>
      <c r="K36" s="26"/>
      <c r="L36" s="7"/>
      <c r="M36" s="26"/>
      <c r="N36" s="7"/>
      <c r="O36" s="26"/>
      <c r="P36" s="7"/>
      <c r="Q36" s="26"/>
      <c r="R36" s="7"/>
      <c r="S36" s="26"/>
      <c r="T36" s="9"/>
      <c r="U36" s="26"/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>
        <v>150</v>
      </c>
      <c r="AQ36" s="26" t="s">
        <v>7372</v>
      </c>
      <c r="AR36" s="7"/>
      <c r="AS36" s="26"/>
      <c r="AT36" s="7"/>
      <c r="AU36" s="26"/>
      <c r="AV36" s="7"/>
      <c r="AW36" s="26"/>
      <c r="AX36" s="7"/>
      <c r="AY36" s="26"/>
      <c r="AZ36" s="7"/>
      <c r="BA36" s="26"/>
      <c r="BB36" s="9"/>
      <c r="BC36" s="15"/>
      <c r="BD36" s="7"/>
      <c r="BE36" s="26"/>
      <c r="BF36" s="7"/>
      <c r="BG36" s="26"/>
      <c r="BH36" s="7">
        <v>1169</v>
      </c>
      <c r="BI36" s="26" t="s">
        <v>7840</v>
      </c>
      <c r="BJ36" s="9"/>
      <c r="BK36" s="15"/>
      <c r="BL36" s="9"/>
      <c r="BM36" s="15"/>
      <c r="BN36" s="9"/>
      <c r="BO36" s="15"/>
      <c r="BP36" s="9"/>
      <c r="BQ36" s="15"/>
      <c r="BR36" s="9"/>
      <c r="BS36" s="15"/>
      <c r="BT36" s="9"/>
      <c r="BU36" s="15"/>
      <c r="BV36" s="9"/>
      <c r="BW36" s="15"/>
      <c r="BX36" s="9"/>
      <c r="BY36" s="15"/>
      <c r="BZ36" s="9"/>
      <c r="CA36" s="15"/>
      <c r="CB36" s="9"/>
      <c r="CC36" s="15"/>
      <c r="CD36" s="9"/>
      <c r="CE36" s="15"/>
      <c r="CF36" s="9"/>
      <c r="CG36" s="15"/>
      <c r="CH36" s="9"/>
      <c r="CI36" s="15"/>
      <c r="CJ36" s="9"/>
      <c r="CK36" s="15"/>
      <c r="CL36" s="9"/>
      <c r="CM36" s="15"/>
      <c r="CN36" s="9"/>
      <c r="CO36" s="15"/>
      <c r="CP36" s="9"/>
    </row>
    <row r="37" spans="1:94" x14ac:dyDescent="0.25">
      <c r="A37" s="41"/>
      <c r="B37" s="7"/>
      <c r="C37" s="26"/>
      <c r="D37" s="7"/>
      <c r="E37" s="26"/>
      <c r="F37" s="7"/>
      <c r="G37" s="26"/>
      <c r="H37" s="72"/>
      <c r="I37" s="24"/>
      <c r="J37" s="9"/>
      <c r="K37" s="26"/>
      <c r="L37" s="7"/>
      <c r="M37" s="26"/>
      <c r="N37" s="7"/>
      <c r="O37" s="26"/>
      <c r="P37" s="7"/>
      <c r="Q37" s="26"/>
      <c r="R37" s="7"/>
      <c r="S37" s="26"/>
      <c r="T37" s="9"/>
      <c r="U37" s="26"/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>
        <f>7365.17-5000</f>
        <v>2365.17</v>
      </c>
      <c r="AQ37" s="26" t="s">
        <v>7376</v>
      </c>
      <c r="AR37" s="7"/>
      <c r="AS37" s="26"/>
      <c r="AT37" s="7"/>
      <c r="AU37" s="26"/>
      <c r="AV37" s="7"/>
      <c r="AW37" s="26"/>
      <c r="AX37" s="7"/>
      <c r="AY37" s="26"/>
      <c r="AZ37" s="7"/>
      <c r="BA37" s="26"/>
      <c r="BB37" s="9"/>
      <c r="BC37" s="15"/>
      <c r="BD37" s="7"/>
      <c r="BE37" s="26"/>
      <c r="BF37" s="7"/>
      <c r="BG37" s="26"/>
      <c r="BH37" s="7">
        <v>1168.99</v>
      </c>
      <c r="BI37" s="26" t="s">
        <v>7843</v>
      </c>
      <c r="BJ37" s="9"/>
      <c r="BK37" s="15"/>
      <c r="BL37" s="9"/>
      <c r="BM37" s="15"/>
      <c r="BN37" s="9"/>
      <c r="BO37" s="15"/>
      <c r="BP37" s="9"/>
      <c r="BQ37" s="15"/>
      <c r="BR37" s="9"/>
      <c r="BS37" s="15"/>
      <c r="BT37" s="9"/>
      <c r="BU37" s="15"/>
      <c r="BV37" s="9"/>
      <c r="BW37" s="15"/>
      <c r="BX37" s="9"/>
      <c r="BY37" s="15"/>
      <c r="BZ37" s="9"/>
      <c r="CA37" s="15"/>
      <c r="CB37" s="9"/>
      <c r="CC37" s="15"/>
      <c r="CD37" s="9"/>
      <c r="CE37" s="15"/>
      <c r="CF37" s="9"/>
      <c r="CG37" s="15"/>
      <c r="CH37" s="9"/>
      <c r="CI37" s="15"/>
      <c r="CJ37" s="9"/>
      <c r="CK37" s="15"/>
      <c r="CL37" s="9"/>
      <c r="CM37" s="15"/>
      <c r="CN37" s="9"/>
      <c r="CO37" s="15"/>
      <c r="CP37" s="9"/>
    </row>
    <row r="38" spans="1:94" x14ac:dyDescent="0.25">
      <c r="A38" s="41"/>
      <c r="B38" s="7"/>
      <c r="C38" s="26"/>
      <c r="D38" s="7"/>
      <c r="E38" s="26"/>
      <c r="F38" s="7"/>
      <c r="G38" s="26"/>
      <c r="H38" s="9"/>
      <c r="I38" s="15"/>
      <c r="J38" s="9"/>
      <c r="K38" s="26"/>
      <c r="L38" s="7"/>
      <c r="M38" s="26"/>
      <c r="N38" s="7"/>
      <c r="O38" s="26"/>
      <c r="P38" s="7"/>
      <c r="Q38" s="26"/>
      <c r="R38" s="7"/>
      <c r="S38" s="26"/>
      <c r="T38" s="9"/>
      <c r="U38" s="26"/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7"/>
      <c r="BA38" s="26"/>
      <c r="BB38" s="9"/>
      <c r="BC38" s="15"/>
      <c r="BD38" s="7"/>
      <c r="BE38" s="26"/>
      <c r="BF38" s="7"/>
      <c r="BG38" s="26"/>
      <c r="BH38" s="7">
        <f>533.99-232</f>
        <v>301.99</v>
      </c>
      <c r="BI38" s="26" t="s">
        <v>7844</v>
      </c>
      <c r="BJ38" s="9"/>
      <c r="BK38" s="15"/>
      <c r="BL38" s="9"/>
      <c r="BM38" s="15"/>
      <c r="BN38" s="9"/>
      <c r="BO38" s="15"/>
      <c r="BP38" s="9"/>
      <c r="BQ38" s="15"/>
      <c r="BR38" s="9"/>
      <c r="BS38" s="15"/>
      <c r="BT38" s="9"/>
      <c r="BU38" s="15"/>
      <c r="BV38" s="9"/>
      <c r="BW38" s="15"/>
      <c r="BX38" s="9"/>
      <c r="BY38" s="15"/>
      <c r="BZ38" s="9"/>
      <c r="CA38" s="15"/>
      <c r="CB38" s="9"/>
      <c r="CC38" s="15"/>
      <c r="CD38" s="9"/>
      <c r="CE38" s="15"/>
      <c r="CF38" s="9"/>
      <c r="CG38" s="15"/>
      <c r="CH38" s="9"/>
      <c r="CI38" s="15"/>
      <c r="CJ38" s="9"/>
      <c r="CK38" s="15"/>
      <c r="CL38" s="9"/>
      <c r="CM38" s="15"/>
      <c r="CN38" s="9"/>
      <c r="CO38" s="15"/>
      <c r="CP38" s="9"/>
    </row>
    <row r="39" spans="1:94" x14ac:dyDescent="0.25">
      <c r="A39" s="41"/>
      <c r="B39" s="7"/>
      <c r="C39" s="26"/>
      <c r="D39" s="7"/>
      <c r="E39" s="26"/>
      <c r="F39" s="7"/>
      <c r="G39" s="26"/>
      <c r="H39" s="9"/>
      <c r="I39" s="15"/>
      <c r="J39" s="9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7"/>
      <c r="BA39" s="26"/>
      <c r="BB39" s="9"/>
      <c r="BC39" s="15"/>
      <c r="BD39" s="7"/>
      <c r="BE39" s="26"/>
      <c r="BF39" s="7"/>
      <c r="BG39" s="26"/>
      <c r="BH39" s="7">
        <v>1099</v>
      </c>
      <c r="BI39" s="26" t="s">
        <v>7846</v>
      </c>
      <c r="BJ39" s="9"/>
      <c r="BK39" s="15"/>
      <c r="BL39" s="9"/>
      <c r="BM39" s="15"/>
      <c r="BN39" s="9"/>
      <c r="BO39" s="15"/>
      <c r="BP39" s="9"/>
      <c r="BQ39" s="15"/>
      <c r="BR39" s="9"/>
      <c r="BS39" s="15"/>
      <c r="BT39" s="9"/>
      <c r="BU39" s="15"/>
      <c r="BV39" s="9"/>
      <c r="BW39" s="15"/>
      <c r="BX39" s="9"/>
      <c r="BY39" s="15"/>
      <c r="BZ39" s="9"/>
      <c r="CA39" s="15"/>
      <c r="CB39" s="9"/>
      <c r="CC39" s="15"/>
      <c r="CD39" s="9"/>
      <c r="CE39" s="15"/>
      <c r="CF39" s="9"/>
      <c r="CG39" s="15"/>
      <c r="CH39" s="9"/>
      <c r="CI39" s="15"/>
      <c r="CJ39" s="9"/>
      <c r="CK39" s="15"/>
      <c r="CL39" s="9"/>
      <c r="CM39" s="15"/>
      <c r="CN39" s="9"/>
      <c r="CO39" s="15"/>
      <c r="CP39" s="9"/>
    </row>
    <row r="40" spans="1:94" x14ac:dyDescent="0.25">
      <c r="A40" s="41"/>
      <c r="B40" s="7"/>
      <c r="C40" s="26"/>
      <c r="D40" s="7"/>
      <c r="E40" s="26"/>
      <c r="F40" s="7"/>
      <c r="G40" s="26"/>
      <c r="H40" s="9"/>
      <c r="I40" s="15"/>
      <c r="J40" s="9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7"/>
      <c r="BA40" s="26"/>
      <c r="BB40" s="9"/>
      <c r="BC40" s="15"/>
      <c r="BD40" s="7"/>
      <c r="BE40" s="26"/>
      <c r="BF40" s="7"/>
      <c r="BG40" s="26"/>
      <c r="BH40" s="7">
        <v>1099.01</v>
      </c>
      <c r="BI40" s="26" t="s">
        <v>7847</v>
      </c>
      <c r="BJ40" s="9"/>
      <c r="BK40" s="15"/>
      <c r="BL40" s="9"/>
      <c r="BM40" s="15"/>
      <c r="BN40" s="9"/>
      <c r="BO40" s="15"/>
      <c r="BP40" s="9"/>
      <c r="BQ40" s="15"/>
      <c r="BR40" s="9"/>
      <c r="BS40" s="15"/>
      <c r="BT40" s="9"/>
      <c r="BU40" s="15"/>
      <c r="BV40" s="9"/>
      <c r="BW40" s="15"/>
      <c r="BX40" s="9"/>
      <c r="BY40" s="15"/>
      <c r="BZ40" s="9"/>
      <c r="CA40" s="15"/>
      <c r="CB40" s="9"/>
      <c r="CC40" s="15"/>
      <c r="CD40" s="9"/>
      <c r="CE40" s="15"/>
      <c r="CF40" s="9"/>
      <c r="CG40" s="15"/>
      <c r="CH40" s="9"/>
      <c r="CI40" s="15"/>
      <c r="CJ40" s="9"/>
      <c r="CK40" s="15"/>
      <c r="CL40" s="9"/>
      <c r="CM40" s="15"/>
      <c r="CN40" s="9"/>
      <c r="CO40" s="15"/>
      <c r="CP40" s="9"/>
    </row>
    <row r="41" spans="1:94" x14ac:dyDescent="0.25">
      <c r="A41" s="41"/>
      <c r="B41" s="7"/>
      <c r="C41" s="26"/>
      <c r="D41" s="7"/>
      <c r="E41" s="26"/>
      <c r="F41" s="7"/>
      <c r="G41" s="26"/>
      <c r="H41" s="9"/>
      <c r="I41" s="15"/>
      <c r="J41" s="9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7"/>
      <c r="AE41" s="26"/>
      <c r="AF41" s="19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7"/>
      <c r="BA41" s="26"/>
      <c r="BB41" s="9"/>
      <c r="BC41" s="15"/>
      <c r="BD41" s="7"/>
      <c r="BE41" s="26"/>
      <c r="BF41" s="7"/>
      <c r="BG41" s="26"/>
      <c r="BH41" s="7">
        <v>1168.99</v>
      </c>
      <c r="BI41" s="26" t="s">
        <v>7848</v>
      </c>
      <c r="BJ41" s="9"/>
      <c r="BK41" s="15"/>
      <c r="BL41" s="9"/>
      <c r="BM41" s="15"/>
      <c r="BN41" s="9"/>
      <c r="BO41" s="15"/>
      <c r="BP41" s="9"/>
      <c r="BQ41" s="15"/>
      <c r="BR41" s="9"/>
      <c r="BS41" s="15"/>
      <c r="BT41" s="9"/>
      <c r="BU41" s="15"/>
      <c r="BV41" s="9"/>
      <c r="BW41" s="15"/>
      <c r="BX41" s="9"/>
      <c r="BY41" s="15"/>
      <c r="BZ41" s="9"/>
      <c r="CA41" s="15"/>
      <c r="CB41" s="9"/>
      <c r="CC41" s="15"/>
      <c r="CD41" s="9"/>
      <c r="CE41" s="15"/>
      <c r="CF41" s="9"/>
      <c r="CG41" s="15"/>
      <c r="CH41" s="9"/>
      <c r="CI41" s="15"/>
      <c r="CJ41" s="9"/>
      <c r="CK41" s="15"/>
      <c r="CL41" s="9"/>
      <c r="CM41" s="15"/>
      <c r="CN41" s="9"/>
      <c r="CO41" s="15"/>
      <c r="CP41" s="9"/>
    </row>
    <row r="42" spans="1:94" x14ac:dyDescent="0.25">
      <c r="A42" s="41"/>
      <c r="B42" s="7"/>
      <c r="C42" s="26"/>
      <c r="D42" s="7"/>
      <c r="E42" s="26"/>
      <c r="F42" s="7"/>
      <c r="G42" s="26"/>
      <c r="H42" s="9"/>
      <c r="I42" s="15"/>
      <c r="J42" s="9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7"/>
      <c r="BA42" s="26"/>
      <c r="BB42" s="9"/>
      <c r="BC42" s="15"/>
      <c r="BD42" s="7"/>
      <c r="BE42" s="26"/>
      <c r="BF42" s="7"/>
      <c r="BG42" s="26"/>
      <c r="BH42" s="7">
        <v>696</v>
      </c>
      <c r="BI42" s="26" t="s">
        <v>7850</v>
      </c>
      <c r="BJ42" s="9"/>
      <c r="BK42" s="15"/>
      <c r="BL42" s="9"/>
      <c r="BM42" s="15"/>
      <c r="BN42" s="9"/>
      <c r="BO42" s="15"/>
      <c r="BP42" s="9"/>
      <c r="BQ42" s="15"/>
      <c r="BR42" s="9"/>
      <c r="BS42" s="15"/>
      <c r="BT42" s="9"/>
      <c r="BU42" s="15"/>
      <c r="BV42" s="9"/>
      <c r="BW42" s="15"/>
      <c r="BX42" s="9"/>
      <c r="BY42" s="15"/>
      <c r="BZ42" s="9"/>
      <c r="CA42" s="15"/>
      <c r="CB42" s="9"/>
      <c r="CC42" s="15"/>
      <c r="CD42" s="9"/>
      <c r="CE42" s="15"/>
      <c r="CF42" s="9"/>
      <c r="CG42" s="15"/>
      <c r="CH42" s="9"/>
      <c r="CI42" s="15"/>
      <c r="CJ42" s="9"/>
      <c r="CK42" s="15"/>
      <c r="CL42" s="9"/>
      <c r="CM42" s="15"/>
      <c r="CN42" s="9"/>
      <c r="CO42" s="15"/>
      <c r="CP42" s="9"/>
    </row>
    <row r="43" spans="1:94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7"/>
      <c r="BA43" s="26"/>
      <c r="BB43" s="9"/>
      <c r="BC43" s="15"/>
      <c r="BD43" s="7"/>
      <c r="BE43" s="26">
        <f>1808.9-1203.48</f>
        <v>605.42000000000007</v>
      </c>
      <c r="BF43" s="7"/>
      <c r="BG43" s="26"/>
      <c r="BH43" s="7">
        <v>2000</v>
      </c>
      <c r="BI43" s="26" t="s">
        <v>7851</v>
      </c>
      <c r="BJ43" s="9"/>
      <c r="BK43" s="15"/>
      <c r="BL43" s="9"/>
      <c r="BM43" s="15"/>
      <c r="BN43" s="9"/>
      <c r="BO43" s="15"/>
      <c r="BP43" s="9"/>
      <c r="BQ43" s="15"/>
      <c r="BR43" s="9"/>
      <c r="BS43" s="15"/>
      <c r="BT43" s="9"/>
      <c r="BU43" s="15"/>
      <c r="BV43" s="9"/>
      <c r="BW43" s="15"/>
      <c r="BX43" s="9"/>
      <c r="BY43" s="15"/>
      <c r="BZ43" s="9"/>
      <c r="CA43" s="15"/>
      <c r="CB43" s="9"/>
      <c r="CC43" s="15"/>
      <c r="CD43" s="9"/>
      <c r="CE43" s="15"/>
      <c r="CF43" s="9"/>
      <c r="CG43" s="15"/>
      <c r="CH43" s="9"/>
      <c r="CI43" s="15"/>
      <c r="CJ43" s="9"/>
      <c r="CK43" s="15"/>
      <c r="CL43" s="9"/>
      <c r="CM43" s="15"/>
      <c r="CN43" s="9"/>
      <c r="CO43" s="15"/>
      <c r="CP43" s="9"/>
    </row>
    <row r="44" spans="1:94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7"/>
      <c r="BA44" s="26"/>
      <c r="BB44" s="9"/>
      <c r="BC44" s="15"/>
      <c r="BD44" s="7"/>
      <c r="BE44" s="26"/>
      <c r="BF44" s="7"/>
      <c r="BG44" s="26"/>
      <c r="BH44" s="7">
        <v>1168.99</v>
      </c>
      <c r="BI44" s="26" t="s">
        <v>7852</v>
      </c>
      <c r="BJ44" s="9"/>
      <c r="BK44" s="15"/>
      <c r="BL44" s="9"/>
      <c r="BM44" s="15"/>
      <c r="BN44" s="9"/>
      <c r="BO44" s="15"/>
      <c r="BP44" s="9"/>
      <c r="BQ44" s="15"/>
      <c r="BR44" s="9"/>
      <c r="BS44" s="15"/>
      <c r="BT44" s="9"/>
      <c r="BU44" s="15"/>
      <c r="BV44" s="9"/>
      <c r="BW44" s="15"/>
      <c r="BX44" s="9"/>
      <c r="BY44" s="15"/>
      <c r="BZ44" s="9"/>
      <c r="CA44" s="15"/>
      <c r="CB44" s="9"/>
      <c r="CC44" s="15"/>
      <c r="CD44" s="9"/>
      <c r="CE44" s="15"/>
      <c r="CF44" s="9"/>
      <c r="CG44" s="15"/>
      <c r="CH44" s="9"/>
      <c r="CI44" s="15"/>
      <c r="CJ44" s="9"/>
      <c r="CK44" s="15"/>
      <c r="CL44" s="9"/>
      <c r="CM44" s="15"/>
      <c r="CN44" s="9"/>
      <c r="CO44" s="15"/>
      <c r="CP44" s="9"/>
    </row>
    <row r="45" spans="1:94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7"/>
      <c r="BA45" s="26"/>
      <c r="BB45" s="9"/>
      <c r="BC45" s="15"/>
      <c r="BD45" s="7"/>
      <c r="BE45" s="26"/>
      <c r="BF45" s="7"/>
      <c r="BG45" s="26"/>
      <c r="BH45" s="7">
        <v>1168.99</v>
      </c>
      <c r="BI45" s="26" t="s">
        <v>7856</v>
      </c>
      <c r="BJ45" s="9"/>
      <c r="BK45" s="15"/>
      <c r="BL45" s="9"/>
      <c r="BM45" s="15"/>
      <c r="BN45" s="9"/>
      <c r="BO45" s="15"/>
      <c r="BP45" s="9"/>
      <c r="BQ45" s="15"/>
      <c r="BR45" s="9"/>
      <c r="BS45" s="15"/>
      <c r="BT45" s="9"/>
      <c r="BU45" s="15"/>
      <c r="BV45" s="9"/>
      <c r="BW45" s="15"/>
      <c r="BX45" s="9"/>
      <c r="BY45" s="15"/>
      <c r="BZ45" s="9"/>
      <c r="CA45" s="15"/>
      <c r="CB45" s="9"/>
      <c r="CC45" s="15"/>
      <c r="CD45" s="9"/>
      <c r="CE45" s="15"/>
      <c r="CF45" s="9"/>
      <c r="CG45" s="15"/>
      <c r="CH45" s="9"/>
      <c r="CI45" s="15"/>
      <c r="CJ45" s="9"/>
      <c r="CK45" s="15"/>
      <c r="CL45" s="9"/>
      <c r="CM45" s="15"/>
      <c r="CN45" s="9"/>
      <c r="CO45" s="15"/>
      <c r="CP45" s="9"/>
    </row>
    <row r="46" spans="1:94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7"/>
      <c r="BA46" s="26"/>
      <c r="BB46" s="9"/>
      <c r="BC46" s="15"/>
      <c r="BD46" s="7"/>
      <c r="BE46" s="26"/>
      <c r="BF46" s="7"/>
      <c r="BG46" s="26"/>
      <c r="BH46" s="7">
        <v>1099.01</v>
      </c>
      <c r="BI46" s="26" t="s">
        <v>7858</v>
      </c>
      <c r="BJ46" s="9"/>
      <c r="BK46" s="15"/>
      <c r="BL46" s="9"/>
      <c r="BM46" s="15"/>
      <c r="BN46" s="9"/>
      <c r="BO46" s="15"/>
      <c r="BP46" s="9"/>
      <c r="BQ46" s="15"/>
      <c r="BR46" s="9"/>
      <c r="BS46" s="15"/>
      <c r="BT46" s="9"/>
      <c r="BU46" s="15"/>
      <c r="BV46" s="9"/>
      <c r="BW46" s="15"/>
      <c r="BX46" s="9"/>
      <c r="BY46" s="15"/>
      <c r="BZ46" s="9"/>
      <c r="CA46" s="15"/>
      <c r="CB46" s="9"/>
      <c r="CC46" s="15"/>
      <c r="CD46" s="9"/>
      <c r="CE46" s="15"/>
      <c r="CF46" s="9"/>
      <c r="CG46" s="15"/>
      <c r="CH46" s="9"/>
      <c r="CI46" s="15"/>
      <c r="CJ46" s="9"/>
      <c r="CK46" s="15"/>
      <c r="CL46" s="9"/>
      <c r="CM46" s="15"/>
      <c r="CN46" s="9"/>
      <c r="CO46" s="15"/>
      <c r="CP46" s="9"/>
    </row>
    <row r="47" spans="1:94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7"/>
      <c r="BA47" s="26"/>
      <c r="BB47" s="9"/>
      <c r="BC47" s="15"/>
      <c r="BD47" s="7"/>
      <c r="BE47" s="26"/>
      <c r="BF47" s="7"/>
      <c r="BG47" s="26"/>
      <c r="BH47" s="7">
        <v>250.53</v>
      </c>
      <c r="BI47" s="26" t="s">
        <v>7859</v>
      </c>
      <c r="BJ47" s="9"/>
      <c r="BK47" s="15"/>
      <c r="BL47" s="9"/>
      <c r="BM47" s="15"/>
      <c r="BN47" s="9"/>
      <c r="BO47" s="15"/>
      <c r="BP47" s="9"/>
      <c r="BQ47" s="15"/>
      <c r="BR47" s="9"/>
      <c r="BS47" s="15"/>
      <c r="BT47" s="9"/>
      <c r="BU47" s="15"/>
      <c r="BV47" s="9"/>
      <c r="BW47" s="15"/>
      <c r="BX47" s="9"/>
      <c r="BY47" s="15"/>
      <c r="BZ47" s="9"/>
      <c r="CA47" s="15"/>
      <c r="CB47" s="9"/>
      <c r="CC47" s="15"/>
      <c r="CD47" s="9"/>
      <c r="CE47" s="15"/>
      <c r="CF47" s="9"/>
      <c r="CG47" s="15"/>
      <c r="CH47" s="9"/>
      <c r="CI47" s="15"/>
      <c r="CJ47" s="9"/>
      <c r="CK47" s="15"/>
      <c r="CL47" s="9"/>
      <c r="CM47" s="15"/>
      <c r="CN47" s="9"/>
      <c r="CO47" s="15"/>
      <c r="CP47" s="9"/>
    </row>
    <row r="48" spans="1:94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7"/>
      <c r="BA48" s="26"/>
      <c r="BB48" s="9"/>
      <c r="BC48" s="15"/>
      <c r="BD48" s="7"/>
      <c r="BE48" s="26"/>
      <c r="BF48" s="7"/>
      <c r="BG48" s="26"/>
      <c r="BH48" s="7">
        <v>2165.33</v>
      </c>
      <c r="BI48" s="26" t="s">
        <v>7860</v>
      </c>
      <c r="BJ48" s="9"/>
      <c r="BK48" s="15"/>
      <c r="BL48" s="9"/>
      <c r="BM48" s="15"/>
      <c r="BN48" s="9"/>
      <c r="BO48" s="15"/>
      <c r="BP48" s="9"/>
      <c r="BQ48" s="15"/>
      <c r="BR48" s="9"/>
      <c r="BS48" s="15"/>
      <c r="BT48" s="9"/>
      <c r="BU48" s="15"/>
      <c r="BV48" s="9"/>
      <c r="BW48" s="15"/>
      <c r="BX48" s="9"/>
      <c r="BY48" s="15"/>
      <c r="BZ48" s="9"/>
      <c r="CA48" s="15"/>
      <c r="CB48" s="9"/>
      <c r="CC48" s="15"/>
      <c r="CD48" s="9"/>
      <c r="CE48" s="15"/>
      <c r="CF48" s="9"/>
      <c r="CG48" s="15"/>
      <c r="CH48" s="9"/>
      <c r="CI48" s="15"/>
      <c r="CJ48" s="9"/>
      <c r="CK48" s="15"/>
      <c r="CL48" s="9"/>
      <c r="CM48" s="15"/>
      <c r="CN48" s="9"/>
      <c r="CO48" s="15"/>
      <c r="CP48" s="9"/>
    </row>
    <row r="49" spans="1:94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7"/>
      <c r="BA49" s="26"/>
      <c r="BB49" s="9"/>
      <c r="BC49" s="15"/>
      <c r="BD49" s="7"/>
      <c r="BE49" s="26"/>
      <c r="BF49" s="7"/>
      <c r="BG49" s="26"/>
      <c r="BH49" s="7"/>
      <c r="BI49" s="26"/>
      <c r="BJ49" s="9"/>
      <c r="BK49" s="15"/>
      <c r="BL49" s="9"/>
      <c r="BM49" s="15"/>
      <c r="BN49" s="9"/>
      <c r="BO49" s="15"/>
      <c r="BP49" s="9"/>
      <c r="BQ49" s="15"/>
      <c r="BR49" s="9"/>
      <c r="BS49" s="15"/>
      <c r="BT49" s="9"/>
      <c r="BU49" s="15"/>
      <c r="BV49" s="9"/>
      <c r="BW49" s="15"/>
      <c r="BX49" s="9"/>
      <c r="BY49" s="15"/>
      <c r="BZ49" s="9"/>
      <c r="CA49" s="15"/>
      <c r="CB49" s="9"/>
      <c r="CC49" s="15"/>
      <c r="CD49" s="9"/>
      <c r="CE49" s="15"/>
      <c r="CF49" s="9"/>
      <c r="CG49" s="15"/>
      <c r="CH49" s="9"/>
      <c r="CI49" s="15"/>
      <c r="CJ49" s="9"/>
      <c r="CK49" s="15"/>
      <c r="CL49" s="9"/>
      <c r="CM49" s="15"/>
      <c r="CN49" s="9"/>
      <c r="CO49" s="15"/>
      <c r="CP49" s="9"/>
    </row>
    <row r="50" spans="1:94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7"/>
      <c r="BA50" s="26"/>
      <c r="BB50" s="9"/>
      <c r="BC50" s="15"/>
      <c r="BD50" s="7"/>
      <c r="BE50" s="26"/>
      <c r="BF50" s="7"/>
      <c r="BG50" s="26"/>
      <c r="BH50" s="7"/>
      <c r="BI50" s="26"/>
      <c r="BJ50" s="9"/>
      <c r="BK50" s="15"/>
      <c r="BL50" s="9"/>
      <c r="BM50" s="15"/>
      <c r="BN50" s="9"/>
      <c r="BO50" s="15"/>
      <c r="BP50" s="9"/>
      <c r="BQ50" s="15"/>
      <c r="BR50" s="9"/>
      <c r="BS50" s="15"/>
      <c r="BT50" s="9"/>
      <c r="BU50" s="15"/>
      <c r="BV50" s="9"/>
      <c r="BW50" s="15"/>
      <c r="BX50" s="9"/>
      <c r="BY50" s="15"/>
      <c r="BZ50" s="9"/>
      <c r="CA50" s="15"/>
      <c r="CB50" s="9"/>
      <c r="CC50" s="15"/>
      <c r="CD50" s="9"/>
      <c r="CE50" s="15"/>
      <c r="CF50" s="9"/>
      <c r="CG50" s="15"/>
      <c r="CH50" s="9"/>
      <c r="CI50" s="15"/>
      <c r="CJ50" s="9"/>
      <c r="CK50" s="15"/>
      <c r="CL50" s="9"/>
      <c r="CM50" s="15"/>
      <c r="CN50" s="9"/>
      <c r="CO50" s="15"/>
      <c r="CP50" s="9"/>
    </row>
    <row r="51" spans="1:94" x14ac:dyDescent="0.25">
      <c r="A51" s="39" t="s">
        <v>1</v>
      </c>
      <c r="B51" s="7">
        <f>+B3+B4</f>
        <v>139937.56</v>
      </c>
      <c r="C51" s="26"/>
      <c r="D51" s="7">
        <f>+D3+D4</f>
        <v>395676.11000000004</v>
      </c>
      <c r="E51" s="26"/>
      <c r="F51" s="7">
        <f>+F3+F4</f>
        <v>24877.759999999998</v>
      </c>
      <c r="G51" s="26"/>
      <c r="H51" s="7">
        <f>+H3+H4</f>
        <v>251000</v>
      </c>
      <c r="I51" s="26"/>
      <c r="J51" s="7">
        <f>+J3+J4</f>
        <v>22306.95</v>
      </c>
      <c r="K51" s="26"/>
      <c r="L51" s="7">
        <f>+L3+L4</f>
        <v>136887.47999999998</v>
      </c>
      <c r="M51" s="26"/>
      <c r="N51" s="7">
        <f>+N3+N4</f>
        <v>38962.959999999999</v>
      </c>
      <c r="O51" s="26"/>
      <c r="P51" s="7">
        <f>+P3+P4</f>
        <v>31926.5</v>
      </c>
      <c r="Q51" s="26"/>
      <c r="R51" s="7">
        <f>+R3+R4</f>
        <v>68876.649999999994</v>
      </c>
      <c r="S51" s="26"/>
      <c r="T51" s="7">
        <f>+T3+T4</f>
        <v>31863.88</v>
      </c>
      <c r="U51" s="26"/>
      <c r="V51" s="7">
        <f>+V3+V4</f>
        <v>0</v>
      </c>
      <c r="W51" s="26"/>
      <c r="X51" s="7">
        <f>+X3+X4</f>
        <v>214431.07</v>
      </c>
      <c r="Y51" s="26"/>
      <c r="Z51" s="7">
        <f>+Z3+Z4</f>
        <v>72464.930000000008</v>
      </c>
      <c r="AA51" s="26"/>
      <c r="AB51" s="7">
        <f>+AB3+AB4</f>
        <v>95738.53</v>
      </c>
      <c r="AC51" s="26"/>
      <c r="AD51" s="7">
        <f>+AD3+AD4</f>
        <v>241165.58</v>
      </c>
      <c r="AE51" s="26"/>
      <c r="AF51" s="7">
        <f>+AF3+AF4</f>
        <v>447595.54000000004</v>
      </c>
      <c r="AG51" s="26"/>
      <c r="AH51" s="7">
        <f>+AH3+AH4</f>
        <v>25043.5</v>
      </c>
      <c r="AI51" s="26"/>
      <c r="AJ51" s="7">
        <f>+AJ3+AJ4</f>
        <v>6000</v>
      </c>
      <c r="AK51" s="26"/>
      <c r="AL51" s="7">
        <f>+AL3+AL4</f>
        <v>63014.78</v>
      </c>
      <c r="AM51" s="26"/>
      <c r="AN51" s="7">
        <f>+AN3+AN4</f>
        <v>319383.19</v>
      </c>
      <c r="AO51" s="26"/>
      <c r="AP51" s="7">
        <f>+AP3+AP4</f>
        <v>711641.69</v>
      </c>
      <c r="AQ51" s="26"/>
      <c r="AR51" s="7">
        <f>+AR3+AR4</f>
        <v>388479.17</v>
      </c>
      <c r="AS51" s="26"/>
      <c r="AT51" s="7">
        <f>+AT3+AT4</f>
        <v>221470.11000000002</v>
      </c>
      <c r="AU51" s="26"/>
      <c r="AV51" s="7">
        <f>+AV3+AV4</f>
        <v>37997.94</v>
      </c>
      <c r="AW51" s="26"/>
      <c r="AX51" s="7">
        <f>+AX3+AX4</f>
        <v>50137.24</v>
      </c>
      <c r="AY51" s="26"/>
      <c r="AZ51" s="7">
        <f>+AZ3+AZ4</f>
        <v>164657.18000000002</v>
      </c>
      <c r="BA51" s="26"/>
      <c r="BB51" s="7">
        <f>+BB3+BB4</f>
        <v>195313.86000000002</v>
      </c>
      <c r="BC51" s="15"/>
      <c r="BD51" s="7">
        <f>+BD3+BD4</f>
        <v>37709.4</v>
      </c>
      <c r="BE51" s="26"/>
      <c r="BF51" s="7">
        <f>+BF3+BF4</f>
        <v>495179.97</v>
      </c>
      <c r="BG51" s="26"/>
      <c r="BH51" s="7">
        <f>+BH3+BH4</f>
        <v>272941.2</v>
      </c>
      <c r="BI51" s="26"/>
      <c r="BJ51" s="9"/>
      <c r="BK51" s="15"/>
      <c r="BL51" s="9"/>
      <c r="BM51" s="15"/>
      <c r="BN51" s="9"/>
      <c r="BO51" s="15"/>
      <c r="BP51" s="9"/>
      <c r="BQ51" s="15"/>
      <c r="BR51" s="9"/>
      <c r="BS51" s="15"/>
      <c r="BT51" s="9"/>
      <c r="BU51" s="15"/>
      <c r="BV51" s="9"/>
      <c r="BW51" s="15"/>
      <c r="BX51" s="9"/>
      <c r="BY51" s="15"/>
      <c r="BZ51" s="9"/>
      <c r="CA51" s="15"/>
      <c r="CB51" s="9"/>
      <c r="CC51" s="15"/>
      <c r="CD51" s="9"/>
      <c r="CE51" s="15"/>
      <c r="CF51" s="66"/>
      <c r="CG51" s="60"/>
      <c r="CH51" s="66"/>
      <c r="CI51" s="60"/>
      <c r="CJ51" s="66"/>
      <c r="CK51" s="60"/>
      <c r="CL51" s="66"/>
      <c r="CM51" s="60"/>
      <c r="CN51" s="66"/>
      <c r="CO51" s="60"/>
      <c r="CP51" s="66"/>
    </row>
    <row r="52" spans="1:94" x14ac:dyDescent="0.25">
      <c r="A52" s="39" t="s">
        <v>2</v>
      </c>
      <c r="B52" s="26">
        <f>+SUM(B5:B48)</f>
        <v>139937.53999999998</v>
      </c>
      <c r="C52" s="26"/>
      <c r="D52" s="26">
        <f>+SUM(D5:D48)</f>
        <v>395675.11</v>
      </c>
      <c r="E52" s="26"/>
      <c r="F52" s="26">
        <f>+SUM(F5:F48)</f>
        <v>24877.759999999995</v>
      </c>
      <c r="G52" s="26"/>
      <c r="H52" s="26">
        <f>+SUM(H5:H48)</f>
        <v>251000</v>
      </c>
      <c r="I52" s="26"/>
      <c r="J52" s="26">
        <f>+SUM(J5:J48)</f>
        <v>22307.949999999997</v>
      </c>
      <c r="K52" s="26"/>
      <c r="L52" s="26">
        <f>+SUM(L5:L48)</f>
        <v>136887.48000000001</v>
      </c>
      <c r="M52" s="26"/>
      <c r="N52" s="26">
        <f>+SUM(N5:N48)</f>
        <v>38962.959999999999</v>
      </c>
      <c r="O52" s="26"/>
      <c r="P52" s="26">
        <f>+SUM(P5:P48)</f>
        <v>31923.5</v>
      </c>
      <c r="Q52" s="26"/>
      <c r="R52" s="26">
        <f>+SUM(R5:R48)</f>
        <v>68878.65400000001</v>
      </c>
      <c r="S52" s="26"/>
      <c r="T52" s="26">
        <f>+SUM(T5:T48)</f>
        <v>31863.880000000005</v>
      </c>
      <c r="U52" s="26"/>
      <c r="V52" s="26">
        <f>+SUM(V5:V48)</f>
        <v>0</v>
      </c>
      <c r="W52" s="26"/>
      <c r="X52" s="26">
        <f>+SUM(X5:X48)</f>
        <v>213931.06</v>
      </c>
      <c r="Y52" s="26"/>
      <c r="Z52" s="26">
        <f>+SUM(Z5:Z48)</f>
        <v>72464.929999999993</v>
      </c>
      <c r="AA52" s="26"/>
      <c r="AB52" s="26">
        <f>+SUM(AB5:AB48)</f>
        <v>95738.510000000009</v>
      </c>
      <c r="AC52" s="26"/>
      <c r="AD52" s="26">
        <f>+SUM(AD5:AD48)</f>
        <v>241165.56000000003</v>
      </c>
      <c r="AE52" s="26"/>
      <c r="AF52" s="26">
        <f>+SUM(AF5:AF48)</f>
        <v>447595.54000000004</v>
      </c>
      <c r="AG52" s="26"/>
      <c r="AH52" s="26">
        <f>+SUM(AH5:AH48)</f>
        <v>25043.46</v>
      </c>
      <c r="AI52" s="26"/>
      <c r="AJ52" s="26">
        <f>+SUM(AJ5:AJ48)</f>
        <v>6000</v>
      </c>
      <c r="AK52" s="26"/>
      <c r="AL52" s="26">
        <f>+SUM(AL5:AL48)</f>
        <v>63014.779999999992</v>
      </c>
      <c r="AM52" s="26"/>
      <c r="AN52" s="26">
        <f>+SUM(AN5:AN48)</f>
        <v>319383.18999999994</v>
      </c>
      <c r="AO52" s="26"/>
      <c r="AP52" s="26">
        <f>+SUM(AP5:AP48)</f>
        <v>711641.69000000006</v>
      </c>
      <c r="AQ52" s="26"/>
      <c r="AR52" s="26">
        <f>+SUM(AR5:AR48)</f>
        <v>388478.14999999997</v>
      </c>
      <c r="AS52" s="26"/>
      <c r="AT52" s="26">
        <f>+SUM(AT5:AT48)</f>
        <v>221470.11000000002</v>
      </c>
      <c r="AU52" s="26"/>
      <c r="AV52" s="26">
        <f>+SUM(AV5:AV48)</f>
        <v>37997.89</v>
      </c>
      <c r="AW52" s="26"/>
      <c r="AX52" s="26">
        <f>+SUM(AX5:AX48)</f>
        <v>50137.24</v>
      </c>
      <c r="AY52" s="26"/>
      <c r="AZ52" s="26">
        <f>+SUM(AZ5:AZ48)</f>
        <v>164657.17000000001</v>
      </c>
      <c r="BA52" s="26"/>
      <c r="BB52" s="26">
        <f>+SUM(BB5:BB48)</f>
        <v>195313.85</v>
      </c>
      <c r="BC52" s="15"/>
      <c r="BD52" s="26">
        <f>+SUM(BD5:BD48)</f>
        <v>37709.399999999994</v>
      </c>
      <c r="BE52" s="26"/>
      <c r="BF52" s="26">
        <f>+SUM(BF5:BF48)</f>
        <v>495179.97</v>
      </c>
      <c r="BG52" s="26"/>
      <c r="BH52" s="26">
        <f>+SUM(BH5:BH48)</f>
        <v>272941.15999999997</v>
      </c>
      <c r="BI52" s="26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</row>
    <row r="53" spans="1:94" x14ac:dyDescent="0.25">
      <c r="A53" s="39" t="s">
        <v>3</v>
      </c>
      <c r="B53" s="117">
        <f>+B51-B52</f>
        <v>2.0000000018626451E-2</v>
      </c>
      <c r="C53" s="117"/>
      <c r="D53" s="117">
        <f>+D51-D52</f>
        <v>1.0000000000582077</v>
      </c>
      <c r="E53" s="117"/>
      <c r="F53" s="117">
        <f>+F51-F52</f>
        <v>0</v>
      </c>
      <c r="G53" s="117"/>
      <c r="H53" s="117">
        <f>+H51-H52</f>
        <v>0</v>
      </c>
      <c r="I53" s="117"/>
      <c r="J53" s="117">
        <f>+J51-J52</f>
        <v>-0.99999999999636202</v>
      </c>
      <c r="K53" s="117"/>
      <c r="L53" s="117">
        <f>+L51-L52</f>
        <v>0</v>
      </c>
      <c r="M53" s="117"/>
      <c r="N53" s="117">
        <f>+N51-N52</f>
        <v>0</v>
      </c>
      <c r="O53" s="117"/>
      <c r="P53" s="117">
        <f>+P51-P52</f>
        <v>3</v>
      </c>
      <c r="Q53" s="117"/>
      <c r="R53" s="117">
        <f>+R51-R52</f>
        <v>-2.0040000000153668</v>
      </c>
      <c r="S53" s="117"/>
      <c r="T53" s="117">
        <f>+T51-T52</f>
        <v>0</v>
      </c>
      <c r="U53" s="117"/>
      <c r="V53" s="117">
        <f>+V51-V52</f>
        <v>0</v>
      </c>
      <c r="W53" s="117"/>
      <c r="X53" s="117">
        <f>+X51-X52</f>
        <v>500.01000000000931</v>
      </c>
      <c r="Y53" s="117"/>
      <c r="Z53" s="117">
        <f>+Z51-Z52</f>
        <v>0</v>
      </c>
      <c r="AA53" s="117"/>
      <c r="AB53" s="117">
        <f>+AB51-AB52</f>
        <v>1.9999999989522621E-2</v>
      </c>
      <c r="AC53" s="117"/>
      <c r="AD53" s="117">
        <f>+AD51-AD52</f>
        <v>1.9999999960418791E-2</v>
      </c>
      <c r="AE53" s="117"/>
      <c r="AF53" s="117">
        <f>+AF51-AF52</f>
        <v>0</v>
      </c>
      <c r="AG53" s="117"/>
      <c r="AH53" s="117">
        <f>+AH51-AH52</f>
        <v>4.0000000000873115E-2</v>
      </c>
      <c r="AI53" s="117"/>
      <c r="AJ53" s="117">
        <f>+AJ51-AJ52</f>
        <v>0</v>
      </c>
      <c r="AK53" s="117"/>
      <c r="AL53" s="117">
        <f>+AL51-AL52</f>
        <v>0</v>
      </c>
      <c r="AM53" s="117"/>
      <c r="AN53" s="117">
        <f>+AN51-AN52</f>
        <v>0</v>
      </c>
      <c r="AO53" s="117"/>
      <c r="AP53" s="117">
        <f>+AP51-AP52</f>
        <v>0</v>
      </c>
      <c r="AQ53" s="117"/>
      <c r="AR53" s="117">
        <f>+AR51-AR52</f>
        <v>1.0200000000186265</v>
      </c>
      <c r="AS53" s="117"/>
      <c r="AT53" s="117">
        <f>+AT51-AT52</f>
        <v>0</v>
      </c>
      <c r="AU53" s="117"/>
      <c r="AV53" s="117">
        <f>+AV51-AV52</f>
        <v>5.0000000002910383E-2</v>
      </c>
      <c r="AW53" s="117"/>
      <c r="AX53" s="117">
        <f>+AX51-AX52</f>
        <v>0</v>
      </c>
      <c r="AY53" s="117"/>
      <c r="AZ53" s="117">
        <f>+AZ51-AZ52</f>
        <v>1.0000000009313226E-2</v>
      </c>
      <c r="BA53" s="117"/>
      <c r="BB53" s="117">
        <f>+BB51-BB52</f>
        <v>1.0000000009313226E-2</v>
      </c>
      <c r="BC53" s="134"/>
      <c r="BD53" s="117">
        <f>+BD51-BD52</f>
        <v>0</v>
      </c>
      <c r="BE53" s="117"/>
      <c r="BF53" s="117">
        <f>+BF51-BF52</f>
        <v>0</v>
      </c>
      <c r="BG53" s="117"/>
      <c r="BH53" s="117">
        <f>+BH51-BH52</f>
        <v>4.0000000037252903E-2</v>
      </c>
      <c r="BI53" s="117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</row>
    <row r="54" spans="1:94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18"/>
      <c r="AA54" s="59"/>
      <c r="AB54" s="18"/>
      <c r="AC54" s="59"/>
      <c r="AD54" s="18"/>
      <c r="AE54" s="59"/>
      <c r="AF54" s="18"/>
      <c r="AG54" s="59"/>
      <c r="AH54" s="18"/>
      <c r="AI54" s="59"/>
      <c r="AJ54" s="18"/>
      <c r="AK54" s="59"/>
      <c r="AL54" s="18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59"/>
      <c r="AX54" s="18"/>
      <c r="AY54" s="59"/>
      <c r="AZ54" s="18"/>
      <c r="BA54" s="59"/>
      <c r="BB54" s="75"/>
      <c r="BC54" s="25"/>
      <c r="BD54" s="18"/>
      <c r="BE54" s="59"/>
      <c r="BF54" s="18"/>
      <c r="BG54" s="59"/>
      <c r="BH54" s="18"/>
      <c r="BI54" s="59"/>
      <c r="BJ54" s="75"/>
      <c r="BK54" s="25"/>
      <c r="BL54" s="75"/>
      <c r="BM54" s="25"/>
      <c r="BN54" s="75"/>
      <c r="BO54" s="25"/>
      <c r="BP54" s="75"/>
      <c r="BQ54" s="25"/>
      <c r="BR54" s="75"/>
      <c r="BS54" s="25"/>
      <c r="BT54" s="75"/>
      <c r="BU54" s="25"/>
      <c r="BV54" s="75"/>
      <c r="BW54" s="25"/>
      <c r="BX54" s="75"/>
      <c r="BY54" s="25"/>
      <c r="BZ54" s="75"/>
      <c r="CA54" s="25"/>
      <c r="CB54" s="75"/>
      <c r="CC54" s="25"/>
      <c r="CD54" s="75"/>
      <c r="CE54" s="25"/>
      <c r="CF54" s="76"/>
      <c r="CG54" s="234"/>
      <c r="CH54" s="76"/>
      <c r="CI54" s="234"/>
      <c r="CJ54" s="76"/>
      <c r="CK54" s="234"/>
      <c r="CL54" s="76"/>
      <c r="CM54" s="234"/>
      <c r="CN54" s="76"/>
      <c r="CO54" s="234"/>
      <c r="CP54" s="76"/>
    </row>
    <row r="55" spans="1:94" x14ac:dyDescent="0.25">
      <c r="A55" s="48"/>
      <c r="B55" s="163"/>
      <c r="C55" s="59"/>
      <c r="D55" s="163"/>
      <c r="E55" s="59"/>
      <c r="F55" s="163"/>
      <c r="G55" s="59"/>
      <c r="H55" s="163"/>
      <c r="I55" s="59"/>
      <c r="J55" s="163"/>
      <c r="K55" s="59"/>
      <c r="L55" s="163"/>
      <c r="M55" s="59"/>
      <c r="N55" s="163"/>
      <c r="O55" s="59"/>
      <c r="P55" s="163"/>
      <c r="Q55" s="59"/>
      <c r="R55" s="18"/>
      <c r="S55" s="59"/>
      <c r="T55" s="141"/>
      <c r="U55" s="59"/>
      <c r="V55" s="141"/>
      <c r="W55" s="59"/>
      <c r="X55" s="141"/>
      <c r="Y55" s="59"/>
      <c r="Z55" s="163"/>
      <c r="AA55" s="59"/>
      <c r="AB55" s="18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59"/>
      <c r="AX55" s="18"/>
      <c r="AY55" s="59"/>
      <c r="AZ55" s="18"/>
      <c r="BA55" s="59"/>
      <c r="BB55" s="75"/>
      <c r="BC55" s="25"/>
      <c r="BD55" s="18"/>
      <c r="BE55" s="59"/>
      <c r="BF55" s="18"/>
      <c r="BG55" s="59"/>
      <c r="BH55" s="18"/>
      <c r="BI55" s="59"/>
      <c r="BJ55" s="75"/>
      <c r="BK55" s="25"/>
      <c r="BL55" s="75"/>
      <c r="BM55" s="25"/>
      <c r="BN55" s="75"/>
      <c r="BO55" s="25"/>
      <c r="BP55" s="75"/>
      <c r="BQ55" s="25"/>
      <c r="BR55" s="75"/>
      <c r="BS55" s="25"/>
      <c r="BT55" s="75"/>
      <c r="BU55" s="25"/>
      <c r="BV55" s="75"/>
      <c r="BW55" s="25"/>
      <c r="BX55" s="75"/>
      <c r="BY55" s="25"/>
      <c r="BZ55" s="75"/>
      <c r="CA55" s="25"/>
      <c r="CB55" s="75"/>
      <c r="CC55" s="25"/>
      <c r="CD55" s="75"/>
      <c r="CE55" s="25"/>
      <c r="CF55" s="76"/>
      <c r="CG55" s="234"/>
      <c r="CH55" s="76"/>
      <c r="CI55" s="234"/>
      <c r="CJ55" s="76"/>
      <c r="CK55" s="234"/>
      <c r="CL55" s="76"/>
      <c r="CM55" s="234"/>
      <c r="CN55" s="76"/>
      <c r="CO55" s="234"/>
      <c r="CP55" s="76"/>
    </row>
    <row r="56" spans="1:94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0"/>
      <c r="BA56" s="12"/>
      <c r="BB56" s="11"/>
      <c r="BC56" s="13"/>
      <c r="BD56" s="10"/>
      <c r="BE56" s="12"/>
      <c r="BF56" s="10"/>
      <c r="BG56" s="12"/>
      <c r="BH56" s="10"/>
      <c r="BI56" s="12"/>
      <c r="BJ56" s="11"/>
      <c r="BK56" s="13"/>
      <c r="BL56" s="11"/>
      <c r="BM56" s="13"/>
      <c r="BN56" s="11"/>
      <c r="BO56" s="13"/>
      <c r="BP56" s="11"/>
      <c r="BQ56" s="13"/>
      <c r="BR56" s="11"/>
      <c r="BS56" s="13"/>
      <c r="BT56" s="11"/>
      <c r="BU56" s="13"/>
      <c r="BV56" s="11"/>
      <c r="BW56" s="13"/>
      <c r="BX56" s="11"/>
      <c r="BY56" s="13"/>
      <c r="BZ56" s="11"/>
      <c r="CA56" s="13"/>
      <c r="CB56" s="11"/>
      <c r="CC56" s="13"/>
      <c r="CD56" s="11"/>
      <c r="CE56" s="13"/>
      <c r="CF56" s="11"/>
      <c r="CG56" s="13"/>
      <c r="CH56" s="11"/>
      <c r="CI56" s="13"/>
      <c r="CJ56" s="11"/>
      <c r="CK56" s="13"/>
      <c r="CL56" s="11"/>
      <c r="CM56" s="13"/>
      <c r="CN56" s="11"/>
      <c r="CO56" s="13"/>
      <c r="CP56" s="11"/>
    </row>
    <row r="57" spans="1:94" x14ac:dyDescent="0.25">
      <c r="A57" s="40" t="s">
        <v>4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</row>
    <row r="58" spans="1:94" x14ac:dyDescent="0.25">
      <c r="A58" s="49"/>
      <c r="B58" s="19"/>
      <c r="C58" s="21"/>
      <c r="D58" s="19"/>
      <c r="E58" s="21"/>
      <c r="F58" s="19"/>
      <c r="G58" s="21"/>
      <c r="H58" s="19"/>
      <c r="I58" s="21"/>
      <c r="J58" s="19"/>
      <c r="K58" s="21"/>
      <c r="L58" s="19"/>
      <c r="M58" s="21"/>
      <c r="N58" s="19"/>
      <c r="O58" s="21"/>
      <c r="P58" s="19"/>
      <c r="Q58" s="21"/>
      <c r="R58" s="19"/>
      <c r="S58" s="21"/>
      <c r="T58" s="19"/>
      <c r="U58" s="21"/>
      <c r="V58" s="19"/>
      <c r="W58" s="21"/>
      <c r="X58" s="19"/>
      <c r="Y58" s="21"/>
      <c r="Z58" s="68"/>
      <c r="AA58" s="21"/>
      <c r="AB58" s="19"/>
      <c r="AC58" s="21"/>
      <c r="AD58" s="19"/>
      <c r="AE58" s="21"/>
      <c r="AF58" s="19"/>
      <c r="AG58" s="21"/>
      <c r="AH58" s="19"/>
      <c r="AI58" s="21"/>
      <c r="AJ58" s="19"/>
      <c r="AK58" s="21"/>
      <c r="AL58" s="19"/>
      <c r="AM58" s="21"/>
      <c r="AN58" s="19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19"/>
      <c r="BA58" s="21"/>
      <c r="BB58" s="68"/>
      <c r="BC58" s="135"/>
      <c r="BD58" s="19"/>
      <c r="BE58" s="21"/>
      <c r="BF58" s="19"/>
      <c r="BG58" s="21"/>
      <c r="BH58" s="19"/>
      <c r="BI58" s="21"/>
      <c r="BJ58" s="68"/>
      <c r="BK58" s="135"/>
      <c r="BL58" s="68"/>
      <c r="BM58" s="135"/>
      <c r="BN58" s="68"/>
      <c r="BO58" s="135"/>
      <c r="BP58" s="68"/>
      <c r="BQ58" s="135"/>
      <c r="BR58" s="68"/>
      <c r="BS58" s="135"/>
      <c r="BT58" s="68"/>
      <c r="BU58" s="135"/>
      <c r="BV58" s="68"/>
      <c r="BW58" s="135"/>
      <c r="BX58" s="68"/>
      <c r="BY58" s="135"/>
      <c r="BZ58" s="68"/>
      <c r="CA58" s="135"/>
      <c r="CB58" s="68"/>
      <c r="CC58" s="135"/>
      <c r="CD58" s="68"/>
      <c r="CE58" s="135"/>
      <c r="CF58" s="68"/>
      <c r="CG58" s="135"/>
      <c r="CH58" s="68"/>
      <c r="CI58" s="135"/>
      <c r="CJ58" s="68"/>
      <c r="CK58" s="135"/>
      <c r="CL58" s="68"/>
      <c r="CM58" s="135"/>
      <c r="CN58" s="68"/>
      <c r="CO58" s="135"/>
      <c r="CP58" s="68"/>
    </row>
    <row r="59" spans="1:94" x14ac:dyDescent="0.25">
      <c r="A59" s="41" t="s">
        <v>5</v>
      </c>
      <c r="B59" s="9">
        <v>3249.08</v>
      </c>
      <c r="C59" s="15" t="s">
        <v>6509</v>
      </c>
      <c r="D59" s="9">
        <v>4525.07</v>
      </c>
      <c r="E59" s="15" t="s">
        <v>6565</v>
      </c>
      <c r="F59" s="9">
        <v>5000</v>
      </c>
      <c r="G59" s="15" t="s">
        <v>6602</v>
      </c>
      <c r="H59" s="9"/>
      <c r="I59" s="15"/>
      <c r="J59" s="9">
        <v>8568.1</v>
      </c>
      <c r="K59" s="15" t="s">
        <v>6648</v>
      </c>
      <c r="L59" s="9">
        <v>2036.81</v>
      </c>
      <c r="M59" s="15" t="s">
        <v>6692</v>
      </c>
      <c r="N59" s="9">
        <v>4018</v>
      </c>
      <c r="O59" s="15" t="s">
        <v>6747</v>
      </c>
      <c r="P59" s="9">
        <v>3640.98</v>
      </c>
      <c r="Q59" s="15" t="s">
        <v>6794</v>
      </c>
      <c r="R59" s="9">
        <v>3065</v>
      </c>
      <c r="S59" s="15" t="s">
        <v>6844</v>
      </c>
      <c r="T59" s="9"/>
      <c r="U59" s="15"/>
      <c r="V59" s="9"/>
      <c r="W59" s="15"/>
      <c r="X59" s="9"/>
      <c r="Y59" s="15"/>
      <c r="Z59" s="9"/>
      <c r="AA59" s="15"/>
      <c r="AB59" s="9"/>
      <c r="AC59" s="15"/>
      <c r="AD59" s="9"/>
      <c r="AE59" s="15"/>
      <c r="AF59" s="15"/>
      <c r="AG59" s="15"/>
      <c r="AH59" s="9"/>
      <c r="AI59" s="15"/>
      <c r="AJ59" s="9"/>
      <c r="AK59" s="15"/>
      <c r="AL59" s="9"/>
      <c r="AM59" s="15"/>
      <c r="AN59" s="9"/>
      <c r="AO59" s="15"/>
      <c r="AP59" s="9"/>
      <c r="AQ59" s="15"/>
      <c r="AR59" s="9"/>
      <c r="AS59" s="15"/>
      <c r="AT59" s="9"/>
      <c r="AU59" s="15"/>
      <c r="AV59" s="9"/>
      <c r="AW59" s="15"/>
      <c r="AX59" s="9"/>
      <c r="AY59" s="15"/>
      <c r="AZ59" s="9"/>
      <c r="BA59" s="15"/>
      <c r="BB59" s="9"/>
      <c r="BC59" s="15"/>
      <c r="BD59" s="9"/>
      <c r="BE59" s="15"/>
      <c r="BF59" s="9"/>
      <c r="BG59" s="15"/>
      <c r="BH59" s="120"/>
      <c r="BI59" s="120"/>
      <c r="BJ59" s="9"/>
      <c r="BK59" s="9"/>
      <c r="BL59" s="9"/>
      <c r="BM59" s="15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  <c r="CO59" s="15"/>
      <c r="CP59" s="9"/>
    </row>
    <row r="60" spans="1:94" x14ac:dyDescent="0.25">
      <c r="A60" s="41"/>
      <c r="B60" s="9">
        <v>16607.04</v>
      </c>
      <c r="C60" s="15" t="s">
        <v>6510</v>
      </c>
      <c r="D60" s="9">
        <v>2040</v>
      </c>
      <c r="E60" s="15" t="s">
        <v>6569</v>
      </c>
      <c r="F60" s="9">
        <v>475.24</v>
      </c>
      <c r="G60" s="15" t="s">
        <v>6608</v>
      </c>
      <c r="H60" s="9"/>
      <c r="I60" s="15"/>
      <c r="J60" s="72">
        <v>8130.13</v>
      </c>
      <c r="K60" s="24" t="s">
        <v>6650</v>
      </c>
      <c r="L60" s="9">
        <v>464</v>
      </c>
      <c r="M60" s="15" t="s">
        <v>6702</v>
      </c>
      <c r="N60" s="9">
        <v>1900</v>
      </c>
      <c r="O60" s="15" t="s">
        <v>6748</v>
      </c>
      <c r="P60" s="9">
        <v>1099</v>
      </c>
      <c r="Q60" s="15" t="s">
        <v>6795</v>
      </c>
      <c r="R60" s="9">
        <v>2834.99</v>
      </c>
      <c r="S60" s="15" t="s">
        <v>6848</v>
      </c>
      <c r="T60" s="112">
        <v>3000</v>
      </c>
      <c r="U60" s="15" t="s">
        <v>6893</v>
      </c>
      <c r="V60" s="9">
        <v>40137.25</v>
      </c>
      <c r="W60" s="15" t="s">
        <v>7041</v>
      </c>
      <c r="X60" s="9">
        <v>1169</v>
      </c>
      <c r="Y60" s="15" t="s">
        <v>6944</v>
      </c>
      <c r="Z60" s="112">
        <v>7404.23</v>
      </c>
      <c r="AA60" s="15" t="s">
        <v>7004</v>
      </c>
      <c r="AB60" s="9">
        <v>612.11</v>
      </c>
      <c r="AC60" s="15" t="s">
        <v>6997</v>
      </c>
      <c r="AD60" s="72">
        <v>1454.73</v>
      </c>
      <c r="AE60" s="15" t="s">
        <v>7081</v>
      </c>
      <c r="AF60" s="72">
        <v>5146.97</v>
      </c>
      <c r="AG60" s="26" t="s">
        <v>7135</v>
      </c>
      <c r="AH60" s="112">
        <v>2784</v>
      </c>
      <c r="AI60" s="15" t="s">
        <v>7178</v>
      </c>
      <c r="AJ60" s="72"/>
      <c r="AK60" s="15"/>
      <c r="AL60" s="9">
        <v>232</v>
      </c>
      <c r="AM60" s="15" t="s">
        <v>7215</v>
      </c>
      <c r="AN60" s="9">
        <v>20000</v>
      </c>
      <c r="AO60" s="15" t="s">
        <v>7221</v>
      </c>
      <c r="AP60" s="9">
        <v>278.33999999999997</v>
      </c>
      <c r="AQ60" s="15" t="s">
        <v>7305</v>
      </c>
      <c r="AR60" s="9">
        <v>955</v>
      </c>
      <c r="AS60" s="15" t="s">
        <v>7378</v>
      </c>
      <c r="AT60" s="213">
        <v>20000</v>
      </c>
      <c r="AU60" s="15" t="s">
        <v>7427</v>
      </c>
      <c r="AV60" s="223">
        <v>250</v>
      </c>
      <c r="AW60" s="15" t="s">
        <v>7515</v>
      </c>
      <c r="AX60" s="9">
        <v>13000</v>
      </c>
      <c r="AY60" s="15" t="s">
        <v>7540</v>
      </c>
      <c r="AZ60" s="9">
        <v>304.92</v>
      </c>
      <c r="BA60" s="15" t="s">
        <v>7545</v>
      </c>
      <c r="BB60" s="9">
        <v>24653.85</v>
      </c>
      <c r="BC60" s="15" t="s">
        <v>7595</v>
      </c>
      <c r="BD60" s="9">
        <v>232</v>
      </c>
      <c r="BE60" s="15" t="s">
        <v>7665</v>
      </c>
      <c r="BF60" s="9">
        <v>3998.29</v>
      </c>
      <c r="BG60" s="15" t="s">
        <v>7728</v>
      </c>
      <c r="BH60" s="120">
        <v>2531.48</v>
      </c>
      <c r="BI60" s="120" t="s">
        <v>7783</v>
      </c>
      <c r="BJ60" s="9"/>
      <c r="BK60" s="15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  <c r="CO60" s="15"/>
      <c r="CP60" s="9"/>
    </row>
    <row r="61" spans="1:94" x14ac:dyDescent="0.25">
      <c r="A61" s="43"/>
      <c r="B61" s="9">
        <v>7214</v>
      </c>
      <c r="C61" s="15" t="s">
        <v>6512</v>
      </c>
      <c r="D61" s="10">
        <v>2040</v>
      </c>
      <c r="E61" s="12" t="s">
        <v>6570</v>
      </c>
      <c r="F61" s="192">
        <v>2249.33</v>
      </c>
      <c r="G61" s="12" t="s">
        <v>6629</v>
      </c>
      <c r="H61" s="11"/>
      <c r="I61" s="13"/>
      <c r="J61" s="72">
        <v>413.62</v>
      </c>
      <c r="K61" s="24" t="s">
        <v>6653</v>
      </c>
      <c r="L61" s="11">
        <v>1099.01</v>
      </c>
      <c r="M61" s="12" t="s">
        <v>6703</v>
      </c>
      <c r="N61" s="10">
        <v>1970</v>
      </c>
      <c r="O61" s="12" t="s">
        <v>6752</v>
      </c>
      <c r="P61" s="11">
        <v>1970</v>
      </c>
      <c r="Q61" s="12" t="s">
        <v>6797</v>
      </c>
      <c r="R61" s="111">
        <f>+SUM(R59:R60)</f>
        <v>5899.99</v>
      </c>
      <c r="S61" s="12"/>
      <c r="T61" s="113">
        <v>1169</v>
      </c>
      <c r="U61" s="12" t="s">
        <v>6902</v>
      </c>
      <c r="V61" s="10"/>
      <c r="W61" s="12"/>
      <c r="X61" s="10">
        <v>2040</v>
      </c>
      <c r="Y61" s="12" t="s">
        <v>6946</v>
      </c>
      <c r="Z61" s="113">
        <v>464</v>
      </c>
      <c r="AA61" s="12" t="s">
        <v>7007</v>
      </c>
      <c r="AB61" s="11">
        <v>350</v>
      </c>
      <c r="AC61" s="12" t="s">
        <v>6998</v>
      </c>
      <c r="AD61" s="120">
        <v>1168.99</v>
      </c>
      <c r="AE61" s="120" t="s">
        <v>7085</v>
      </c>
      <c r="AF61" s="11">
        <v>2714</v>
      </c>
      <c r="AG61" s="12" t="s">
        <v>7136</v>
      </c>
      <c r="AH61" s="205">
        <v>1000</v>
      </c>
      <c r="AI61" s="12" t="s">
        <v>7179</v>
      </c>
      <c r="AJ61" s="87"/>
      <c r="AK61" s="12"/>
      <c r="AL61" s="192">
        <v>20000</v>
      </c>
      <c r="AM61" s="12" t="s">
        <v>7216</v>
      </c>
      <c r="AN61" s="9">
        <v>20000</v>
      </c>
      <c r="AO61" s="15" t="s">
        <v>7225</v>
      </c>
      <c r="AP61" s="9">
        <v>17000</v>
      </c>
      <c r="AQ61" s="15" t="s">
        <v>7313</v>
      </c>
      <c r="AR61" s="10">
        <v>1168.99</v>
      </c>
      <c r="AS61" s="12" t="s">
        <v>7397</v>
      </c>
      <c r="AT61" s="213">
        <v>1292.04</v>
      </c>
      <c r="AU61" s="15" t="s">
        <v>7438</v>
      </c>
      <c r="AV61" s="225">
        <v>3320</v>
      </c>
      <c r="AW61" s="12" t="s">
        <v>7518</v>
      </c>
      <c r="AX61" s="161"/>
      <c r="AY61" s="12"/>
      <c r="AZ61" s="10">
        <v>1680.75</v>
      </c>
      <c r="BA61" s="12" t="s">
        <v>7546</v>
      </c>
      <c r="BB61" s="11">
        <v>2520</v>
      </c>
      <c r="BC61" s="13" t="s">
        <v>7601</v>
      </c>
      <c r="BD61" s="10">
        <v>628.51</v>
      </c>
      <c r="BE61" s="12" t="s">
        <v>7683</v>
      </c>
      <c r="BF61" s="10">
        <v>1896.72</v>
      </c>
      <c r="BG61" s="12" t="s">
        <v>7730</v>
      </c>
      <c r="BH61" s="15">
        <v>4706.4799999999996</v>
      </c>
      <c r="BI61" s="15" t="s">
        <v>7789</v>
      </c>
      <c r="BJ61" s="11"/>
      <c r="BK61" s="13"/>
      <c r="BL61" s="23"/>
      <c r="BM61" s="13"/>
      <c r="BN61" s="11"/>
      <c r="BO61" s="13"/>
      <c r="BP61" s="11"/>
      <c r="BQ61" s="13"/>
      <c r="BR61" s="11"/>
      <c r="BS61" s="13"/>
      <c r="BT61" s="11"/>
      <c r="BU61" s="13"/>
      <c r="BV61" s="11"/>
      <c r="BW61" s="13"/>
      <c r="BX61" s="11"/>
      <c r="BY61" s="13"/>
      <c r="BZ61" s="11"/>
      <c r="CA61" s="13"/>
      <c r="CB61" s="11"/>
      <c r="CC61" s="13"/>
      <c r="CD61" s="11"/>
      <c r="CE61" s="13"/>
      <c r="CF61" s="11"/>
      <c r="CG61" s="13"/>
      <c r="CH61" s="11"/>
      <c r="CI61" s="13"/>
      <c r="CJ61" s="11"/>
      <c r="CK61" s="13"/>
      <c r="CL61" s="11"/>
      <c r="CM61" s="13"/>
      <c r="CN61" s="11"/>
      <c r="CO61" s="13"/>
      <c r="CP61" s="11"/>
    </row>
    <row r="62" spans="1:94" x14ac:dyDescent="0.25">
      <c r="A62" s="41"/>
      <c r="B62" s="9">
        <v>1168.99</v>
      </c>
      <c r="C62" s="26" t="s">
        <v>6513</v>
      </c>
      <c r="D62" s="121">
        <v>1970</v>
      </c>
      <c r="E62" s="15" t="s">
        <v>6574</v>
      </c>
      <c r="F62" s="95">
        <f>+SUM(F59:F61)</f>
        <v>7724.57</v>
      </c>
      <c r="G62" s="15"/>
      <c r="H62" s="9"/>
      <c r="I62" s="15"/>
      <c r="J62" s="9">
        <v>20000</v>
      </c>
      <c r="K62" s="15" t="s">
        <v>6654</v>
      </c>
      <c r="L62" s="9">
        <v>2040</v>
      </c>
      <c r="M62" s="15" t="s">
        <v>6704</v>
      </c>
      <c r="N62" s="9">
        <v>1168.99</v>
      </c>
      <c r="O62" s="15" t="s">
        <v>6758</v>
      </c>
      <c r="P62" s="9">
        <v>2279.9899999999998</v>
      </c>
      <c r="Q62" s="26" t="s">
        <v>6799</v>
      </c>
      <c r="R62" s="9"/>
      <c r="S62" s="26"/>
      <c r="T62" s="9">
        <v>1168.99</v>
      </c>
      <c r="U62" s="15" t="s">
        <v>6903</v>
      </c>
      <c r="V62" s="15"/>
      <c r="W62" s="15"/>
      <c r="X62" s="95">
        <f>+X60+X61</f>
        <v>3209</v>
      </c>
      <c r="Y62" s="15"/>
      <c r="Z62" s="112">
        <v>1168.99</v>
      </c>
      <c r="AA62" s="26" t="s">
        <v>7018</v>
      </c>
      <c r="AB62" s="9">
        <v>2064.9899999999998</v>
      </c>
      <c r="AC62" s="26" t="s">
        <v>7001</v>
      </c>
      <c r="AD62" s="99">
        <f>+AD60+AD61</f>
        <v>2623.7200000000003</v>
      </c>
      <c r="AE62" s="15"/>
      <c r="AF62" s="9">
        <v>1000</v>
      </c>
      <c r="AG62" s="15" t="s">
        <v>7138</v>
      </c>
      <c r="AH62" s="112">
        <v>1411.04</v>
      </c>
      <c r="AI62" s="15" t="s">
        <v>7182</v>
      </c>
      <c r="AJ62" s="24"/>
      <c r="AK62" s="15"/>
      <c r="AL62" s="9">
        <v>628.51</v>
      </c>
      <c r="AM62" s="15" t="s">
        <v>7219</v>
      </c>
      <c r="AN62" s="11">
        <v>548.97</v>
      </c>
      <c r="AO62" s="13" t="s">
        <v>7232</v>
      </c>
      <c r="AP62" s="7">
        <v>1168.99</v>
      </c>
      <c r="AQ62" s="26" t="s">
        <v>7314</v>
      </c>
      <c r="AR62" s="15">
        <v>3320</v>
      </c>
      <c r="AS62" s="15" t="s">
        <v>7398</v>
      </c>
      <c r="AT62" s="213">
        <v>6384.01</v>
      </c>
      <c r="AU62" s="15" t="s">
        <v>7446</v>
      </c>
      <c r="AV62" s="223">
        <v>3319.99</v>
      </c>
      <c r="AW62" s="15" t="s">
        <v>7520</v>
      </c>
      <c r="AX62" s="9"/>
      <c r="AY62" s="15"/>
      <c r="AZ62" s="147">
        <f>+AZ60+AZ61</f>
        <v>1985.67</v>
      </c>
      <c r="BA62" s="26"/>
      <c r="BB62" s="9">
        <v>1169</v>
      </c>
      <c r="BC62" s="15" t="s">
        <v>7603</v>
      </c>
      <c r="BD62" s="95">
        <f>+BD60+BD61</f>
        <v>860.51</v>
      </c>
      <c r="BE62" s="15"/>
      <c r="BF62" s="9">
        <v>1099.01</v>
      </c>
      <c r="BG62" s="15" t="s">
        <v>7733</v>
      </c>
      <c r="BH62" s="7">
        <v>2279.9899999999998</v>
      </c>
      <c r="BI62" s="26" t="s">
        <v>7792</v>
      </c>
      <c r="BJ62" s="9"/>
      <c r="BK62" s="15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  <c r="CO62" s="15"/>
      <c r="CP62" s="9"/>
    </row>
    <row r="63" spans="1:94" x14ac:dyDescent="0.25">
      <c r="A63" s="41"/>
      <c r="B63" s="9">
        <v>1099.01</v>
      </c>
      <c r="C63" s="15" t="s">
        <v>6516</v>
      </c>
      <c r="D63" s="7">
        <v>1929.01</v>
      </c>
      <c r="E63" s="26" t="s">
        <v>6575</v>
      </c>
      <c r="F63" s="7"/>
      <c r="G63" s="26"/>
      <c r="H63" s="9"/>
      <c r="I63" s="15"/>
      <c r="J63" s="9">
        <v>13400</v>
      </c>
      <c r="K63" s="26" t="s">
        <v>6655</v>
      </c>
      <c r="L63" s="9">
        <v>2039.99</v>
      </c>
      <c r="M63" s="26" t="s">
        <v>6705</v>
      </c>
      <c r="N63" s="7">
        <v>1970</v>
      </c>
      <c r="O63" s="26" t="s">
        <v>6761</v>
      </c>
      <c r="P63" s="9">
        <v>2040</v>
      </c>
      <c r="Q63" s="15" t="s">
        <v>6800</v>
      </c>
      <c r="R63" s="9">
        <v>1099.01</v>
      </c>
      <c r="S63" s="26" t="s">
        <v>6863</v>
      </c>
      <c r="T63" s="7">
        <v>1099.01</v>
      </c>
      <c r="U63" s="26" t="s">
        <v>6908</v>
      </c>
      <c r="V63" s="9"/>
      <c r="W63" s="15"/>
      <c r="X63" s="9"/>
      <c r="Y63" s="15"/>
      <c r="Z63" s="112">
        <v>2249.9899999999998</v>
      </c>
      <c r="AA63" s="15" t="s">
        <v>7024</v>
      </c>
      <c r="AB63" s="95">
        <f>+SUM(AB60:AB62)</f>
        <v>3027.1</v>
      </c>
      <c r="AC63" s="26"/>
      <c r="AD63" s="87"/>
      <c r="AE63" s="26"/>
      <c r="AF63" s="95">
        <f>+SUM(AF60:AF62)</f>
        <v>8860.9700000000012</v>
      </c>
      <c r="AG63" s="26"/>
      <c r="AH63" s="112">
        <v>2040</v>
      </c>
      <c r="AI63" s="26" t="s">
        <v>7187</v>
      </c>
      <c r="AJ63" s="87"/>
      <c r="AK63" s="26"/>
      <c r="AL63" s="147">
        <f>+AL60+AL61+AL62</f>
        <v>20860.509999999998</v>
      </c>
      <c r="AM63" s="26"/>
      <c r="AN63" s="9">
        <v>221.91</v>
      </c>
      <c r="AO63" s="26" t="s">
        <v>7234</v>
      </c>
      <c r="AP63" s="9">
        <v>2250.0100000000002</v>
      </c>
      <c r="AQ63" s="15" t="s">
        <v>7315</v>
      </c>
      <c r="AR63" s="7">
        <v>1169</v>
      </c>
      <c r="AS63" s="26" t="s">
        <v>7399</v>
      </c>
      <c r="AT63" s="213">
        <v>1969.99</v>
      </c>
      <c r="AU63" s="26" t="s">
        <v>7448</v>
      </c>
      <c r="AV63" s="223">
        <v>2040</v>
      </c>
      <c r="AW63" s="15" t="s">
        <v>7521</v>
      </c>
      <c r="AX63" s="9"/>
      <c r="AY63" s="15"/>
      <c r="AZ63" s="9"/>
      <c r="BA63" s="15"/>
      <c r="BB63" s="9">
        <v>3320</v>
      </c>
      <c r="BC63" s="15" t="s">
        <v>7605</v>
      </c>
      <c r="BD63" s="7"/>
      <c r="BE63" s="26"/>
      <c r="BF63" s="9">
        <f>1875.19-1411.18</f>
        <v>464.01</v>
      </c>
      <c r="BG63" s="26" t="s">
        <v>7736</v>
      </c>
      <c r="BH63" s="9">
        <v>253.33</v>
      </c>
      <c r="BI63" s="15" t="s">
        <v>7799</v>
      </c>
      <c r="BJ63" s="15"/>
      <c r="BK63" s="15"/>
      <c r="BL63" s="9"/>
      <c r="BM63" s="15"/>
      <c r="BN63" s="9"/>
      <c r="BO63" s="15"/>
      <c r="BP63" s="9"/>
      <c r="BQ63" s="15"/>
      <c r="BR63" s="9"/>
      <c r="BS63" s="15"/>
      <c r="BT63" s="9"/>
      <c r="BU63" s="15"/>
      <c r="BV63" s="9"/>
      <c r="BW63" s="15"/>
      <c r="BX63" s="9"/>
      <c r="BY63" s="15"/>
      <c r="BZ63" s="9"/>
      <c r="CA63" s="15"/>
      <c r="CB63" s="9"/>
      <c r="CC63" s="15"/>
      <c r="CD63" s="9"/>
      <c r="CE63" s="15"/>
      <c r="CF63" s="9"/>
      <c r="CG63" s="15"/>
      <c r="CH63" s="9"/>
      <c r="CI63" s="15"/>
      <c r="CJ63" s="9"/>
      <c r="CK63" s="15"/>
      <c r="CL63" s="9"/>
      <c r="CM63" s="15"/>
      <c r="CN63" s="9"/>
      <c r="CO63" s="15"/>
      <c r="CP63" s="9"/>
    </row>
    <row r="64" spans="1:94" x14ac:dyDescent="0.25">
      <c r="A64" s="41"/>
      <c r="B64" s="95">
        <f>+SUM(B59:B63)</f>
        <v>29338.120000000003</v>
      </c>
      <c r="C64" s="15"/>
      <c r="D64" s="9">
        <v>1994.99</v>
      </c>
      <c r="E64" s="15" t="s">
        <v>6580</v>
      </c>
      <c r="F64" s="9"/>
      <c r="G64" s="15"/>
      <c r="H64" s="9"/>
      <c r="I64" s="15"/>
      <c r="J64" s="9">
        <v>3320</v>
      </c>
      <c r="K64" s="15" t="s">
        <v>6659</v>
      </c>
      <c r="L64" s="9">
        <v>1970</v>
      </c>
      <c r="M64" s="15" t="s">
        <v>6706</v>
      </c>
      <c r="N64" s="9">
        <v>1169</v>
      </c>
      <c r="O64" s="15" t="s">
        <v>6762</v>
      </c>
      <c r="P64" s="95">
        <f>+SUM(P59:P63)</f>
        <v>11029.97</v>
      </c>
      <c r="Q64" s="15"/>
      <c r="R64" s="9">
        <v>1029</v>
      </c>
      <c r="S64" s="15" t="s">
        <v>6866</v>
      </c>
      <c r="T64" s="112">
        <v>1169</v>
      </c>
      <c r="U64" s="15" t="s">
        <v>6911</v>
      </c>
      <c r="V64" s="9"/>
      <c r="W64" s="15"/>
      <c r="X64" s="9">
        <v>14530.29</v>
      </c>
      <c r="Y64" s="15" t="s">
        <v>6949</v>
      </c>
      <c r="Z64" s="112">
        <v>2065</v>
      </c>
      <c r="AA64" s="15" t="s">
        <v>7026</v>
      </c>
      <c r="AB64" s="9"/>
      <c r="AC64" s="15"/>
      <c r="AD64" s="72">
        <v>360.38</v>
      </c>
      <c r="AE64" s="15" t="s">
        <v>7091</v>
      </c>
      <c r="AF64" s="15"/>
      <c r="AG64" s="15"/>
      <c r="AH64" s="112">
        <v>1169</v>
      </c>
      <c r="AI64" s="15" t="s">
        <v>7192</v>
      </c>
      <c r="AJ64" s="72"/>
      <c r="AK64" s="15"/>
      <c r="AL64" s="9"/>
      <c r="AM64" s="15"/>
      <c r="AN64" s="9">
        <v>1168.99</v>
      </c>
      <c r="AO64" s="15" t="s">
        <v>7237</v>
      </c>
      <c r="AP64" s="9">
        <v>2250.0100000000002</v>
      </c>
      <c r="AQ64" s="15" t="s">
        <v>7319</v>
      </c>
      <c r="AR64" s="9">
        <v>3238.99</v>
      </c>
      <c r="AS64" s="15" t="s">
        <v>7400</v>
      </c>
      <c r="AT64" s="219">
        <v>1970</v>
      </c>
      <c r="AU64" s="15" t="s">
        <v>7450</v>
      </c>
      <c r="AV64" s="224">
        <v>2039.99</v>
      </c>
      <c r="AW64" s="13" t="s">
        <v>7522</v>
      </c>
      <c r="AX64" s="11"/>
      <c r="AY64" s="13"/>
      <c r="AZ64" s="9">
        <v>3250</v>
      </c>
      <c r="BA64" s="15" t="s">
        <v>7562</v>
      </c>
      <c r="BB64" s="95">
        <f>+SUM(BB60:BB63)</f>
        <v>31662.85</v>
      </c>
      <c r="BC64" s="15"/>
      <c r="BD64" s="9">
        <v>309.95</v>
      </c>
      <c r="BE64" s="15" t="s">
        <v>7685</v>
      </c>
      <c r="BF64" s="9">
        <v>1099.01</v>
      </c>
      <c r="BG64" s="15" t="s">
        <v>7738</v>
      </c>
      <c r="BH64" s="95">
        <f>+SUM(BH60:BH63)</f>
        <v>9771.2799999999988</v>
      </c>
      <c r="BI64" s="15"/>
      <c r="BJ64" s="9"/>
      <c r="BK64" s="15"/>
      <c r="BL64" s="9"/>
      <c r="BM64" s="15"/>
      <c r="BN64" s="15"/>
      <c r="BO64" s="15"/>
      <c r="BP64" s="9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</row>
    <row r="65" spans="1:94" x14ac:dyDescent="0.25">
      <c r="A65" s="41"/>
      <c r="B65" s="9"/>
      <c r="C65" s="15"/>
      <c r="D65" s="95">
        <f>+SUM(D59:D64)</f>
        <v>14499.07</v>
      </c>
      <c r="E65" s="15"/>
      <c r="F65" s="9"/>
      <c r="G65" s="15"/>
      <c r="H65" s="9"/>
      <c r="I65" s="15"/>
      <c r="J65" s="72">
        <v>2040</v>
      </c>
      <c r="K65" s="24" t="s">
        <v>6662</v>
      </c>
      <c r="L65" s="9">
        <v>304.92</v>
      </c>
      <c r="M65" s="15" t="s">
        <v>6708</v>
      </c>
      <c r="N65" s="9">
        <v>1169</v>
      </c>
      <c r="O65" s="15" t="s">
        <v>6763</v>
      </c>
      <c r="P65" s="9"/>
      <c r="Q65" s="15"/>
      <c r="R65" s="9">
        <v>730.77</v>
      </c>
      <c r="S65" s="15" t="s">
        <v>6867</v>
      </c>
      <c r="T65" s="112">
        <v>2040</v>
      </c>
      <c r="U65" s="15" t="s">
        <v>6912</v>
      </c>
      <c r="V65" s="7"/>
      <c r="W65" s="26"/>
      <c r="X65" s="7">
        <v>319.37</v>
      </c>
      <c r="Y65" s="26" t="s">
        <v>6952</v>
      </c>
      <c r="Z65" s="113">
        <v>1169</v>
      </c>
      <c r="AA65" s="13" t="s">
        <v>7027</v>
      </c>
      <c r="AB65" s="112">
        <v>3000</v>
      </c>
      <c r="AC65" s="26" t="s">
        <v>7042</v>
      </c>
      <c r="AD65" s="72">
        <v>2050.62</v>
      </c>
      <c r="AE65" s="15" t="s">
        <v>7101</v>
      </c>
      <c r="AF65" s="9">
        <v>968.41</v>
      </c>
      <c r="AG65" s="15" t="s">
        <v>7150</v>
      </c>
      <c r="AH65" s="112">
        <v>1099</v>
      </c>
      <c r="AI65" s="15" t="s">
        <v>7194</v>
      </c>
      <c r="AJ65" s="72"/>
      <c r="AK65" s="15"/>
      <c r="AL65" s="9">
        <v>6619.99</v>
      </c>
      <c r="AM65" s="15" t="s">
        <v>7265</v>
      </c>
      <c r="AN65" s="9">
        <v>1169</v>
      </c>
      <c r="AO65" s="15" t="s">
        <v>7244</v>
      </c>
      <c r="AP65" s="95">
        <f>+SUM(AP59:AP64)</f>
        <v>22947.350000000006</v>
      </c>
      <c r="AQ65" s="15"/>
      <c r="AR65" s="9">
        <v>2000</v>
      </c>
      <c r="AS65" s="15" t="s">
        <v>7405</v>
      </c>
      <c r="AT65" s="213">
        <v>464</v>
      </c>
      <c r="AU65" s="15" t="s">
        <v>7453</v>
      </c>
      <c r="AV65" s="223">
        <v>2040</v>
      </c>
      <c r="AW65" s="26" t="s">
        <v>7524</v>
      </c>
      <c r="AX65" s="9"/>
      <c r="AY65" s="26"/>
      <c r="AZ65" s="9">
        <v>20000</v>
      </c>
      <c r="BA65" s="15" t="s">
        <v>7569</v>
      </c>
      <c r="BB65" s="11"/>
      <c r="BC65" s="13"/>
      <c r="BD65" s="9">
        <v>2229.52</v>
      </c>
      <c r="BE65" s="15" t="s">
        <v>7687</v>
      </c>
      <c r="BF65" s="9">
        <v>784.6</v>
      </c>
      <c r="BG65" s="15" t="s">
        <v>7740</v>
      </c>
      <c r="BH65" s="9"/>
      <c r="BI65" s="15"/>
      <c r="BJ65" s="9"/>
      <c r="BK65" s="15"/>
      <c r="BL65" s="9"/>
      <c r="BM65" s="15"/>
      <c r="BN65" s="15"/>
      <c r="BO65" s="15"/>
      <c r="BP65" s="9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  <c r="CO65" s="15"/>
      <c r="CP65" s="9"/>
    </row>
    <row r="66" spans="1:94" x14ac:dyDescent="0.25">
      <c r="A66" s="41"/>
      <c r="B66">
        <v>4500</v>
      </c>
      <c r="C66" t="s">
        <v>6538</v>
      </c>
      <c r="D66" s="9"/>
      <c r="E66" s="15"/>
      <c r="F66" s="9"/>
      <c r="G66" s="15"/>
      <c r="H66" s="11"/>
      <c r="I66" s="13"/>
      <c r="J66" s="9">
        <v>1970</v>
      </c>
      <c r="K66" s="15" t="s">
        <v>6664</v>
      </c>
      <c r="L66" s="111">
        <f>+SUM(L59:L65)</f>
        <v>9954.73</v>
      </c>
      <c r="M66" s="13"/>
      <c r="N66" s="111">
        <f>+SUM(N59:N65)</f>
        <v>13364.99</v>
      </c>
      <c r="O66" s="13"/>
      <c r="P66" s="11">
        <v>703.72</v>
      </c>
      <c r="Q66" s="13" t="s">
        <v>6811</v>
      </c>
      <c r="R66" s="193">
        <v>4395</v>
      </c>
      <c r="S66" s="15" t="s">
        <v>6869</v>
      </c>
      <c r="T66" s="112">
        <v>1169</v>
      </c>
      <c r="U66" s="15" t="s">
        <v>6913</v>
      </c>
      <c r="V66" s="9"/>
      <c r="W66" s="15"/>
      <c r="X66" s="9">
        <v>20000</v>
      </c>
      <c r="Y66" s="15" t="s">
        <v>6953</v>
      </c>
      <c r="Z66" s="112">
        <v>1929.01</v>
      </c>
      <c r="AA66" s="26" t="s">
        <v>7037</v>
      </c>
      <c r="AB66" s="112">
        <v>4900</v>
      </c>
      <c r="AC66" s="26" t="s">
        <v>7045</v>
      </c>
      <c r="AD66" s="72">
        <v>6241.24</v>
      </c>
      <c r="AE66" s="15" t="s">
        <v>7102</v>
      </c>
      <c r="AF66" s="9">
        <v>1169</v>
      </c>
      <c r="AG66" s="15" t="s">
        <v>7151</v>
      </c>
      <c r="AH66" s="112">
        <v>2040</v>
      </c>
      <c r="AI66" s="15" t="s">
        <v>7198</v>
      </c>
      <c r="AJ66" s="72"/>
      <c r="AK66" s="15"/>
      <c r="AL66" s="9">
        <v>6414.91</v>
      </c>
      <c r="AM66" s="15" t="s">
        <v>7270</v>
      </c>
      <c r="AN66" s="9">
        <v>505.01</v>
      </c>
      <c r="AO66" s="15" t="s">
        <v>7245</v>
      </c>
      <c r="AP66" s="95"/>
      <c r="AQ66" s="15"/>
      <c r="AR66" s="9">
        <v>2415</v>
      </c>
      <c r="AS66" s="15" t="s">
        <v>7406</v>
      </c>
      <c r="AT66" s="213">
        <v>2898.94</v>
      </c>
      <c r="AU66" s="15" t="s">
        <v>7454</v>
      </c>
      <c r="AV66" s="223">
        <v>1168.99</v>
      </c>
      <c r="AW66" s="26" t="s">
        <v>4929</v>
      </c>
      <c r="AX66" s="9"/>
      <c r="AY66" s="26"/>
      <c r="AZ66" s="11">
        <v>3419</v>
      </c>
      <c r="BA66" s="13" t="s">
        <v>7572</v>
      </c>
      <c r="BB66" s="9">
        <v>5360</v>
      </c>
      <c r="BC66" s="15" t="s">
        <v>7611</v>
      </c>
      <c r="BD66" s="9">
        <v>319.36</v>
      </c>
      <c r="BE66" s="15" t="s">
        <v>7694</v>
      </c>
      <c r="BF66" s="111">
        <f>+SUM(BF60:BF65)</f>
        <v>9341.6400000000012</v>
      </c>
      <c r="BG66" s="13"/>
      <c r="BH66" s="15">
        <v>830.42</v>
      </c>
      <c r="BI66" s="13" t="s">
        <v>7806</v>
      </c>
      <c r="BJ66" s="11"/>
      <c r="BK66" s="13"/>
      <c r="BL66" s="9"/>
      <c r="BM66" s="15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  <c r="CO66" s="15"/>
      <c r="CP66" s="9"/>
    </row>
    <row r="67" spans="1:94" x14ac:dyDescent="0.25">
      <c r="A67" s="43"/>
      <c r="B67">
        <v>941.87</v>
      </c>
      <c r="C67" t="s">
        <v>6539</v>
      </c>
      <c r="D67" s="11">
        <v>20000</v>
      </c>
      <c r="E67" s="13" t="s">
        <v>6633</v>
      </c>
      <c r="F67" s="11"/>
      <c r="G67" s="13"/>
      <c r="H67" s="9"/>
      <c r="I67" s="15"/>
      <c r="J67" s="9">
        <v>1169</v>
      </c>
      <c r="K67" s="13" t="s">
        <v>6678</v>
      </c>
      <c r="L67" s="9"/>
      <c r="M67" s="26"/>
      <c r="N67" s="7"/>
      <c r="O67" s="26"/>
      <c r="P67" s="9">
        <v>3000</v>
      </c>
      <c r="Q67" s="15" t="s">
        <v>6812</v>
      </c>
      <c r="R67" s="11">
        <v>1099.01</v>
      </c>
      <c r="S67" s="13" t="s">
        <v>6870</v>
      </c>
      <c r="T67" s="113">
        <v>1718.99</v>
      </c>
      <c r="U67" s="13" t="s">
        <v>6918</v>
      </c>
      <c r="V67" s="9"/>
      <c r="W67" s="15"/>
      <c r="X67" s="9">
        <v>175</v>
      </c>
      <c r="Y67" s="15" t="s">
        <v>6954</v>
      </c>
      <c r="Z67" s="15">
        <f>+SUM(Z59:Z66)</f>
        <v>16450.219999999998</v>
      </c>
      <c r="AA67" s="15"/>
      <c r="AB67" s="113">
        <v>1209</v>
      </c>
      <c r="AC67" s="13" t="s">
        <v>7058</v>
      </c>
      <c r="AD67" s="72">
        <v>8573.1200000000008</v>
      </c>
      <c r="AE67" s="13" t="s">
        <v>7103</v>
      </c>
      <c r="AF67" s="72">
        <v>1099</v>
      </c>
      <c r="AG67" s="13" t="s">
        <v>7153</v>
      </c>
      <c r="AH67" s="113">
        <v>3250.01</v>
      </c>
      <c r="AI67" s="13" t="s">
        <v>7201</v>
      </c>
      <c r="AJ67" s="72"/>
      <c r="AK67" s="13"/>
      <c r="AL67" s="11">
        <v>1539.58</v>
      </c>
      <c r="AM67" s="13" t="s">
        <v>7273</v>
      </c>
      <c r="AN67" s="9">
        <v>261</v>
      </c>
      <c r="AO67" s="15" t="s">
        <v>7246</v>
      </c>
      <c r="AP67" s="113">
        <v>2000</v>
      </c>
      <c r="AQ67" s="13" t="s">
        <v>7322</v>
      </c>
      <c r="AR67" s="9">
        <v>1168.99</v>
      </c>
      <c r="AS67" s="15" t="s">
        <v>7417</v>
      </c>
      <c r="AT67" s="218">
        <v>2040</v>
      </c>
      <c r="AU67" s="13" t="s">
        <v>7456</v>
      </c>
      <c r="AV67" s="223">
        <v>1970</v>
      </c>
      <c r="AW67" s="15" t="s">
        <v>7532</v>
      </c>
      <c r="AX67" s="9"/>
      <c r="AY67" s="15"/>
      <c r="AZ67" s="9">
        <v>3320</v>
      </c>
      <c r="BA67" s="26" t="s">
        <v>7574</v>
      </c>
      <c r="BB67" s="9">
        <v>2027.05</v>
      </c>
      <c r="BC67" s="15" t="s">
        <v>7612</v>
      </c>
      <c r="BD67" s="11">
        <v>19130</v>
      </c>
      <c r="BE67" s="13" t="s">
        <v>7695</v>
      </c>
      <c r="BF67" s="7"/>
      <c r="BG67" s="26"/>
      <c r="BH67" s="9">
        <v>5000</v>
      </c>
      <c r="BI67" s="26" t="s">
        <v>7810</v>
      </c>
      <c r="BJ67" s="9"/>
      <c r="BK67" s="15"/>
      <c r="BL67" s="9"/>
      <c r="BM67" s="15"/>
      <c r="BN67" s="11"/>
      <c r="BO67" s="13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  <c r="CO67" s="13"/>
      <c r="CP67" s="11"/>
    </row>
    <row r="68" spans="1:94" x14ac:dyDescent="0.25">
      <c r="A68" s="41"/>
      <c r="B68">
        <v>5000</v>
      </c>
      <c r="C68" t="s">
        <v>6540</v>
      </c>
      <c r="D68" s="72">
        <v>20000</v>
      </c>
      <c r="E68" s="15" t="s">
        <v>6634</v>
      </c>
      <c r="F68" s="7"/>
      <c r="G68" s="26"/>
      <c r="H68" s="9"/>
      <c r="I68" s="15"/>
      <c r="J68" s="9">
        <v>1169</v>
      </c>
      <c r="K68" s="15" t="s">
        <v>6670</v>
      </c>
      <c r="L68" s="9">
        <v>402.49</v>
      </c>
      <c r="M68" s="15" t="s">
        <v>6710</v>
      </c>
      <c r="N68" s="9"/>
      <c r="O68" s="15"/>
      <c r="P68" s="72">
        <v>536.29</v>
      </c>
      <c r="Q68" s="15" t="s">
        <v>6815</v>
      </c>
      <c r="R68" s="9">
        <v>1169</v>
      </c>
      <c r="S68" s="26" t="s">
        <v>6871</v>
      </c>
      <c r="T68" s="112">
        <v>2935.99</v>
      </c>
      <c r="U68" s="26" t="s">
        <v>6921</v>
      </c>
      <c r="V68" s="9"/>
      <c r="W68" s="15"/>
      <c r="X68" s="9">
        <v>175</v>
      </c>
      <c r="Y68" s="15" t="s">
        <v>6962</v>
      </c>
      <c r="Z68" s="15"/>
      <c r="AA68" s="15"/>
      <c r="AB68" s="112">
        <v>1099.01</v>
      </c>
      <c r="AC68" s="26" t="s">
        <v>7060</v>
      </c>
      <c r="AD68" s="72">
        <v>3400.91</v>
      </c>
      <c r="AE68" s="26" t="s">
        <v>7107</v>
      </c>
      <c r="AF68" s="9">
        <f>9388.08-1199.99</f>
        <v>8188.09</v>
      </c>
      <c r="AG68" s="26" t="s">
        <v>7157</v>
      </c>
      <c r="AH68" s="112">
        <v>4465</v>
      </c>
      <c r="AI68" s="26" t="s">
        <v>7204</v>
      </c>
      <c r="AJ68" s="72"/>
      <c r="AK68" s="85"/>
      <c r="AL68" s="9">
        <v>2000</v>
      </c>
      <c r="AM68" s="26" t="s">
        <v>7274</v>
      </c>
      <c r="AN68" s="9">
        <v>2039.99</v>
      </c>
      <c r="AO68" s="15" t="s">
        <v>7253</v>
      </c>
      <c r="AP68" s="112">
        <v>3200.99</v>
      </c>
      <c r="AQ68" s="26" t="s">
        <v>7323</v>
      </c>
      <c r="AR68" s="7">
        <v>1169</v>
      </c>
      <c r="AS68" s="26" t="s">
        <v>7419</v>
      </c>
      <c r="AT68" s="213">
        <v>1815.52</v>
      </c>
      <c r="AU68" s="15" t="s">
        <v>7460</v>
      </c>
      <c r="AV68" s="99">
        <f>+SUM(AV58:AV67)</f>
        <v>16148.97</v>
      </c>
      <c r="AW68" s="15"/>
      <c r="AX68" s="9"/>
      <c r="AY68" s="15"/>
      <c r="AZ68" s="9">
        <v>1519.01</v>
      </c>
      <c r="BA68" s="15" t="s">
        <v>7575</v>
      </c>
      <c r="BB68" s="9">
        <v>1099</v>
      </c>
      <c r="BC68" s="15" t="s">
        <v>7613</v>
      </c>
      <c r="BD68" s="7">
        <v>1411.18</v>
      </c>
      <c r="BE68" s="26" t="s">
        <v>7698</v>
      </c>
      <c r="BF68" s="9">
        <v>7000</v>
      </c>
      <c r="BG68" s="15" t="s">
        <v>7741</v>
      </c>
      <c r="BH68" s="9">
        <v>3777.46</v>
      </c>
      <c r="BI68" s="15" t="s">
        <v>7814</v>
      </c>
      <c r="BJ68" s="9"/>
      <c r="BK68" s="15"/>
      <c r="BL68" s="9"/>
      <c r="BM68" s="15"/>
      <c r="BN68" s="9"/>
      <c r="BO68" s="15"/>
      <c r="BP68" s="9"/>
      <c r="BQ68" s="15"/>
      <c r="BR68" s="9"/>
      <c r="BS68" s="15"/>
      <c r="BT68" s="9"/>
      <c r="BU68" s="15"/>
      <c r="BV68" s="9"/>
      <c r="BW68" s="15"/>
      <c r="BX68" s="9"/>
      <c r="BY68" s="15"/>
      <c r="BZ68" s="9"/>
      <c r="CA68" s="15"/>
      <c r="CB68" s="9"/>
      <c r="CC68" s="15"/>
      <c r="CD68" s="9"/>
      <c r="CE68" s="15"/>
      <c r="CF68" s="9"/>
      <c r="CG68" s="15"/>
      <c r="CH68" s="9"/>
      <c r="CI68" s="15"/>
      <c r="CJ68" s="9"/>
      <c r="CK68" s="15"/>
      <c r="CL68" s="9"/>
      <c r="CM68" s="15"/>
      <c r="CN68" s="9"/>
      <c r="CO68" s="15"/>
      <c r="CP68" s="9"/>
    </row>
    <row r="69" spans="1:94" x14ac:dyDescent="0.25">
      <c r="A69" s="41"/>
      <c r="B69">
        <f>6855.01-4000</f>
        <v>2855.01</v>
      </c>
      <c r="C69" t="s">
        <v>6528</v>
      </c>
      <c r="D69" s="9">
        <v>9306.65</v>
      </c>
      <c r="E69" s="15" t="s">
        <v>6637</v>
      </c>
      <c r="F69" s="9"/>
      <c r="G69" s="15"/>
      <c r="H69" s="9"/>
      <c r="I69" s="15"/>
      <c r="J69" s="9">
        <v>932.27</v>
      </c>
      <c r="K69" s="15" t="s">
        <v>6675</v>
      </c>
      <c r="L69" s="9">
        <v>150</v>
      </c>
      <c r="M69" s="15" t="s">
        <v>6712</v>
      </c>
      <c r="N69" s="9"/>
      <c r="O69" s="15"/>
      <c r="P69" s="72">
        <v>1939</v>
      </c>
      <c r="Q69" s="15" t="s">
        <v>6820</v>
      </c>
      <c r="R69" s="9">
        <v>3320</v>
      </c>
      <c r="S69" s="26" t="s">
        <v>6877</v>
      </c>
      <c r="T69" s="112">
        <v>4220</v>
      </c>
      <c r="U69" s="15" t="s">
        <v>6923</v>
      </c>
      <c r="V69" s="9"/>
      <c r="W69" s="15"/>
      <c r="X69" s="9">
        <v>1133.99</v>
      </c>
      <c r="Y69" s="15" t="s">
        <v>6968</v>
      </c>
      <c r="Z69" s="9"/>
      <c r="AA69" s="15"/>
      <c r="AB69" s="112">
        <v>1168.99</v>
      </c>
      <c r="AC69" s="15" t="s">
        <v>7062</v>
      </c>
      <c r="AD69" s="72">
        <v>10000</v>
      </c>
      <c r="AE69" s="15" t="s">
        <v>7110</v>
      </c>
      <c r="AF69" s="9">
        <v>2040</v>
      </c>
      <c r="AG69" s="15" t="s">
        <v>7158</v>
      </c>
      <c r="AH69" s="112">
        <v>150</v>
      </c>
      <c r="AI69" s="15" t="s">
        <v>7207</v>
      </c>
      <c r="AJ69" s="24"/>
      <c r="AK69" s="15"/>
      <c r="AL69" s="9">
        <v>1168.99</v>
      </c>
      <c r="AM69" s="15" t="s">
        <v>7281</v>
      </c>
      <c r="AN69" s="9">
        <v>1169</v>
      </c>
      <c r="AO69" s="15" t="s">
        <v>7254</v>
      </c>
      <c r="AP69" s="162">
        <v>7404.23</v>
      </c>
      <c r="AQ69" s="15" t="s">
        <v>7329</v>
      </c>
      <c r="AR69" s="9">
        <v>1169</v>
      </c>
      <c r="AS69" s="15" t="s">
        <v>7422</v>
      </c>
      <c r="AT69" s="213">
        <v>1970</v>
      </c>
      <c r="AU69" s="15" t="s">
        <v>7462</v>
      </c>
      <c r="AV69" s="9"/>
      <c r="AW69" s="15"/>
      <c r="AX69" s="9"/>
      <c r="AY69" s="15"/>
      <c r="AZ69" s="9">
        <v>1099</v>
      </c>
      <c r="BA69" s="15" t="s">
        <v>7577</v>
      </c>
      <c r="BB69" s="9">
        <v>68.55</v>
      </c>
      <c r="BC69" s="15" t="s">
        <v>7632</v>
      </c>
      <c r="BD69" s="9">
        <v>5169.6000000000004</v>
      </c>
      <c r="BE69" s="15" t="s">
        <v>7699</v>
      </c>
      <c r="BF69" s="9">
        <v>9000</v>
      </c>
      <c r="BG69" s="15" t="s">
        <v>7743</v>
      </c>
      <c r="BH69" s="9">
        <v>419.36</v>
      </c>
      <c r="BI69" s="15" t="s">
        <v>7826</v>
      </c>
      <c r="BJ69" s="9"/>
      <c r="BK69" s="15"/>
      <c r="BL69" s="9"/>
      <c r="BM69" s="15"/>
      <c r="BN69" s="15"/>
      <c r="BO69" s="15"/>
      <c r="BP69" s="9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</row>
    <row r="70" spans="1:94" x14ac:dyDescent="0.25">
      <c r="A70" s="41"/>
      <c r="B70">
        <v>1583.01</v>
      </c>
      <c r="C70" t="s">
        <v>6541</v>
      </c>
      <c r="D70" s="9">
        <v>5000</v>
      </c>
      <c r="E70" s="15" t="s">
        <v>6638</v>
      </c>
      <c r="F70" s="9"/>
      <c r="G70" s="15"/>
      <c r="H70" s="9"/>
      <c r="I70" s="15"/>
      <c r="J70" s="9">
        <v>277.94</v>
      </c>
      <c r="K70" s="15" t="s">
        <v>6676</v>
      </c>
      <c r="L70" s="9">
        <v>1169</v>
      </c>
      <c r="M70" s="15" t="s">
        <v>6723</v>
      </c>
      <c r="N70" s="9"/>
      <c r="O70" s="15"/>
      <c r="P70" s="9">
        <v>1099.01</v>
      </c>
      <c r="Q70" s="15" t="s">
        <v>6829</v>
      </c>
      <c r="R70" s="9">
        <v>700</v>
      </c>
      <c r="S70" s="26" t="s">
        <v>6884</v>
      </c>
      <c r="T70" s="112">
        <v>991.25</v>
      </c>
      <c r="U70" s="15" t="s">
        <v>6933</v>
      </c>
      <c r="V70" s="9"/>
      <c r="W70" s="15"/>
      <c r="X70" s="9">
        <v>1168.99</v>
      </c>
      <c r="Y70" s="15" t="s">
        <v>6971</v>
      </c>
      <c r="Z70" s="9"/>
      <c r="AA70" s="15"/>
      <c r="AB70" s="112">
        <v>100</v>
      </c>
      <c r="AC70" s="15" t="s">
        <v>7063</v>
      </c>
      <c r="AD70" s="72">
        <v>1168.99</v>
      </c>
      <c r="AE70" s="85" t="s">
        <v>7113</v>
      </c>
      <c r="AF70" s="9">
        <v>1169</v>
      </c>
      <c r="AG70" s="15" t="s">
        <v>7159</v>
      </c>
      <c r="AH70" s="72"/>
      <c r="AI70" s="24"/>
      <c r="AJ70" s="9"/>
      <c r="AK70" s="15"/>
      <c r="AL70" s="9">
        <v>1169</v>
      </c>
      <c r="AM70" s="15" t="s">
        <v>7283</v>
      </c>
      <c r="AN70" s="7">
        <v>1970.03</v>
      </c>
      <c r="AO70" s="26" t="s">
        <v>7255</v>
      </c>
      <c r="AP70" s="112">
        <v>2000</v>
      </c>
      <c r="AQ70" s="15" t="s">
        <v>7330</v>
      </c>
      <c r="AR70" s="7">
        <v>1168.99</v>
      </c>
      <c r="AS70" s="26" t="s">
        <v>7408</v>
      </c>
      <c r="AT70" s="213">
        <v>1169</v>
      </c>
      <c r="AU70" s="15" t="s">
        <v>7465</v>
      </c>
      <c r="AV70" s="72"/>
      <c r="AW70" s="15"/>
      <c r="AX70" s="72"/>
      <c r="AY70" s="15"/>
      <c r="AZ70" s="9">
        <v>1168.99</v>
      </c>
      <c r="BA70" s="15" t="s">
        <v>7579</v>
      </c>
      <c r="BB70" s="9">
        <v>1632.99</v>
      </c>
      <c r="BC70" s="15" t="s">
        <v>7639</v>
      </c>
      <c r="BD70" s="9">
        <v>959.18</v>
      </c>
      <c r="BE70" s="15" t="s">
        <v>7702</v>
      </c>
      <c r="BF70" s="9">
        <v>3827.92</v>
      </c>
      <c r="BG70" s="15" t="s">
        <v>7746</v>
      </c>
      <c r="BH70" s="72">
        <v>4168.99</v>
      </c>
      <c r="BI70" s="15" t="s">
        <v>7836</v>
      </c>
      <c r="BJ70" s="9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  <c r="CO70" s="15"/>
      <c r="CP70" s="9"/>
    </row>
    <row r="71" spans="1:94" x14ac:dyDescent="0.25">
      <c r="A71" s="41"/>
      <c r="B71">
        <v>3250</v>
      </c>
      <c r="C71" t="s">
        <v>6542</v>
      </c>
      <c r="D71" s="9">
        <v>1168.99</v>
      </c>
      <c r="E71" s="15" t="s">
        <v>6639</v>
      </c>
      <c r="F71" s="9"/>
      <c r="G71" s="15"/>
      <c r="H71" s="72"/>
      <c r="I71" s="24"/>
      <c r="J71" s="95">
        <f>+SUM(J58:J70)</f>
        <v>61390.06</v>
      </c>
      <c r="K71" s="15"/>
      <c r="L71" s="72">
        <v>1200</v>
      </c>
      <c r="M71" s="15" t="s">
        <v>6724</v>
      </c>
      <c r="N71" s="72"/>
      <c r="O71" s="15"/>
      <c r="P71" s="9">
        <v>1099</v>
      </c>
      <c r="Q71" s="15" t="s">
        <v>6830</v>
      </c>
      <c r="R71" s="95">
        <f>+SUM(R63:R70)</f>
        <v>13541.79</v>
      </c>
      <c r="S71" s="15"/>
      <c r="T71" s="112">
        <v>594.41999999999996</v>
      </c>
      <c r="U71" s="15" t="s">
        <v>6934</v>
      </c>
      <c r="V71" s="9"/>
      <c r="W71" s="15"/>
      <c r="X71" s="9">
        <v>1169</v>
      </c>
      <c r="Y71" s="15" t="s">
        <v>6972</v>
      </c>
      <c r="Z71" s="9"/>
      <c r="AA71" s="9"/>
      <c r="AB71" s="112">
        <v>2039.99</v>
      </c>
      <c r="AC71" s="15" t="s">
        <v>7064</v>
      </c>
      <c r="AD71" s="72">
        <v>675</v>
      </c>
      <c r="AE71" s="15" t="s">
        <v>7115</v>
      </c>
      <c r="AF71" s="9">
        <v>1169</v>
      </c>
      <c r="AG71" s="15" t="s">
        <v>7164</v>
      </c>
      <c r="AH71" s="95">
        <f>+SUM(AH59:AH70)</f>
        <v>19408.050000000003</v>
      </c>
      <c r="AI71" s="15"/>
      <c r="AJ71" s="72"/>
      <c r="AK71" s="15"/>
      <c r="AL71" s="9">
        <v>1970</v>
      </c>
      <c r="AM71" s="15" t="s">
        <v>7286</v>
      </c>
      <c r="AN71" s="72">
        <v>2040</v>
      </c>
      <c r="AO71" s="15" t="s">
        <v>7259</v>
      </c>
      <c r="AP71" s="112">
        <v>2040</v>
      </c>
      <c r="AQ71" s="15" t="s">
        <v>7342</v>
      </c>
      <c r="AR71" s="95">
        <f>+SUM(AR60:AR70)</f>
        <v>18942.960000000003</v>
      </c>
      <c r="AS71" s="15"/>
      <c r="AT71" s="213">
        <v>1168.99</v>
      </c>
      <c r="AU71" s="15" t="s">
        <v>7466</v>
      </c>
      <c r="AV71" s="9"/>
      <c r="AW71" s="15"/>
      <c r="AX71" s="9"/>
      <c r="AY71" s="15"/>
      <c r="AZ71" s="9">
        <v>3320</v>
      </c>
      <c r="BA71" s="15" t="s">
        <v>7581</v>
      </c>
      <c r="BB71" s="9">
        <v>1168.99</v>
      </c>
      <c r="BC71" s="15" t="s">
        <v>7640</v>
      </c>
      <c r="BD71" s="137">
        <v>4149.99</v>
      </c>
      <c r="BE71" s="15" t="s">
        <v>7706</v>
      </c>
      <c r="BF71" s="9">
        <v>5000</v>
      </c>
      <c r="BG71" s="15" t="s">
        <v>7749</v>
      </c>
      <c r="BH71" s="72">
        <v>3529</v>
      </c>
      <c r="BI71" s="15" t="s">
        <v>7837</v>
      </c>
      <c r="BJ71" s="9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  <c r="CO71" s="15"/>
      <c r="CP71" s="9"/>
    </row>
    <row r="72" spans="1:94" x14ac:dyDescent="0.25">
      <c r="A72" s="41"/>
      <c r="B72">
        <v>4464.99</v>
      </c>
      <c r="C72" t="s">
        <v>6543</v>
      </c>
      <c r="D72" s="95">
        <f>+SUM(D67:D71)</f>
        <v>55475.64</v>
      </c>
      <c r="E72" s="15"/>
      <c r="F72" s="9"/>
      <c r="G72" s="15"/>
      <c r="H72" s="9"/>
      <c r="I72" s="15"/>
      <c r="J72" s="9"/>
      <c r="K72" s="15"/>
      <c r="L72" s="9">
        <v>1169</v>
      </c>
      <c r="M72" s="15" t="s">
        <v>6725</v>
      </c>
      <c r="N72" s="72"/>
      <c r="O72" s="15"/>
      <c r="P72" s="9">
        <v>1970</v>
      </c>
      <c r="Q72" s="15" t="s">
        <v>6831</v>
      </c>
      <c r="R72" s="9"/>
      <c r="S72" s="15"/>
      <c r="T72" s="95">
        <f>+SUM(T59:T71)</f>
        <v>21275.649999999998</v>
      </c>
      <c r="U72" s="15"/>
      <c r="V72" s="9"/>
      <c r="W72" s="15"/>
      <c r="X72" s="9">
        <v>2040</v>
      </c>
      <c r="Y72" s="15" t="s">
        <v>6973</v>
      </c>
      <c r="Z72" s="9"/>
      <c r="AA72" s="15"/>
      <c r="AB72" s="112">
        <v>1999.84</v>
      </c>
      <c r="AC72" s="15" t="s">
        <v>7066</v>
      </c>
      <c r="AD72" s="9">
        <v>1169</v>
      </c>
      <c r="AE72" s="15" t="s">
        <v>7117</v>
      </c>
      <c r="AF72" s="9">
        <v>1169</v>
      </c>
      <c r="AG72" s="15" t="s">
        <v>7165</v>
      </c>
      <c r="AH72" s="9"/>
      <c r="AI72" s="15"/>
      <c r="AJ72" s="72"/>
      <c r="AK72" s="15"/>
      <c r="AL72" s="9">
        <v>2040</v>
      </c>
      <c r="AM72" s="15" t="s">
        <v>7287</v>
      </c>
      <c r="AN72" s="9">
        <v>1169</v>
      </c>
      <c r="AO72" s="15" t="s">
        <v>7260</v>
      </c>
      <c r="AP72" s="112">
        <v>1970</v>
      </c>
      <c r="AQ72" s="15" t="s">
        <v>7346</v>
      </c>
      <c r="AR72" s="9"/>
      <c r="AS72" s="15"/>
      <c r="AT72" s="213">
        <v>3238.99</v>
      </c>
      <c r="AU72" s="15" t="s">
        <v>7469</v>
      </c>
      <c r="AV72" s="9"/>
      <c r="AW72" s="15"/>
      <c r="AX72" s="9"/>
      <c r="AY72" s="15"/>
      <c r="AZ72" s="72">
        <v>3250</v>
      </c>
      <c r="BA72" s="15" t="s">
        <v>7582</v>
      </c>
      <c r="BB72" s="9">
        <v>3934</v>
      </c>
      <c r="BC72" s="15" t="s">
        <v>7643</v>
      </c>
      <c r="BD72" s="137">
        <v>3250.01</v>
      </c>
      <c r="BE72" s="15" t="s">
        <v>7711</v>
      </c>
      <c r="BF72" s="9">
        <v>2254.5300000000002</v>
      </c>
      <c r="BG72" s="15" t="s">
        <v>7754</v>
      </c>
      <c r="BH72" s="9">
        <v>1169</v>
      </c>
      <c r="BI72" s="15" t="s">
        <v>7849</v>
      </c>
      <c r="BJ72" s="9"/>
      <c r="BK72" s="15"/>
      <c r="BL72" s="9"/>
      <c r="BM72" s="15"/>
      <c r="BN72" s="15"/>
      <c r="BO72" s="15"/>
      <c r="BP72" s="9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</row>
    <row r="73" spans="1:94" x14ac:dyDescent="0.25">
      <c r="A73" s="41"/>
      <c r="B73">
        <v>1099</v>
      </c>
      <c r="C73" t="s">
        <v>6544</v>
      </c>
      <c r="D73" s="9"/>
      <c r="E73" s="15"/>
      <c r="F73" s="9"/>
      <c r="G73" s="15"/>
      <c r="H73" s="9"/>
      <c r="I73" s="15"/>
      <c r="J73" s="9"/>
      <c r="K73" s="15"/>
      <c r="L73" s="9">
        <v>1471</v>
      </c>
      <c r="M73" s="15" t="s">
        <v>6733</v>
      </c>
      <c r="N73" s="72"/>
      <c r="O73" s="15"/>
      <c r="P73" s="95">
        <f>+SUM(P66:P72)</f>
        <v>10347.02</v>
      </c>
      <c r="Q73" s="15"/>
      <c r="R73" s="9"/>
      <c r="S73" s="15"/>
      <c r="T73" s="9"/>
      <c r="U73" s="15"/>
      <c r="V73" s="9"/>
      <c r="W73" s="15"/>
      <c r="X73" s="9">
        <v>2065</v>
      </c>
      <c r="Y73" s="15" t="s">
        <v>6975</v>
      </c>
      <c r="Z73" s="9"/>
      <c r="AA73" s="15"/>
      <c r="AB73" s="112">
        <v>1099.01</v>
      </c>
      <c r="AC73" s="15" t="s">
        <v>7069</v>
      </c>
      <c r="AD73" s="9">
        <v>1970</v>
      </c>
      <c r="AE73" s="15" t="s">
        <v>7121</v>
      </c>
      <c r="AF73" s="9">
        <v>1099.01</v>
      </c>
      <c r="AG73" s="15" t="s">
        <v>7171</v>
      </c>
      <c r="AH73" s="15"/>
      <c r="AI73" s="15"/>
      <c r="AJ73" s="15"/>
      <c r="AK73" s="15"/>
      <c r="AL73" s="95">
        <f>+SUM(AL65:AL72)</f>
        <v>22922.47</v>
      </c>
      <c r="AM73" s="15"/>
      <c r="AN73" s="95">
        <f>+SUM(AN60:AN72)</f>
        <v>52262.9</v>
      </c>
      <c r="AO73" s="15"/>
      <c r="AP73" s="112">
        <v>2040</v>
      </c>
      <c r="AQ73" s="15" t="s">
        <v>7358</v>
      </c>
      <c r="AR73" s="9">
        <v>20000</v>
      </c>
      <c r="AS73" s="15" t="s">
        <v>7479</v>
      </c>
      <c r="AT73" s="213">
        <v>763.42</v>
      </c>
      <c r="AU73" s="15" t="s">
        <v>7474</v>
      </c>
      <c r="AV73" s="15"/>
      <c r="AW73" s="15"/>
      <c r="AX73" s="15"/>
      <c r="AY73" s="15"/>
      <c r="AZ73" s="9">
        <v>3250.01</v>
      </c>
      <c r="BA73" s="15" t="s">
        <v>7588</v>
      </c>
      <c r="BB73" s="9">
        <v>8657.92</v>
      </c>
      <c r="BC73" s="15" t="s">
        <v>7644</v>
      </c>
      <c r="BD73" s="9">
        <v>3320</v>
      </c>
      <c r="BE73" s="15" t="s">
        <v>7713</v>
      </c>
      <c r="BF73" s="9">
        <v>3599.07</v>
      </c>
      <c r="BG73" s="15" t="s">
        <v>7758</v>
      </c>
      <c r="BH73" s="9">
        <v>40</v>
      </c>
      <c r="BI73" s="15" t="s">
        <v>7851</v>
      </c>
      <c r="BJ73" s="9"/>
      <c r="BK73" s="15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  <c r="CO73" s="15"/>
      <c r="CP73" s="9"/>
    </row>
    <row r="74" spans="1:94" x14ac:dyDescent="0.25">
      <c r="A74" s="41"/>
      <c r="B74" s="95">
        <f>+SUM(B66:B73)</f>
        <v>23693.879999999997</v>
      </c>
      <c r="C74" s="15"/>
      <c r="D74" s="9"/>
      <c r="E74" s="15"/>
      <c r="F74" s="9"/>
      <c r="G74" s="15"/>
      <c r="H74" s="15"/>
      <c r="I74" s="15"/>
      <c r="J74" s="15"/>
      <c r="K74" s="15"/>
      <c r="L74" s="9">
        <v>3168.99</v>
      </c>
      <c r="M74" s="15" t="s">
        <v>6734</v>
      </c>
      <c r="N74" s="9"/>
      <c r="O74" s="15"/>
      <c r="P74" s="15"/>
      <c r="Q74" s="15"/>
      <c r="R74" s="9"/>
      <c r="S74" s="15"/>
      <c r="T74" s="9"/>
      <c r="U74" s="15"/>
      <c r="V74" s="9"/>
      <c r="W74" s="15"/>
      <c r="X74" s="9">
        <v>150</v>
      </c>
      <c r="Y74" s="15" t="s">
        <v>6978</v>
      </c>
      <c r="Z74" s="15"/>
      <c r="AA74" s="15"/>
      <c r="AB74" s="112">
        <v>4424.99</v>
      </c>
      <c r="AC74" s="15" t="s">
        <v>7071</v>
      </c>
      <c r="AD74" s="9">
        <v>696</v>
      </c>
      <c r="AE74" s="15" t="s">
        <v>7122</v>
      </c>
      <c r="AF74" s="9">
        <v>8310</v>
      </c>
      <c r="AG74" s="15" t="s">
        <v>7172</v>
      </c>
      <c r="AH74" s="9"/>
      <c r="AI74" s="15"/>
      <c r="AJ74" s="72"/>
      <c r="AK74" s="15"/>
      <c r="AL74" s="9"/>
      <c r="AM74" s="15"/>
      <c r="AN74" s="9"/>
      <c r="AO74" s="15"/>
      <c r="AP74" s="112">
        <v>4395.01</v>
      </c>
      <c r="AQ74" s="15" t="s">
        <v>7359</v>
      </c>
      <c r="AR74" s="9">
        <v>1169</v>
      </c>
      <c r="AS74" s="15" t="s">
        <v>7483</v>
      </c>
      <c r="AT74" s="213">
        <v>2000</v>
      </c>
      <c r="AU74" s="15" t="s">
        <v>7475</v>
      </c>
      <c r="AV74" s="15"/>
      <c r="AW74" s="15"/>
      <c r="AX74" s="9"/>
      <c r="AY74" s="15"/>
      <c r="AZ74" s="9">
        <v>1169</v>
      </c>
      <c r="BA74" s="15" t="s">
        <v>7590</v>
      </c>
      <c r="BB74" s="9">
        <v>2420</v>
      </c>
      <c r="BC74" s="15" t="s">
        <v>7646</v>
      </c>
      <c r="BD74" s="9">
        <v>2029.51</v>
      </c>
      <c r="BE74" s="15" t="s">
        <v>7717</v>
      </c>
      <c r="BF74" s="9">
        <v>2040</v>
      </c>
      <c r="BG74" s="15" t="s">
        <v>7761</v>
      </c>
      <c r="BH74" s="9">
        <v>1695.99</v>
      </c>
      <c r="BI74" s="15" t="s">
        <v>7854</v>
      </c>
      <c r="BJ74" s="9"/>
      <c r="BK74" s="15"/>
      <c r="BL74" s="9"/>
      <c r="BM74" s="15"/>
      <c r="BN74" s="9"/>
      <c r="BO74" s="15"/>
      <c r="BP74" s="15"/>
      <c r="BQ74" s="15"/>
      <c r="BR74" s="9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  <c r="CO74" s="15"/>
      <c r="CP74" s="9"/>
    </row>
    <row r="75" spans="1:94" x14ac:dyDescent="0.25">
      <c r="A75" s="41"/>
      <c r="B75" s="9"/>
      <c r="C75" s="15"/>
      <c r="D75" s="9"/>
      <c r="E75" s="15"/>
      <c r="F75" s="9"/>
      <c r="G75" s="15"/>
      <c r="H75" s="9"/>
      <c r="I75" s="15"/>
      <c r="J75" s="15"/>
      <c r="K75" s="15"/>
      <c r="L75" s="9">
        <v>1168.99</v>
      </c>
      <c r="M75" s="15" t="s">
        <v>6735</v>
      </c>
      <c r="N75" s="9"/>
      <c r="O75" s="15"/>
      <c r="P75" s="15"/>
      <c r="Q75" s="15"/>
      <c r="R75" s="9"/>
      <c r="S75" s="15"/>
      <c r="T75" s="9"/>
      <c r="U75" s="15"/>
      <c r="V75" s="133"/>
      <c r="W75" s="15"/>
      <c r="X75" s="133">
        <v>260.33</v>
      </c>
      <c r="Y75" s="15" t="s">
        <v>6979</v>
      </c>
      <c r="Z75" s="9"/>
      <c r="AA75" s="9"/>
      <c r="AB75" s="9">
        <v>1099</v>
      </c>
      <c r="AC75" s="15" t="s">
        <v>7055</v>
      </c>
      <c r="AD75" s="9">
        <v>2040</v>
      </c>
      <c r="AE75" s="15" t="s">
        <v>7123</v>
      </c>
      <c r="AF75" s="9">
        <v>253.33</v>
      </c>
      <c r="AG75" s="15" t="s">
        <v>7175</v>
      </c>
      <c r="AH75" s="9"/>
      <c r="AI75" s="15"/>
      <c r="AJ75" s="72"/>
      <c r="AK75" s="15"/>
      <c r="AL75" s="7"/>
      <c r="AM75" s="26"/>
      <c r="AN75" s="9">
        <v>1169</v>
      </c>
      <c r="AO75" s="15" t="s">
        <v>7299</v>
      </c>
      <c r="AP75" s="162">
        <v>1099</v>
      </c>
      <c r="AQ75" s="15" t="s">
        <v>7363</v>
      </c>
      <c r="AR75" s="72">
        <v>1168.99</v>
      </c>
      <c r="AS75" s="15" t="s">
        <v>7487</v>
      </c>
      <c r="AT75" s="213">
        <v>18583.25</v>
      </c>
      <c r="AU75" s="26" t="s">
        <v>7434</v>
      </c>
      <c r="AV75" s="15"/>
      <c r="AW75" s="15"/>
      <c r="AX75" s="15"/>
      <c r="AY75" s="15"/>
      <c r="AZ75" s="95">
        <f>+SUM(AZ64:AZ74)</f>
        <v>44765.01</v>
      </c>
      <c r="BA75" s="15"/>
      <c r="BB75" s="9">
        <v>1168.99</v>
      </c>
      <c r="BC75" s="15" t="s">
        <v>7649</v>
      </c>
      <c r="BD75" s="9">
        <v>4395.01</v>
      </c>
      <c r="BE75" s="15" t="s">
        <v>7720</v>
      </c>
      <c r="BF75" s="7">
        <v>2039.99</v>
      </c>
      <c r="BG75" s="26" t="s">
        <v>7763</v>
      </c>
      <c r="BH75" s="9">
        <v>4079.99</v>
      </c>
      <c r="BI75" s="15" t="s">
        <v>7855</v>
      </c>
      <c r="BJ75" s="9"/>
      <c r="BK75" s="15"/>
      <c r="BL75" s="9"/>
      <c r="BM75" s="15"/>
      <c r="BN75" s="9"/>
      <c r="BO75" s="15"/>
      <c r="BP75" s="15"/>
      <c r="BQ75" s="15"/>
      <c r="BR75" s="9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  <c r="CO75" s="15"/>
      <c r="CP75" s="9"/>
    </row>
    <row r="76" spans="1:94" x14ac:dyDescent="0.25">
      <c r="A76" s="41"/>
      <c r="B76" s="9"/>
      <c r="C76" s="15"/>
      <c r="D76" s="9"/>
      <c r="E76" s="15"/>
      <c r="F76" s="15"/>
      <c r="G76" s="15"/>
      <c r="H76" s="15"/>
      <c r="I76" s="15"/>
      <c r="J76" s="15"/>
      <c r="K76" s="9"/>
      <c r="L76" s="95">
        <f>+SUM(L68:L75)</f>
        <v>9899.4699999999993</v>
      </c>
      <c r="M76" s="15"/>
      <c r="N76" s="15"/>
      <c r="O76" s="15"/>
      <c r="P76" s="9"/>
      <c r="Q76" s="15"/>
      <c r="R76" s="9"/>
      <c r="S76" s="15"/>
      <c r="T76" s="9"/>
      <c r="U76" s="15"/>
      <c r="V76" s="133"/>
      <c r="W76" s="120"/>
      <c r="X76" s="132">
        <f>+SUM(X64:X75)</f>
        <v>43186.97</v>
      </c>
      <c r="Y76" s="120"/>
      <c r="Z76" s="9"/>
      <c r="AA76" s="15"/>
      <c r="AB76" s="95">
        <f>+SUM(AB65:AB75)</f>
        <v>22139.83</v>
      </c>
      <c r="AC76" s="15"/>
      <c r="AD76" s="9">
        <v>1169</v>
      </c>
      <c r="AE76" s="15" t="s">
        <v>7129</v>
      </c>
      <c r="AF76" s="9"/>
      <c r="AG76" s="15"/>
      <c r="AH76" s="9"/>
      <c r="AI76" s="15"/>
      <c r="AJ76" s="72"/>
      <c r="AK76" s="15"/>
      <c r="AL76" s="72"/>
      <c r="AM76" s="15"/>
      <c r="AN76" s="9">
        <v>1970.02</v>
      </c>
      <c r="AO76" s="15" t="s">
        <v>7300</v>
      </c>
      <c r="AP76" s="162">
        <v>1589</v>
      </c>
      <c r="AQ76" s="15" t="s">
        <v>7365</v>
      </c>
      <c r="AR76" s="95">
        <f>+SUM(AR73:AR75)</f>
        <v>22337.99</v>
      </c>
      <c r="AS76" s="15"/>
      <c r="AT76" s="220">
        <f>+SUM(AT60:AT75)</f>
        <v>67728.149999999994</v>
      </c>
      <c r="AU76" s="26"/>
      <c r="AV76" s="9"/>
      <c r="AW76" s="15"/>
      <c r="AX76" s="9"/>
      <c r="AY76" s="15"/>
      <c r="AZ76" s="9"/>
      <c r="BA76" s="15"/>
      <c r="BB76" s="9">
        <v>1168.99</v>
      </c>
      <c r="BC76" s="26" t="s">
        <v>7652</v>
      </c>
      <c r="BD76" s="9">
        <v>464</v>
      </c>
      <c r="BE76" s="15" t="s">
        <v>7722</v>
      </c>
      <c r="BF76" s="72">
        <v>3250.01</v>
      </c>
      <c r="BG76" s="15" t="s">
        <v>7765</v>
      </c>
      <c r="BH76" s="9">
        <v>3169</v>
      </c>
      <c r="BI76" s="15" t="s">
        <v>7857</v>
      </c>
      <c r="BJ76" s="9"/>
      <c r="BK76" s="15"/>
      <c r="BL76" s="15"/>
      <c r="BM76" s="15"/>
      <c r="BN76" s="9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  <c r="CO76" s="15"/>
      <c r="CP76" s="9"/>
    </row>
    <row r="77" spans="1:94" x14ac:dyDescent="0.25">
      <c r="A77" s="41"/>
      <c r="B77" s="9"/>
      <c r="C77" s="15"/>
      <c r="D77" s="9"/>
      <c r="E77" s="15"/>
      <c r="F77" s="15"/>
      <c r="G77" s="15"/>
      <c r="H77" s="9"/>
      <c r="I77" s="15"/>
      <c r="J77" s="9"/>
      <c r="K77" s="9"/>
      <c r="L77" s="9"/>
      <c r="M77" s="15"/>
      <c r="N77" s="9"/>
      <c r="O77" s="15"/>
      <c r="P77" s="9"/>
      <c r="Q77" s="15"/>
      <c r="R77" s="9"/>
      <c r="S77" s="15"/>
      <c r="T77" s="9"/>
      <c r="U77" s="15"/>
      <c r="V77" s="120"/>
      <c r="W77" s="120"/>
      <c r="X77" s="120"/>
      <c r="Y77" s="120"/>
      <c r="Z77" s="9"/>
      <c r="AA77" s="15"/>
      <c r="AB77" s="9"/>
      <c r="AC77" s="15"/>
      <c r="AD77" s="95">
        <f>+SUM(AD64:AD76)</f>
        <v>39514.26</v>
      </c>
      <c r="AE77" s="15"/>
      <c r="AF77" s="95">
        <f>+SUM(AF65:AF76)</f>
        <v>26633.84</v>
      </c>
      <c r="AG77" s="15"/>
      <c r="AH77" s="9"/>
      <c r="AI77" s="15"/>
      <c r="AJ77" s="72"/>
      <c r="AK77" s="15"/>
      <c r="AL77" s="9"/>
      <c r="AM77" s="15"/>
      <c r="AN77" s="95">
        <f>+AN75+AN76</f>
        <v>3139.02</v>
      </c>
      <c r="AO77" s="15"/>
      <c r="AP77" s="112">
        <v>1945.46</v>
      </c>
      <c r="AQ77" s="15" t="s">
        <v>7367</v>
      </c>
      <c r="AR77" s="9"/>
      <c r="AS77" s="15"/>
      <c r="AT77" s="24"/>
      <c r="AU77" s="15"/>
      <c r="AV77" s="9"/>
      <c r="AW77" s="15"/>
      <c r="AX77" s="9"/>
      <c r="AY77" s="15"/>
      <c r="AZ77" s="9"/>
      <c r="BA77" s="15"/>
      <c r="BB77" s="9">
        <v>1168.99</v>
      </c>
      <c r="BC77" s="15" t="s">
        <v>7653</v>
      </c>
      <c r="BD77" s="9">
        <v>331.71</v>
      </c>
      <c r="BE77" s="15" t="s">
        <v>7723</v>
      </c>
      <c r="BF77" s="72">
        <v>1168.99</v>
      </c>
      <c r="BG77" s="15" t="s">
        <v>7766</v>
      </c>
      <c r="BH77" s="9">
        <v>3238.99</v>
      </c>
      <c r="BI77" s="15" t="s">
        <v>7862</v>
      </c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  <c r="CO77" s="15"/>
      <c r="CP77" s="9"/>
    </row>
    <row r="78" spans="1:94" x14ac:dyDescent="0.25">
      <c r="A78" s="41"/>
      <c r="B78" s="9"/>
      <c r="C78" s="15"/>
      <c r="D78" s="9"/>
      <c r="E78" s="15"/>
      <c r="F78" s="9"/>
      <c r="G78" s="15"/>
      <c r="H78" s="9"/>
      <c r="I78" s="15"/>
      <c r="J78" s="9"/>
      <c r="K78" s="15"/>
      <c r="L78" s="9"/>
      <c r="M78" s="15"/>
      <c r="N78" s="24"/>
      <c r="O78" s="15"/>
      <c r="P78" s="15"/>
      <c r="Q78" s="15"/>
      <c r="R78" s="9"/>
      <c r="S78" s="15"/>
      <c r="T78" s="9"/>
      <c r="U78" s="15"/>
      <c r="V78" s="9"/>
      <c r="W78" s="15"/>
      <c r="X78" s="9"/>
      <c r="Y78" s="15"/>
      <c r="Z78" s="9"/>
      <c r="AA78" s="15"/>
      <c r="AB78" s="9"/>
      <c r="AC78" s="15"/>
      <c r="AD78" s="9"/>
      <c r="AE78" s="15"/>
      <c r="AF78" s="9"/>
      <c r="AG78" s="15"/>
      <c r="AH78" s="9"/>
      <c r="AI78" s="15"/>
      <c r="AJ78" s="72"/>
      <c r="AK78" s="15"/>
      <c r="AL78" s="15"/>
      <c r="AM78" s="15"/>
      <c r="AN78" s="9"/>
      <c r="AO78" s="15"/>
      <c r="AP78" s="155">
        <f>+SUM(AP67:AP77)</f>
        <v>29683.690000000002</v>
      </c>
      <c r="AQ78" s="15"/>
      <c r="AR78" s="9"/>
      <c r="AS78" s="15"/>
      <c r="AT78" s="9">
        <v>4350.6899999999996</v>
      </c>
      <c r="AU78" s="15" t="s">
        <v>7493</v>
      </c>
      <c r="AV78" s="133"/>
      <c r="AW78" s="15"/>
      <c r="AX78" s="133"/>
      <c r="AY78" s="15"/>
      <c r="AZ78" s="9"/>
      <c r="BA78" s="15"/>
      <c r="BB78" s="137">
        <v>2040</v>
      </c>
      <c r="BC78" s="15" t="s">
        <v>7654</v>
      </c>
      <c r="BD78" s="95">
        <f>+SUM(BD64:BD77)</f>
        <v>47469.020000000004</v>
      </c>
      <c r="BE78" s="15"/>
      <c r="BF78" s="9">
        <v>3320</v>
      </c>
      <c r="BG78" s="15" t="s">
        <v>7767</v>
      </c>
      <c r="BH78" s="95">
        <f>+SUM(BH66:BH77)</f>
        <v>31118.200000000004</v>
      </c>
      <c r="BI78" s="15"/>
      <c r="BJ78" s="9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  <c r="CO78" s="15"/>
      <c r="CP78" s="9"/>
    </row>
    <row r="79" spans="1:94" x14ac:dyDescent="0.25">
      <c r="A79" s="41"/>
      <c r="B79" s="9"/>
      <c r="C79" s="15"/>
      <c r="D79" s="9"/>
      <c r="E79" s="15"/>
      <c r="F79" s="9"/>
      <c r="G79" s="15"/>
      <c r="H79" s="9"/>
      <c r="I79" s="15"/>
      <c r="J79" s="9"/>
      <c r="K79" s="15"/>
      <c r="L79" s="9"/>
      <c r="M79" s="15"/>
      <c r="N79" s="9"/>
      <c r="O79" s="15"/>
      <c r="P79" s="9"/>
      <c r="Q79" s="15"/>
      <c r="R79" s="9"/>
      <c r="S79" s="15"/>
      <c r="T79" s="9"/>
      <c r="U79" s="15"/>
      <c r="V79" s="9"/>
      <c r="W79" s="15"/>
      <c r="X79" s="9"/>
      <c r="Y79" s="15"/>
      <c r="Z79" s="9"/>
      <c r="AA79" s="15"/>
      <c r="AB79" s="9"/>
      <c r="AC79" s="15"/>
      <c r="AD79" s="9"/>
      <c r="AE79" s="15"/>
      <c r="AF79" s="9"/>
      <c r="AG79" s="15"/>
      <c r="AH79" s="15"/>
      <c r="AI79" s="15"/>
      <c r="AJ79" s="72"/>
      <c r="AK79" s="15"/>
      <c r="AL79" s="15"/>
      <c r="AM79" s="15"/>
      <c r="AN79" s="9"/>
      <c r="AO79" s="15"/>
      <c r="AP79" s="9"/>
      <c r="AQ79" s="15"/>
      <c r="AR79" s="9"/>
      <c r="AS79" s="15"/>
      <c r="AT79" s="120">
        <v>1168.99</v>
      </c>
      <c r="AU79" s="15" t="s">
        <v>7499</v>
      </c>
      <c r="AV79" s="9"/>
      <c r="AW79" s="15"/>
      <c r="AX79" s="9"/>
      <c r="AY79" s="15"/>
      <c r="AZ79" s="9"/>
      <c r="BA79" s="15"/>
      <c r="BB79" s="72">
        <v>4219.99</v>
      </c>
      <c r="BC79" s="15" t="s">
        <v>7657</v>
      </c>
      <c r="BD79" s="9"/>
      <c r="BE79" s="15"/>
      <c r="BF79" s="9">
        <v>635</v>
      </c>
      <c r="BG79" s="15" t="s">
        <v>7768</v>
      </c>
      <c r="BH79" s="15"/>
      <c r="BI79" s="15"/>
      <c r="BJ79" s="9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  <c r="CO79" s="15"/>
      <c r="CP79" s="9"/>
    </row>
    <row r="80" spans="1:94" x14ac:dyDescent="0.25">
      <c r="A80" s="41"/>
      <c r="B80" s="9"/>
      <c r="C80" s="15"/>
      <c r="D80" s="9"/>
      <c r="E80" s="15"/>
      <c r="F80" s="24"/>
      <c r="G80" s="15"/>
      <c r="H80" s="9"/>
      <c r="I80" s="15"/>
      <c r="J80" s="9"/>
      <c r="K80" s="15"/>
      <c r="L80" s="9"/>
      <c r="M80" s="15"/>
      <c r="N80" s="9"/>
      <c r="O80" s="15"/>
      <c r="P80" s="9"/>
      <c r="Q80" s="15"/>
      <c r="R80" s="9"/>
      <c r="S80" s="15"/>
      <c r="T80" s="9"/>
      <c r="U80" s="15"/>
      <c r="V80" s="9"/>
      <c r="W80" s="15"/>
      <c r="X80" s="9"/>
      <c r="Y80" s="15"/>
      <c r="Z80" s="120"/>
      <c r="AA80" s="15"/>
      <c r="AB80" s="9"/>
      <c r="AC80" s="15"/>
      <c r="AD80" s="15"/>
      <c r="AE80" s="15"/>
      <c r="AF80" s="9"/>
      <c r="AG80" s="15"/>
      <c r="AH80" s="120"/>
      <c r="AI80" s="15"/>
      <c r="AJ80" s="72"/>
      <c r="AK80" s="15"/>
      <c r="AL80" s="15"/>
      <c r="AM80" s="15"/>
      <c r="AN80" s="9"/>
      <c r="AO80" s="15"/>
      <c r="AP80" s="9"/>
      <c r="AQ80" s="15"/>
      <c r="AR80" s="9"/>
      <c r="AS80" s="15"/>
      <c r="AT80" s="9">
        <v>847.88</v>
      </c>
      <c r="AU80" s="15" t="s">
        <v>7505</v>
      </c>
      <c r="AV80" s="133"/>
      <c r="AW80" s="15"/>
      <c r="AX80" s="133"/>
      <c r="AY80" s="15"/>
      <c r="AZ80" s="9"/>
      <c r="BA80" s="15"/>
      <c r="BB80" s="9">
        <v>577.01</v>
      </c>
      <c r="BC80" s="9" t="s">
        <v>7662</v>
      </c>
      <c r="BD80" s="9"/>
      <c r="BE80" s="15"/>
      <c r="BF80" s="9">
        <v>2040</v>
      </c>
      <c r="BG80" s="15" t="s">
        <v>7771</v>
      </c>
      <c r="BH80" s="9"/>
      <c r="BI80" s="15"/>
      <c r="BJ80" s="9"/>
      <c r="BK80" s="15"/>
      <c r="BL80" s="9"/>
      <c r="BM80" s="15"/>
      <c r="BN80" s="9"/>
      <c r="BO80" s="15"/>
      <c r="BP80" s="15"/>
      <c r="BQ80" s="15"/>
      <c r="BR80" s="9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  <c r="CO80" s="15"/>
      <c r="CP80" s="9"/>
    </row>
    <row r="81" spans="1:94" x14ac:dyDescent="0.25">
      <c r="A81" s="41"/>
      <c r="B81" s="9"/>
      <c r="C81" s="15"/>
      <c r="D81" s="9"/>
      <c r="E81" s="15"/>
      <c r="F81" s="9"/>
      <c r="G81" s="15"/>
      <c r="H81" s="9"/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9"/>
      <c r="W81" s="15"/>
      <c r="X81" s="9"/>
      <c r="Y81" s="15"/>
      <c r="Z81" s="15"/>
      <c r="AA81" s="15"/>
      <c r="AB81" s="9"/>
      <c r="AC81" s="15"/>
      <c r="AD81" s="9"/>
      <c r="AE81" s="15"/>
      <c r="AF81" s="15"/>
      <c r="AG81" s="15"/>
      <c r="AH81" s="9"/>
      <c r="AI81" s="15"/>
      <c r="AJ81" s="72"/>
      <c r="AK81" s="15"/>
      <c r="AL81" s="9"/>
      <c r="AM81" s="15"/>
      <c r="AN81" s="9"/>
      <c r="AO81" s="15"/>
      <c r="AP81" s="9"/>
      <c r="AQ81" s="15"/>
      <c r="AR81" s="9"/>
      <c r="AS81" s="15"/>
      <c r="AT81" s="95">
        <f>+SUM(AT78:AT80)</f>
        <v>6367.5599999999995</v>
      </c>
      <c r="AU81" s="15"/>
      <c r="AV81" s="9"/>
      <c r="AW81" s="15"/>
      <c r="AX81" s="9"/>
      <c r="AY81" s="15"/>
      <c r="AZ81" s="9"/>
      <c r="BA81" s="15"/>
      <c r="BB81" s="95">
        <f>+SUM(BB66:BB80)</f>
        <v>36712.470000000008</v>
      </c>
      <c r="BC81" s="15"/>
      <c r="BD81" s="9"/>
      <c r="BE81" s="15"/>
      <c r="BF81" s="9">
        <v>3250</v>
      </c>
      <c r="BG81" s="15" t="s">
        <v>7774</v>
      </c>
      <c r="BH81" s="9"/>
      <c r="BI81" s="15"/>
      <c r="BJ81" s="15"/>
      <c r="BK81" s="15"/>
      <c r="BL81" s="9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  <c r="CO81" s="15"/>
      <c r="CP81" s="9"/>
    </row>
    <row r="82" spans="1:94" x14ac:dyDescent="0.25">
      <c r="A82" s="42"/>
      <c r="B82" s="23"/>
      <c r="C82" s="23"/>
      <c r="D82" s="23"/>
      <c r="E82" s="23"/>
      <c r="F82" s="23"/>
      <c r="G82" s="23"/>
      <c r="H82" s="14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14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4"/>
      <c r="AK82" s="23"/>
      <c r="AL82" s="23"/>
      <c r="AM82" s="23"/>
      <c r="AN82" s="14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111">
        <f>+SUM(BF68:BF81)</f>
        <v>48425.509999999995</v>
      </c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</row>
    <row r="83" spans="1:94" x14ac:dyDescent="0.25">
      <c r="A83" s="41"/>
      <c r="B83" s="9"/>
      <c r="C83" s="15"/>
      <c r="D83" s="9"/>
      <c r="E83" s="15"/>
      <c r="F83" s="9"/>
      <c r="G83" s="15"/>
      <c r="H83" s="15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9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9"/>
      <c r="AM83" s="15"/>
      <c r="AN83" s="24"/>
      <c r="AO83" s="15"/>
      <c r="AP83" s="9"/>
      <c r="AQ83" s="15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  <c r="CO83" s="15"/>
      <c r="CP83" s="9"/>
    </row>
    <row r="84" spans="1:94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9"/>
      <c r="Q84" s="15"/>
      <c r="R84" s="9"/>
      <c r="S84" s="15"/>
      <c r="T84" s="9"/>
      <c r="U84" s="15"/>
      <c r="V84" s="9"/>
      <c r="W84" s="15"/>
      <c r="X84" s="9"/>
      <c r="Y84" s="15"/>
      <c r="Z84" s="9"/>
      <c r="AA84" s="15"/>
      <c r="AB84" s="9"/>
      <c r="AC84" s="15"/>
      <c r="AD84" s="120"/>
      <c r="AE84" s="120"/>
      <c r="AF84" s="9"/>
      <c r="AG84" s="15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  <c r="CO84" s="15"/>
      <c r="CP84" s="9"/>
    </row>
    <row r="85" spans="1:94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9"/>
      <c r="M85" s="15"/>
      <c r="N85" s="9"/>
      <c r="O85" s="15"/>
      <c r="P85" s="9"/>
      <c r="Q85" s="15"/>
      <c r="R85" s="9"/>
      <c r="S85" s="15"/>
      <c r="T85" s="15"/>
      <c r="U85" s="15"/>
      <c r="V85" s="9"/>
      <c r="W85" s="15"/>
      <c r="X85" s="9"/>
      <c r="Y85" s="15"/>
      <c r="Z85" s="9"/>
      <c r="AA85" s="15"/>
      <c r="AB85" s="9"/>
      <c r="AC85" s="15"/>
      <c r="AD85" s="120"/>
      <c r="AE85" s="120"/>
      <c r="AF85" s="9"/>
      <c r="AG85" s="15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  <c r="CO85" s="15"/>
      <c r="CP85" s="9"/>
    </row>
    <row r="86" spans="1:94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9"/>
      <c r="AA86" s="15"/>
      <c r="AB86" s="9"/>
      <c r="AC86" s="15"/>
      <c r="AD86" s="120"/>
      <c r="AE86" s="120"/>
      <c r="AF86" s="9"/>
      <c r="AG86" s="15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  <c r="CO86" s="15"/>
      <c r="CP86" s="9"/>
    </row>
    <row r="87" spans="1:94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1"/>
      <c r="AA87" s="13"/>
      <c r="AB87" s="11"/>
      <c r="AC87" s="13"/>
      <c r="AD87" s="120"/>
      <c r="AE87" s="120"/>
      <c r="AF87" s="11"/>
      <c r="AG87" s="13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  <c r="CO87" s="13"/>
      <c r="CP87" s="11"/>
    </row>
    <row r="88" spans="1:94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23"/>
      <c r="AA88" s="13"/>
      <c r="AB88" s="13"/>
      <c r="AC88" s="13"/>
      <c r="AD88" s="120"/>
      <c r="AE88" s="120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</row>
    <row r="89" spans="1:94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</row>
    <row r="90" spans="1:94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</row>
    <row r="91" spans="1:94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</row>
    <row r="92" spans="1:94" x14ac:dyDescent="0.25">
      <c r="A92" s="41" t="s">
        <v>6</v>
      </c>
      <c r="B92" s="9">
        <v>4465</v>
      </c>
      <c r="C92" s="15" t="s">
        <v>6518</v>
      </c>
      <c r="D92" s="9">
        <v>2040</v>
      </c>
      <c r="E92" s="15" t="s">
        <v>6562</v>
      </c>
      <c r="F92" s="9">
        <v>787.56</v>
      </c>
      <c r="G92" s="15" t="s">
        <v>6601</v>
      </c>
      <c r="H92" s="9">
        <v>1000</v>
      </c>
      <c r="I92" s="15" t="s">
        <v>6645</v>
      </c>
      <c r="J92" s="9">
        <v>1169</v>
      </c>
      <c r="K92" s="15" t="s">
        <v>6673</v>
      </c>
      <c r="L92" s="15">
        <v>4144.2700000000004</v>
      </c>
      <c r="M92" s="15" t="s">
        <v>6716</v>
      </c>
      <c r="N92" s="9">
        <v>5000</v>
      </c>
      <c r="O92" s="15" t="s">
        <v>6746</v>
      </c>
      <c r="P92" s="9">
        <v>500</v>
      </c>
      <c r="Q92" s="15" t="s">
        <v>6790</v>
      </c>
      <c r="R92" s="9">
        <v>10000</v>
      </c>
      <c r="S92" s="15" t="s">
        <v>6840</v>
      </c>
      <c r="T92" s="9">
        <v>254.92</v>
      </c>
      <c r="U92" s="15" t="s">
        <v>6892</v>
      </c>
      <c r="V92" s="9"/>
      <c r="W92" s="15"/>
      <c r="X92" s="9">
        <v>4300</v>
      </c>
      <c r="Y92" s="15" t="s">
        <v>6939</v>
      </c>
      <c r="Z92" s="9">
        <v>1169</v>
      </c>
      <c r="AA92" s="15" t="s">
        <v>6988</v>
      </c>
      <c r="AB92" s="9"/>
      <c r="AC92" s="15"/>
      <c r="AD92" s="9">
        <v>8680.14</v>
      </c>
      <c r="AE92" s="15" t="s">
        <v>7090</v>
      </c>
      <c r="AF92" s="9">
        <v>1168.99</v>
      </c>
      <c r="AG92" s="15" t="s">
        <v>7149</v>
      </c>
      <c r="AH92" s="9">
        <v>5500</v>
      </c>
      <c r="AI92" s="15" t="s">
        <v>7177</v>
      </c>
      <c r="AJ92" s="9"/>
      <c r="AK92" s="15"/>
      <c r="AL92" s="9">
        <v>2040</v>
      </c>
      <c r="AM92" s="9" t="s">
        <v>7280</v>
      </c>
      <c r="AN92" s="9">
        <v>9780.5300000000007</v>
      </c>
      <c r="AO92" s="9" t="s">
        <v>7224</v>
      </c>
      <c r="AP92" s="9">
        <v>6616.57</v>
      </c>
      <c r="AQ92" s="15" t="s">
        <v>7308</v>
      </c>
      <c r="AR92" s="9">
        <v>1168.99</v>
      </c>
      <c r="AS92" s="15" t="s">
        <v>7411</v>
      </c>
      <c r="AT92" s="9">
        <v>20000</v>
      </c>
      <c r="AU92" s="15" t="s">
        <v>7427</v>
      </c>
      <c r="AV92" s="9">
        <v>15000</v>
      </c>
      <c r="AW92" s="15" t="s">
        <v>7507</v>
      </c>
      <c r="AX92" s="15"/>
      <c r="AY92" s="15"/>
      <c r="AZ92" s="9">
        <v>159.69</v>
      </c>
      <c r="BA92" s="15" t="s">
        <v>7544</v>
      </c>
      <c r="BB92" s="15">
        <v>630.01</v>
      </c>
      <c r="BC92" s="15" t="s">
        <v>7604</v>
      </c>
      <c r="BD92" s="9">
        <v>97.65</v>
      </c>
      <c r="BE92" s="15" t="s">
        <v>7668</v>
      </c>
      <c r="BF92" s="9"/>
      <c r="BG92" s="15"/>
      <c r="BH92" s="9">
        <v>3319.99</v>
      </c>
      <c r="BI92" s="15" t="s">
        <v>7831</v>
      </c>
      <c r="BJ92" s="9"/>
      <c r="BK92" s="15"/>
      <c r="BL92" s="9"/>
      <c r="BM92" s="15"/>
      <c r="BN92" s="9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  <c r="CO92" s="15"/>
      <c r="CP92" s="9"/>
    </row>
    <row r="93" spans="1:94" x14ac:dyDescent="0.25">
      <c r="A93" s="41"/>
      <c r="B93" s="9">
        <v>2040</v>
      </c>
      <c r="C93" s="15" t="s">
        <v>6519</v>
      </c>
      <c r="D93" s="121">
        <v>3320</v>
      </c>
      <c r="E93" s="15" t="s">
        <v>6576</v>
      </c>
      <c r="F93" s="9">
        <v>10764</v>
      </c>
      <c r="G93" s="15" t="s">
        <v>6603</v>
      </c>
      <c r="H93" s="9"/>
      <c r="I93" s="15"/>
      <c r="J93" s="9">
        <v>464</v>
      </c>
      <c r="K93" s="15" t="s">
        <v>6674</v>
      </c>
      <c r="L93" s="9"/>
      <c r="M93" s="15"/>
      <c r="N93" s="9">
        <v>1099</v>
      </c>
      <c r="O93" s="15" t="s">
        <v>6750</v>
      </c>
      <c r="P93" s="9">
        <v>662.53</v>
      </c>
      <c r="Q93" s="15" t="s">
        <v>6791</v>
      </c>
      <c r="R93" s="9">
        <v>2040</v>
      </c>
      <c r="S93" s="15" t="s">
        <v>6843</v>
      </c>
      <c r="T93" s="9">
        <v>5000</v>
      </c>
      <c r="U93" s="15" t="s">
        <v>6895</v>
      </c>
      <c r="V93" s="9"/>
      <c r="W93" s="15"/>
      <c r="X93" s="9">
        <v>2040</v>
      </c>
      <c r="Y93" s="15" t="s">
        <v>6942</v>
      </c>
      <c r="Z93" s="9">
        <v>2420</v>
      </c>
      <c r="AA93" s="15" t="s">
        <v>6991</v>
      </c>
      <c r="AB93" s="9"/>
      <c r="AC93" s="15"/>
      <c r="AD93" s="72">
        <v>1970</v>
      </c>
      <c r="AE93" s="15" t="s">
        <v>7112</v>
      </c>
      <c r="AF93" s="9">
        <v>2040</v>
      </c>
      <c r="AG93" s="15" t="s">
        <v>7162</v>
      </c>
      <c r="AH93" s="9">
        <v>2080</v>
      </c>
      <c r="AI93" s="15" t="s">
        <v>7185</v>
      </c>
      <c r="AJ93" s="9"/>
      <c r="AK93" s="15"/>
      <c r="AL93" s="9">
        <v>1168.99</v>
      </c>
      <c r="AM93" s="15" t="s">
        <v>7284</v>
      </c>
      <c r="AN93" s="9">
        <v>1086.55</v>
      </c>
      <c r="AO93" s="15" t="s">
        <v>7233</v>
      </c>
      <c r="AP93" s="9">
        <v>2039.99</v>
      </c>
      <c r="AQ93" s="15" t="s">
        <v>7312</v>
      </c>
      <c r="AR93" s="9">
        <v>1169</v>
      </c>
      <c r="AS93" s="15" t="s">
        <v>7416</v>
      </c>
      <c r="AT93" s="9">
        <v>1099</v>
      </c>
      <c r="AU93" s="15" t="s">
        <v>7461</v>
      </c>
      <c r="AV93" s="9">
        <v>5236.41</v>
      </c>
      <c r="AW93" s="15" t="s">
        <v>7509</v>
      </c>
      <c r="AX93" s="9"/>
      <c r="AY93" s="15"/>
      <c r="AZ93" s="10"/>
      <c r="BA93" s="12"/>
      <c r="BB93" s="9"/>
      <c r="BC93" s="15"/>
      <c r="BD93" s="9">
        <v>1099.01</v>
      </c>
      <c r="BE93" s="15" t="s">
        <v>7678</v>
      </c>
      <c r="BF93" s="9"/>
      <c r="BG93" s="15"/>
      <c r="BH93" s="9">
        <v>1970</v>
      </c>
      <c r="BI93" s="15" t="s">
        <v>7838</v>
      </c>
      <c r="BJ93" s="9"/>
      <c r="BK93" s="15"/>
      <c r="BL93" s="9"/>
      <c r="BM93" s="15"/>
      <c r="BN93" s="9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  <c r="CO93" s="15"/>
      <c r="CP93" s="9"/>
    </row>
    <row r="94" spans="1:94" x14ac:dyDescent="0.25">
      <c r="A94" s="41"/>
      <c r="B94" s="9">
        <v>966.23</v>
      </c>
      <c r="C94" s="15" t="s">
        <v>6523</v>
      </c>
      <c r="D94" s="121">
        <v>2040</v>
      </c>
      <c r="E94" s="15" t="s">
        <v>6577</v>
      </c>
      <c r="F94" s="9">
        <v>2485</v>
      </c>
      <c r="G94" s="15" t="s">
        <v>6609</v>
      </c>
      <c r="H94" s="9"/>
      <c r="I94" s="15"/>
      <c r="J94" s="95">
        <f>+J93+J92</f>
        <v>1633</v>
      </c>
      <c r="K94" s="15"/>
      <c r="L94" s="9"/>
      <c r="M94" s="15"/>
      <c r="N94" s="9">
        <v>1099</v>
      </c>
      <c r="O94" s="15" t="s">
        <v>6751</v>
      </c>
      <c r="P94" s="95">
        <f>+P92+P93</f>
        <v>1162.53</v>
      </c>
      <c r="Q94" s="15"/>
      <c r="R94" s="9">
        <v>1876.74</v>
      </c>
      <c r="S94" s="15" t="s">
        <v>6849</v>
      </c>
      <c r="T94" s="9">
        <v>575</v>
      </c>
      <c r="U94" s="15" t="s">
        <v>6901</v>
      </c>
      <c r="V94" s="15"/>
      <c r="W94" s="15"/>
      <c r="X94" s="95">
        <f>+X92+X93</f>
        <v>6340</v>
      </c>
      <c r="Y94" s="15"/>
      <c r="Z94" s="9">
        <v>2060.4499999999998</v>
      </c>
      <c r="AA94" s="15" t="s">
        <v>6995</v>
      </c>
      <c r="AB94" s="9"/>
      <c r="AC94" s="15"/>
      <c r="AD94" s="9">
        <v>575</v>
      </c>
      <c r="AE94" s="15" t="s">
        <v>7119</v>
      </c>
      <c r="AF94" s="9">
        <v>3238.99</v>
      </c>
      <c r="AG94" s="15" t="s">
        <v>7163</v>
      </c>
      <c r="AH94" s="9">
        <v>1099.01</v>
      </c>
      <c r="AI94" s="15" t="s">
        <v>7195</v>
      </c>
      <c r="AJ94" s="9"/>
      <c r="AK94" s="15"/>
      <c r="AL94" s="9">
        <v>2885.04</v>
      </c>
      <c r="AM94" s="15" t="s">
        <v>7289</v>
      </c>
      <c r="AN94" s="9">
        <v>13000</v>
      </c>
      <c r="AO94" s="15" t="s">
        <v>7235</v>
      </c>
      <c r="AP94" s="132">
        <f>+AP92+AP93</f>
        <v>8656.56</v>
      </c>
      <c r="AQ94" s="120"/>
      <c r="AR94" s="9">
        <v>4238.99</v>
      </c>
      <c r="AS94" s="15" t="s">
        <v>7418</v>
      </c>
      <c r="AT94" s="9">
        <v>2904.89</v>
      </c>
      <c r="AU94" s="15" t="s">
        <v>7467</v>
      </c>
      <c r="AV94" s="9">
        <v>6055.23</v>
      </c>
      <c r="AW94" s="15" t="s">
        <v>7511</v>
      </c>
      <c r="AX94" s="9"/>
      <c r="AY94" s="15"/>
      <c r="AZ94" s="10">
        <v>1169</v>
      </c>
      <c r="BA94" s="12" t="s">
        <v>7534</v>
      </c>
      <c r="BB94" s="15"/>
      <c r="BC94" s="15"/>
      <c r="BD94" s="95">
        <f>+BD92+BD93</f>
        <v>1196.6600000000001</v>
      </c>
      <c r="BE94" s="15"/>
      <c r="BF94" s="9"/>
      <c r="BG94" s="15"/>
      <c r="BH94" s="15">
        <v>1795.01</v>
      </c>
      <c r="BI94" s="15" t="s">
        <v>7839</v>
      </c>
      <c r="BJ94" s="9"/>
      <c r="BK94" s="15"/>
      <c r="BL94" s="9"/>
      <c r="BM94" s="15"/>
      <c r="BN94" s="15"/>
      <c r="BO94" s="15"/>
      <c r="BP94" s="9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</row>
    <row r="95" spans="1:94" x14ac:dyDescent="0.25">
      <c r="A95" s="41"/>
      <c r="B95" s="95">
        <f>+SUM(B91:B94)</f>
        <v>7471.23</v>
      </c>
      <c r="C95" s="15"/>
      <c r="D95" s="121">
        <v>3529</v>
      </c>
      <c r="E95" s="15" t="s">
        <v>6581</v>
      </c>
      <c r="F95" s="9">
        <v>4395.01</v>
      </c>
      <c r="G95" s="15" t="s">
        <v>6610</v>
      </c>
      <c r="H95" s="9"/>
      <c r="I95" s="15"/>
      <c r="J95" s="9"/>
      <c r="K95" s="15"/>
      <c r="L95" s="9"/>
      <c r="M95" s="15"/>
      <c r="N95" s="9">
        <v>1099</v>
      </c>
      <c r="O95" s="15" t="s">
        <v>6765</v>
      </c>
      <c r="P95" s="9"/>
      <c r="Q95" s="15"/>
      <c r="R95" s="95">
        <f>+SUM(R92:R94)</f>
        <v>13916.74</v>
      </c>
      <c r="S95" s="15"/>
      <c r="T95" s="9">
        <v>2040</v>
      </c>
      <c r="U95" s="15" t="s">
        <v>6906</v>
      </c>
      <c r="V95" s="9"/>
      <c r="W95" s="15"/>
      <c r="X95" s="9"/>
      <c r="Y95" s="15"/>
      <c r="Z95" s="95">
        <f>+SUM(Z92:Z94)</f>
        <v>5649.45</v>
      </c>
      <c r="AA95" s="15"/>
      <c r="AB95" s="9"/>
      <c r="AC95" s="15"/>
      <c r="AD95" s="95">
        <f>+AD92+AD93+AD94</f>
        <v>11225.14</v>
      </c>
      <c r="AE95" s="15"/>
      <c r="AF95" s="9">
        <v>1898.99</v>
      </c>
      <c r="AG95" s="15" t="s">
        <v>7166</v>
      </c>
      <c r="AH95" s="9">
        <v>2430</v>
      </c>
      <c r="AI95" s="15" t="s">
        <v>7199</v>
      </c>
      <c r="AJ95" s="9"/>
      <c r="AK95" s="15"/>
      <c r="AL95" s="95">
        <f>+AL92+AL93+AL94</f>
        <v>6094.03</v>
      </c>
      <c r="AM95" s="15"/>
      <c r="AN95" s="9">
        <v>1461.99</v>
      </c>
      <c r="AO95" s="15" t="s">
        <v>7243</v>
      </c>
      <c r="AP95" s="120"/>
      <c r="AQ95" s="120"/>
      <c r="AR95" s="9">
        <v>1970</v>
      </c>
      <c r="AS95" s="15" t="s">
        <v>7421</v>
      </c>
      <c r="AT95" s="9">
        <v>1099.01</v>
      </c>
      <c r="AU95" s="15" t="s">
        <v>7468</v>
      </c>
      <c r="AV95" s="137">
        <v>2500</v>
      </c>
      <c r="AW95" s="15" t="s">
        <v>7517</v>
      </c>
      <c r="AX95" s="137"/>
      <c r="AY95" s="15"/>
      <c r="AZ95" s="9">
        <v>2065</v>
      </c>
      <c r="BA95" s="15" t="s">
        <v>7584</v>
      </c>
      <c r="BB95" s="9"/>
      <c r="BC95" s="15"/>
      <c r="BD95" s="9"/>
      <c r="BE95" s="15"/>
      <c r="BF95" s="15"/>
      <c r="BG95" s="15"/>
      <c r="BH95" s="9">
        <v>4238.99</v>
      </c>
      <c r="BI95" s="15" t="s">
        <v>7853</v>
      </c>
      <c r="BJ95" s="9"/>
      <c r="BK95" s="15"/>
      <c r="BL95" s="15"/>
      <c r="BM95" s="15"/>
      <c r="BN95" s="9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  <c r="CO95" s="15"/>
      <c r="CP95" s="9"/>
    </row>
    <row r="96" spans="1:94" x14ac:dyDescent="0.25">
      <c r="A96" s="41"/>
      <c r="B96" s="9"/>
      <c r="C96" s="15"/>
      <c r="D96" s="9">
        <v>2500</v>
      </c>
      <c r="E96" s="26" t="s">
        <v>6585</v>
      </c>
      <c r="F96" s="9">
        <v>5413.67</v>
      </c>
      <c r="G96" s="15" t="s">
        <v>6611</v>
      </c>
      <c r="H96" s="15"/>
      <c r="I96" s="15"/>
      <c r="J96" s="9">
        <v>1853.73</v>
      </c>
      <c r="K96" s="15" t="s">
        <v>6680</v>
      </c>
      <c r="L96" s="9"/>
      <c r="M96" s="15"/>
      <c r="N96" s="147">
        <f>+SUM(N92:N95)</f>
        <v>8297</v>
      </c>
      <c r="O96" s="26"/>
      <c r="P96" s="9">
        <v>1000</v>
      </c>
      <c r="Q96" s="15" t="s">
        <v>6806</v>
      </c>
      <c r="R96" s="9"/>
      <c r="S96" s="15"/>
      <c r="T96" s="9">
        <v>2039.99</v>
      </c>
      <c r="U96" s="9" t="s">
        <v>6907</v>
      </c>
      <c r="V96" s="9"/>
      <c r="W96" s="15"/>
      <c r="X96" s="9">
        <v>12300</v>
      </c>
      <c r="Y96" s="15" t="s">
        <v>6965</v>
      </c>
      <c r="Z96" s="9"/>
      <c r="AA96" s="15"/>
      <c r="AB96" s="9"/>
      <c r="AC96" s="15"/>
      <c r="AD96" s="9"/>
      <c r="AE96" s="13"/>
      <c r="AF96" s="95">
        <f>+SUM(AF92:AF95)</f>
        <v>8346.9699999999993</v>
      </c>
      <c r="AG96" s="15"/>
      <c r="AH96" s="95">
        <f>+SUM(AH92:AH95)</f>
        <v>11109.01</v>
      </c>
      <c r="AI96" s="15"/>
      <c r="AJ96" s="9"/>
      <c r="AK96" s="15"/>
      <c r="AL96" s="9"/>
      <c r="AM96" s="15"/>
      <c r="AN96" s="9">
        <v>2000</v>
      </c>
      <c r="AO96" s="15" t="s">
        <v>7262</v>
      </c>
      <c r="AP96" s="9">
        <v>1099.01</v>
      </c>
      <c r="AQ96" s="15" t="s">
        <v>7340</v>
      </c>
      <c r="AR96" s="137">
        <v>3670</v>
      </c>
      <c r="AS96" s="15" t="s">
        <v>7423</v>
      </c>
      <c r="AT96" s="95">
        <f>+AT92+AT93+AT94+AT95</f>
        <v>25102.899999999998</v>
      </c>
      <c r="AU96" s="15"/>
      <c r="AV96" s="9">
        <v>1168.99</v>
      </c>
      <c r="AW96" s="15" t="s">
        <v>7525</v>
      </c>
      <c r="AX96" s="9"/>
      <c r="AY96" s="15"/>
      <c r="AZ96" s="95">
        <f>+AZ94+AZ95</f>
        <v>3234</v>
      </c>
      <c r="BA96" s="15"/>
      <c r="BB96" s="9"/>
      <c r="BC96" s="15"/>
      <c r="BD96" s="9"/>
      <c r="BE96" s="15"/>
      <c r="BF96" s="9"/>
      <c r="BG96" s="15"/>
      <c r="BH96" s="9">
        <v>1970</v>
      </c>
      <c r="BI96" s="15" t="s">
        <v>7854</v>
      </c>
      <c r="BJ96" s="9"/>
      <c r="BK96" s="15"/>
      <c r="BL96" s="15"/>
      <c r="BM96" s="15"/>
      <c r="BN96" s="9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  <c r="CO96" s="15"/>
      <c r="CP96" s="9"/>
    </row>
    <row r="97" spans="1:94" x14ac:dyDescent="0.25">
      <c r="A97" s="41"/>
      <c r="B97">
        <v>1169.99</v>
      </c>
      <c r="C97" t="s">
        <v>6545</v>
      </c>
      <c r="D97" s="9">
        <v>1099.01</v>
      </c>
      <c r="E97" s="15" t="s">
        <v>6586</v>
      </c>
      <c r="F97" s="9">
        <v>1970</v>
      </c>
      <c r="G97" s="15" t="s">
        <v>6614</v>
      </c>
      <c r="H97" s="9"/>
      <c r="I97" s="15"/>
      <c r="J97" s="9">
        <v>20000</v>
      </c>
      <c r="K97" s="15" t="s">
        <v>6683</v>
      </c>
      <c r="L97" s="9"/>
      <c r="M97" s="15"/>
      <c r="N97" s="9"/>
      <c r="O97" s="15"/>
      <c r="P97" s="9">
        <v>887.25</v>
      </c>
      <c r="Q97" s="15" t="s">
        <v>6807</v>
      </c>
      <c r="R97" s="9">
        <v>2040</v>
      </c>
      <c r="S97" s="15" t="s">
        <v>6859</v>
      </c>
      <c r="T97" s="9">
        <v>4395</v>
      </c>
      <c r="U97" s="15" t="s">
        <v>6910</v>
      </c>
      <c r="V97" s="137"/>
      <c r="W97" s="15"/>
      <c r="X97" s="137">
        <v>2197.59</v>
      </c>
      <c r="Y97" s="15" t="s">
        <v>6967</v>
      </c>
      <c r="Z97" s="9">
        <v>1169</v>
      </c>
      <c r="AA97" s="15" t="s">
        <v>7015</v>
      </c>
      <c r="AB97" s="9"/>
      <c r="AC97" s="15"/>
      <c r="AD97" s="11"/>
      <c r="AE97" s="13"/>
      <c r="AF97" s="9"/>
      <c r="AG97" s="15"/>
      <c r="AH97" s="137"/>
      <c r="AI97" s="15"/>
      <c r="AJ97" s="9"/>
      <c r="AK97" s="15"/>
      <c r="AL97" s="15"/>
      <c r="AM97" s="15"/>
      <c r="AN97" s="95">
        <f>+SUM(AN92:AN96)</f>
        <v>27329.070000000003</v>
      </c>
      <c r="AO97" s="15"/>
      <c r="AP97" s="9">
        <v>705</v>
      </c>
      <c r="AQ97" s="15" t="s">
        <v>7341</v>
      </c>
      <c r="AR97" s="9">
        <v>1099.01</v>
      </c>
      <c r="AS97" s="15" t="s">
        <v>7424</v>
      </c>
      <c r="AT97" s="9"/>
      <c r="AU97" s="15"/>
      <c r="AV97" s="9">
        <v>1169</v>
      </c>
      <c r="AW97" s="15" t="s">
        <v>7536</v>
      </c>
      <c r="AX97" s="9"/>
      <c r="AY97" s="15"/>
      <c r="AZ97" s="15"/>
      <c r="BA97" s="15"/>
      <c r="BB97" s="9"/>
      <c r="BC97" s="15"/>
      <c r="BD97" s="9"/>
      <c r="BE97" s="15"/>
      <c r="BF97" s="15"/>
      <c r="BG97" s="15"/>
      <c r="BH97" s="230">
        <f>+SUM(BH92:BH96)</f>
        <v>13293.99</v>
      </c>
      <c r="BI97" s="127"/>
      <c r="BJ97" s="9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</row>
    <row r="98" spans="1:94" x14ac:dyDescent="0.25">
      <c r="A98" s="41"/>
      <c r="B98">
        <v>1519</v>
      </c>
      <c r="C98" t="s">
        <v>6546</v>
      </c>
      <c r="D98" s="9">
        <v>82.93</v>
      </c>
      <c r="E98" s="15" t="s">
        <v>6587</v>
      </c>
      <c r="F98" s="9">
        <v>1169</v>
      </c>
      <c r="G98" s="15" t="s">
        <v>6615</v>
      </c>
      <c r="H98" s="9"/>
      <c r="I98" s="15"/>
      <c r="J98" s="9">
        <v>2764.99</v>
      </c>
      <c r="K98" s="15" t="s">
        <v>6684</v>
      </c>
      <c r="L98" s="9"/>
      <c r="M98" s="15"/>
      <c r="N98" s="9">
        <v>254.92</v>
      </c>
      <c r="O98" s="15" t="s">
        <v>6785</v>
      </c>
      <c r="P98" s="9">
        <v>232</v>
      </c>
      <c r="Q98" s="15" t="s">
        <v>6816</v>
      </c>
      <c r="R98" s="9">
        <v>1970.02</v>
      </c>
      <c r="S98" s="15" t="s">
        <v>6861</v>
      </c>
      <c r="T98" s="9">
        <v>2460</v>
      </c>
      <c r="U98" s="15" t="s">
        <v>6915</v>
      </c>
      <c r="V98" s="15"/>
      <c r="W98" s="15"/>
      <c r="X98" s="95">
        <f>+X96+X97</f>
        <v>14497.59</v>
      </c>
      <c r="Y98" s="15"/>
      <c r="Z98" s="9">
        <v>3088.01</v>
      </c>
      <c r="AA98" s="15" t="s">
        <v>7020</v>
      </c>
      <c r="AB98" s="9"/>
      <c r="AC98" s="15"/>
      <c r="AD98" s="15"/>
      <c r="AE98" s="15"/>
      <c r="AF98" s="9"/>
      <c r="AG98" s="15"/>
      <c r="AH98" s="9"/>
      <c r="AI98" s="15"/>
      <c r="AJ98" s="9"/>
      <c r="AK98" s="15"/>
      <c r="AL98" s="9"/>
      <c r="AM98" s="15"/>
      <c r="AN98" s="9"/>
      <c r="AO98" s="15"/>
      <c r="AP98" s="9">
        <v>1099.01</v>
      </c>
      <c r="AQ98" s="15" t="s">
        <v>7343</v>
      </c>
      <c r="AR98" s="95">
        <f>+SUM(AR92:AR97)</f>
        <v>13315.99</v>
      </c>
      <c r="AS98" s="15"/>
      <c r="AT98" s="9"/>
      <c r="AU98" s="15"/>
      <c r="AV98" s="95">
        <f>+SUM(AV92:AV97)</f>
        <v>31129.63</v>
      </c>
      <c r="AW98" s="15"/>
      <c r="AX98" s="9"/>
      <c r="AY98" s="15"/>
      <c r="AZ98" s="9"/>
      <c r="BA98" s="15"/>
      <c r="BB98" s="9"/>
      <c r="BC98" s="15"/>
      <c r="BD98" s="9"/>
      <c r="BE98" s="15"/>
      <c r="BF98" s="15"/>
      <c r="BG98" s="15"/>
      <c r="BH98" s="127"/>
      <c r="BI98" s="127"/>
      <c r="BJ98" s="9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</row>
    <row r="99" spans="1:94" x14ac:dyDescent="0.25">
      <c r="A99" s="41"/>
      <c r="B99">
        <v>1099</v>
      </c>
      <c r="C99" t="s">
        <v>6547</v>
      </c>
      <c r="D99" s="9">
        <v>374.42</v>
      </c>
      <c r="E99" s="15" t="s">
        <v>6593</v>
      </c>
      <c r="F99" s="9">
        <v>4395.01</v>
      </c>
      <c r="G99" s="15" t="s">
        <v>6616</v>
      </c>
      <c r="H99" s="9"/>
      <c r="I99" s="15"/>
      <c r="J99" s="9">
        <v>3250.01</v>
      </c>
      <c r="K99" s="15" t="s">
        <v>6685</v>
      </c>
      <c r="L99" s="9"/>
      <c r="M99" s="15"/>
      <c r="N99" s="9">
        <v>3319.99</v>
      </c>
      <c r="O99" s="15" t="s">
        <v>6787</v>
      </c>
      <c r="P99" s="9">
        <v>1939</v>
      </c>
      <c r="Q99" s="15" t="s">
        <v>6819</v>
      </c>
      <c r="R99" s="9">
        <v>1169</v>
      </c>
      <c r="S99" s="15" t="s">
        <v>6865</v>
      </c>
      <c r="T99" s="9">
        <v>1939</v>
      </c>
      <c r="U99" s="15" t="s">
        <v>6916</v>
      </c>
      <c r="V99" s="9"/>
      <c r="W99" s="15"/>
      <c r="X99" s="9"/>
      <c r="Y99" s="15"/>
      <c r="Z99" s="9">
        <v>1099.01</v>
      </c>
      <c r="AA99" s="15" t="s">
        <v>7025</v>
      </c>
      <c r="AB99" s="9"/>
      <c r="AC99" s="15"/>
      <c r="AD99" s="9"/>
      <c r="AE99" s="15"/>
      <c r="AF99" s="9"/>
      <c r="AG99" s="15"/>
      <c r="AH99" s="9"/>
      <c r="AI99" s="15"/>
      <c r="AJ99" s="15"/>
      <c r="AK99" s="15"/>
      <c r="AL99" s="9"/>
      <c r="AM99" s="15"/>
      <c r="AN99" s="9"/>
      <c r="AO99" s="15"/>
      <c r="AP99" s="9">
        <v>1099.01</v>
      </c>
      <c r="AQ99" s="15" t="s">
        <v>7356</v>
      </c>
      <c r="AR99" s="9"/>
      <c r="AS99" s="15"/>
      <c r="AT99" s="9"/>
      <c r="AU99" s="15"/>
      <c r="AV99" s="9"/>
      <c r="AW99" s="15"/>
      <c r="AX99" s="15"/>
      <c r="AY99" s="15"/>
      <c r="AZ99" s="15"/>
      <c r="BA99" s="15"/>
      <c r="BB99" s="15"/>
      <c r="BC99" s="15"/>
      <c r="BD99" s="127"/>
      <c r="BE99" s="24"/>
      <c r="BF99" s="9"/>
      <c r="BG99" s="15"/>
      <c r="BH99" s="127"/>
      <c r="BI99" s="127"/>
      <c r="BJ99" s="15"/>
      <c r="BK99" s="15"/>
      <c r="BL99" s="9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  <c r="CO99" s="15"/>
      <c r="CP99" s="9"/>
    </row>
    <row r="100" spans="1:94" x14ac:dyDescent="0.25">
      <c r="A100" s="41"/>
      <c r="B100" s="95">
        <f>+SUM(B96:B99)</f>
        <v>3787.99</v>
      </c>
      <c r="D100" s="95">
        <f>+SUM(D92:D99)</f>
        <v>14985.36</v>
      </c>
      <c r="E100" s="15"/>
      <c r="F100" s="9">
        <v>3320</v>
      </c>
      <c r="G100" s="15" t="s">
        <v>6620</v>
      </c>
      <c r="H100" s="9"/>
      <c r="I100" s="15"/>
      <c r="J100" s="9">
        <v>2065</v>
      </c>
      <c r="K100" s="15" t="s">
        <v>6687</v>
      </c>
      <c r="L100" s="9"/>
      <c r="M100" s="15"/>
      <c r="N100" s="9">
        <v>2046.15</v>
      </c>
      <c r="O100" s="15" t="s">
        <v>6737</v>
      </c>
      <c r="P100" s="9">
        <v>1099.01</v>
      </c>
      <c r="Q100" s="15" t="s">
        <v>6821</v>
      </c>
      <c r="R100" s="9">
        <v>3618.99</v>
      </c>
      <c r="S100" s="15" t="s">
        <v>6875</v>
      </c>
      <c r="T100" s="9">
        <v>3320</v>
      </c>
      <c r="U100" s="15" t="s">
        <v>6917</v>
      </c>
      <c r="V100" s="9"/>
      <c r="W100" s="15"/>
      <c r="X100" s="9"/>
      <c r="Y100" s="15"/>
      <c r="Z100" s="9">
        <v>1169</v>
      </c>
      <c r="AA100" s="15" t="s">
        <v>7039</v>
      </c>
      <c r="AB100" s="9"/>
      <c r="AC100" s="15"/>
      <c r="AD100" s="9"/>
      <c r="AE100" s="15"/>
      <c r="AF100" s="9"/>
      <c r="AG100" s="15"/>
      <c r="AH100" s="9"/>
      <c r="AI100" s="15"/>
      <c r="AJ100" s="9"/>
      <c r="AK100" s="15"/>
      <c r="AL100" s="9"/>
      <c r="AM100" s="15"/>
      <c r="AN100" s="9"/>
      <c r="AO100" s="15"/>
      <c r="AP100" s="9">
        <v>2048.9899999999998</v>
      </c>
      <c r="AQ100" s="15" t="s">
        <v>7366</v>
      </c>
      <c r="AR100" s="9">
        <v>1686.25</v>
      </c>
      <c r="AS100" s="15" t="s">
        <v>7477</v>
      </c>
      <c r="AT100" s="9"/>
      <c r="AU100" s="15"/>
      <c r="AV100" s="9"/>
      <c r="AW100" s="15"/>
      <c r="AX100" s="9"/>
      <c r="AY100" s="15"/>
      <c r="AZ100" s="15"/>
      <c r="BA100" s="15"/>
      <c r="BB100" s="9"/>
      <c r="BC100" s="15"/>
      <c r="BD100" s="15"/>
      <c r="BE100" s="15"/>
      <c r="BF100" s="9"/>
      <c r="BG100" s="15"/>
      <c r="BH100" s="127"/>
      <c r="BI100" s="127"/>
      <c r="BJ100" s="15"/>
      <c r="BK100" s="15"/>
      <c r="BL100" s="9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  <c r="CO100" s="15"/>
      <c r="CP100" s="9"/>
    </row>
    <row r="101" spans="1:94" x14ac:dyDescent="0.25">
      <c r="A101" s="41"/>
      <c r="B101" s="95"/>
      <c r="C101" s="15"/>
      <c r="D101" s="9"/>
      <c r="E101" s="15"/>
      <c r="F101" s="9">
        <v>99.01</v>
      </c>
      <c r="G101" s="15" t="s">
        <v>6621</v>
      </c>
      <c r="H101" s="15"/>
      <c r="I101" s="15"/>
      <c r="J101" s="9">
        <v>2040</v>
      </c>
      <c r="K101" s="15" t="s">
        <v>6688</v>
      </c>
      <c r="L101" s="9"/>
      <c r="M101" s="15"/>
      <c r="N101" s="95">
        <f>+SUM(N98:N100)</f>
        <v>5621.0599999999995</v>
      </c>
      <c r="O101" s="15"/>
      <c r="P101" s="9">
        <v>1898.99</v>
      </c>
      <c r="Q101" s="15" t="s">
        <v>6828</v>
      </c>
      <c r="R101" s="9">
        <v>3904</v>
      </c>
      <c r="S101" s="15" t="s">
        <v>6881</v>
      </c>
      <c r="T101" s="9">
        <v>1087.78</v>
      </c>
      <c r="U101" s="15" t="s">
        <v>6927</v>
      </c>
      <c r="V101" s="9"/>
      <c r="W101" s="15"/>
      <c r="X101" s="9"/>
      <c r="Y101" s="15"/>
      <c r="Z101" s="95">
        <f>+SUM(Z97:Z100)</f>
        <v>6525.02</v>
      </c>
      <c r="AA101" s="15"/>
      <c r="AB101" s="9"/>
      <c r="AC101" s="15"/>
      <c r="AD101" s="9"/>
      <c r="AE101" s="15"/>
      <c r="AF101" s="9"/>
      <c r="AG101" s="15"/>
      <c r="AH101" s="9"/>
      <c r="AI101" s="15"/>
      <c r="AJ101" s="9"/>
      <c r="AK101" s="15"/>
      <c r="AL101" s="15"/>
      <c r="AM101" s="15"/>
      <c r="AN101" s="9"/>
      <c r="AO101" s="15"/>
      <c r="AP101" s="9">
        <v>374.42</v>
      </c>
      <c r="AQ101" s="15" t="s">
        <v>7373</v>
      </c>
      <c r="AR101" s="9">
        <v>20000</v>
      </c>
      <c r="AS101" s="15" t="s">
        <v>7479</v>
      </c>
      <c r="AT101" s="9"/>
      <c r="AU101" s="15"/>
      <c r="AV101" s="15"/>
      <c r="AW101" s="15"/>
      <c r="AX101" s="9"/>
      <c r="AY101" s="15"/>
      <c r="AZ101" s="9"/>
      <c r="BA101" s="15"/>
      <c r="BB101" s="15"/>
      <c r="BC101" s="15"/>
      <c r="BD101" s="9"/>
      <c r="BE101" s="15"/>
      <c r="BF101" s="9"/>
      <c r="BG101" s="15"/>
      <c r="BH101" s="127"/>
      <c r="BI101" s="127"/>
      <c r="BJ101" s="9"/>
      <c r="BK101" s="1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  <c r="CO101" s="15"/>
      <c r="CP101" s="9"/>
    </row>
    <row r="102" spans="1:94" x14ac:dyDescent="0.25">
      <c r="A102" s="41"/>
      <c r="B102" s="9"/>
      <c r="C102" s="15"/>
      <c r="D102" s="15">
        <v>82.93</v>
      </c>
      <c r="E102" s="15" t="s">
        <v>6642</v>
      </c>
      <c r="F102" s="9">
        <v>2504</v>
      </c>
      <c r="G102" s="15" t="s">
        <v>6623</v>
      </c>
      <c r="H102" s="9"/>
      <c r="I102" s="15"/>
      <c r="J102" s="9">
        <v>1099.01</v>
      </c>
      <c r="K102" s="15" t="s">
        <v>6689</v>
      </c>
      <c r="L102" s="9"/>
      <c r="M102" s="15"/>
      <c r="N102" s="9"/>
      <c r="O102" s="15"/>
      <c r="P102" s="9">
        <v>1099</v>
      </c>
      <c r="Q102" s="15" t="s">
        <v>6833</v>
      </c>
      <c r="R102" s="95">
        <f>+SUM(R97:R101)</f>
        <v>12702.01</v>
      </c>
      <c r="S102" s="15"/>
      <c r="T102" s="9">
        <v>517.89</v>
      </c>
      <c r="U102" s="15" t="s">
        <v>6932</v>
      </c>
      <c r="V102" s="9"/>
      <c r="W102" s="15"/>
      <c r="X102" s="9"/>
      <c r="Y102" s="15"/>
      <c r="Z102" s="9"/>
      <c r="AA102" s="15"/>
      <c r="AB102" s="9"/>
      <c r="AC102" s="15"/>
      <c r="AD102" s="9"/>
      <c r="AE102" s="15"/>
      <c r="AF102" s="9"/>
      <c r="AG102" s="15"/>
      <c r="AH102" s="9"/>
      <c r="AI102" s="15"/>
      <c r="AJ102" s="9"/>
      <c r="AK102" s="15"/>
      <c r="AL102" s="9"/>
      <c r="AM102" s="15"/>
      <c r="AN102" s="9"/>
      <c r="AO102" s="15"/>
      <c r="AP102" s="9">
        <v>1000</v>
      </c>
      <c r="AQ102" s="15" t="s">
        <v>7345</v>
      </c>
      <c r="AR102" s="9">
        <v>2800</v>
      </c>
      <c r="AS102" s="15" t="s">
        <v>7482</v>
      </c>
      <c r="AT102" s="9"/>
      <c r="AU102" s="15"/>
      <c r="AV102" s="9"/>
      <c r="AW102" s="15"/>
      <c r="AX102" s="9"/>
      <c r="AY102" s="15"/>
      <c r="AZ102" s="9"/>
      <c r="BA102" s="15"/>
      <c r="BB102" s="9"/>
      <c r="BC102" s="15"/>
      <c r="BD102" s="9"/>
      <c r="BE102" s="15"/>
      <c r="BF102" s="9"/>
      <c r="BG102" s="15"/>
      <c r="BH102" s="127"/>
      <c r="BI102" s="127"/>
      <c r="BJ102" s="9"/>
      <c r="BK102" s="1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  <c r="CO102" s="15"/>
      <c r="CP102" s="9"/>
    </row>
    <row r="103" spans="1:94" x14ac:dyDescent="0.25">
      <c r="A103" s="41"/>
      <c r="B103" s="9"/>
      <c r="C103" s="15"/>
      <c r="D103" s="9"/>
      <c r="E103" s="15"/>
      <c r="F103" s="9">
        <v>2039.99</v>
      </c>
      <c r="G103" s="15" t="s">
        <v>6624</v>
      </c>
      <c r="H103" s="9"/>
      <c r="I103" s="15"/>
      <c r="J103" s="9">
        <v>3250</v>
      </c>
      <c r="K103" s="15" t="s">
        <v>6690</v>
      </c>
      <c r="L103" s="9"/>
      <c r="M103" s="15"/>
      <c r="N103" s="9"/>
      <c r="O103" s="15"/>
      <c r="P103" s="95">
        <f>+SUM(P95:P102)</f>
        <v>8155.25</v>
      </c>
      <c r="Q103" s="15"/>
      <c r="R103" s="9"/>
      <c r="S103" s="15"/>
      <c r="T103" s="9">
        <v>5000</v>
      </c>
      <c r="U103" s="15" t="s">
        <v>6889</v>
      </c>
      <c r="V103" s="9"/>
      <c r="W103" s="15"/>
      <c r="X103" s="9"/>
      <c r="Y103" s="15"/>
      <c r="Z103" s="9"/>
      <c r="AA103" s="15"/>
      <c r="AB103" s="9"/>
      <c r="AC103" s="15"/>
      <c r="AD103" s="9"/>
      <c r="AE103" s="15"/>
      <c r="AF103" s="9"/>
      <c r="AG103" s="15"/>
      <c r="AH103" s="9"/>
      <c r="AI103" s="15"/>
      <c r="AJ103" s="15"/>
      <c r="AK103" s="15"/>
      <c r="AL103" s="9"/>
      <c r="AM103" s="15"/>
      <c r="AN103" s="15"/>
      <c r="AO103" s="15"/>
      <c r="AP103" s="9">
        <v>950</v>
      </c>
      <c r="AQ103" s="15" t="s">
        <v>7374</v>
      </c>
      <c r="AR103" s="9">
        <v>3884.96</v>
      </c>
      <c r="AS103" s="15" t="s">
        <v>7484</v>
      </c>
      <c r="AT103" s="15"/>
      <c r="AU103" s="15"/>
      <c r="AV103" s="9"/>
      <c r="AW103" s="15"/>
      <c r="AX103" s="9"/>
      <c r="AY103" s="15"/>
      <c r="AZ103" s="9"/>
      <c r="BA103" s="15"/>
      <c r="BB103" s="9"/>
      <c r="BC103" s="15"/>
      <c r="BD103" s="9"/>
      <c r="BE103" s="15"/>
      <c r="BF103" s="9"/>
      <c r="BG103" s="15"/>
      <c r="BH103" s="127"/>
      <c r="BI103" s="127"/>
      <c r="BJ103" s="9"/>
      <c r="BK103" s="1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  <c r="CO103" s="15"/>
      <c r="CP103" s="9"/>
    </row>
    <row r="104" spans="1:94" x14ac:dyDescent="0.25">
      <c r="A104" s="41"/>
      <c r="B104" s="9"/>
      <c r="C104" s="15"/>
      <c r="D104" s="15"/>
      <c r="E104" s="15"/>
      <c r="F104" s="9">
        <v>374.42</v>
      </c>
      <c r="G104" s="15" t="s">
        <v>6627</v>
      </c>
      <c r="H104" s="9"/>
      <c r="I104" s="15"/>
      <c r="J104" s="9">
        <v>628.51</v>
      </c>
      <c r="K104" s="15" t="s">
        <v>6691</v>
      </c>
      <c r="L104" s="9"/>
      <c r="M104" s="15"/>
      <c r="N104" s="9"/>
      <c r="O104" s="15"/>
      <c r="P104" s="9"/>
      <c r="Q104" s="15"/>
      <c r="R104" s="9"/>
      <c r="S104" s="15"/>
      <c r="T104" s="95">
        <f>+SUM(T92:T103)</f>
        <v>28629.579999999998</v>
      </c>
      <c r="U104" s="15"/>
      <c r="V104" s="9"/>
      <c r="W104" s="15"/>
      <c r="X104" s="9"/>
      <c r="Y104" s="15"/>
      <c r="Z104" s="9"/>
      <c r="AA104" s="15"/>
      <c r="AB104" s="9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">
        <v>3000</v>
      </c>
      <c r="AQ104" s="15" t="s">
        <v>7377</v>
      </c>
      <c r="AR104" s="9">
        <v>6945</v>
      </c>
      <c r="AS104" s="15" t="s">
        <v>7485</v>
      </c>
      <c r="AT104" s="9"/>
      <c r="AU104" s="15"/>
      <c r="AV104" s="9"/>
      <c r="AW104" s="15"/>
      <c r="AX104" s="9"/>
      <c r="AY104" s="15"/>
      <c r="AZ104" s="9"/>
      <c r="BA104" s="15"/>
      <c r="BB104" s="9"/>
      <c r="BC104" s="15"/>
      <c r="BD104" s="9"/>
      <c r="BE104" s="15"/>
      <c r="BF104" s="9"/>
      <c r="BG104" s="15"/>
      <c r="BH104" s="127"/>
      <c r="BI104" s="127"/>
      <c r="BJ104" s="9"/>
      <c r="BK104" s="1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  <c r="CO104" s="15"/>
      <c r="CP104" s="9"/>
    </row>
    <row r="105" spans="1:94" x14ac:dyDescent="0.25">
      <c r="A105" s="41"/>
      <c r="B105" s="9"/>
      <c r="C105" s="15"/>
      <c r="D105" s="9"/>
      <c r="E105" s="15"/>
      <c r="F105" s="95">
        <f>+SUM(F92:F104)</f>
        <v>39716.67</v>
      </c>
      <c r="G105" s="15"/>
      <c r="H105" s="9"/>
      <c r="I105" s="15"/>
      <c r="J105" s="95">
        <f>+SUM(J96:J104)</f>
        <v>36951.250000000007</v>
      </c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9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15"/>
      <c r="AM105" s="15"/>
      <c r="AN105" s="15"/>
      <c r="AO105" s="15"/>
      <c r="AP105" s="95">
        <f>+SUM(AP96:AP104)</f>
        <v>11375.439999999999</v>
      </c>
      <c r="AQ105" s="15"/>
      <c r="AR105" s="9">
        <v>1936.77</v>
      </c>
      <c r="AS105" s="15" t="s">
        <v>7488</v>
      </c>
      <c r="AT105" s="15"/>
      <c r="AU105" s="15"/>
      <c r="AV105" s="9"/>
      <c r="AW105" s="15"/>
      <c r="AX105" s="9"/>
      <c r="AY105" s="15"/>
      <c r="AZ105" s="9"/>
      <c r="BA105" s="15"/>
      <c r="BB105" s="9"/>
      <c r="BC105" s="15"/>
      <c r="BD105" s="9"/>
      <c r="BE105" s="15"/>
      <c r="BF105" s="9"/>
      <c r="BG105" s="15"/>
      <c r="BH105" s="127"/>
      <c r="BI105" s="127"/>
      <c r="BJ105" s="9"/>
      <c r="BK105" s="1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  <c r="CO105" s="15"/>
      <c r="CP105" s="9"/>
    </row>
    <row r="106" spans="1:94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9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9"/>
      <c r="AA106" s="15"/>
      <c r="AB106" s="9"/>
      <c r="AC106" s="15"/>
      <c r="AD106" s="9"/>
      <c r="AE106" s="15"/>
      <c r="AF106" s="15"/>
      <c r="AG106" s="15"/>
      <c r="AH106" s="15"/>
      <c r="AI106" s="15"/>
      <c r="AJ106" s="9"/>
      <c r="AK106" s="15"/>
      <c r="AL106" s="9"/>
      <c r="AM106" s="15"/>
      <c r="AN106" s="9"/>
      <c r="AO106" s="15"/>
      <c r="AP106" s="9"/>
      <c r="AQ106" s="15"/>
      <c r="AR106" s="95">
        <f>+SUM(AR100:AR105)</f>
        <v>37252.979999999996</v>
      </c>
      <c r="AS106" s="15"/>
      <c r="AT106" s="9"/>
      <c r="AU106" s="15"/>
      <c r="AV106" s="9"/>
      <c r="AW106" s="15"/>
      <c r="AX106" s="9"/>
      <c r="AY106" s="15"/>
      <c r="AZ106" s="9"/>
      <c r="BA106" s="15"/>
      <c r="BB106" s="9"/>
      <c r="BC106" s="15"/>
      <c r="BD106" s="9"/>
      <c r="BE106" s="15"/>
      <c r="BF106" s="9"/>
      <c r="BG106" s="15"/>
      <c r="BH106" s="15"/>
      <c r="BI106" s="15"/>
      <c r="BJ106" s="9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  <c r="CO106" s="15"/>
      <c r="CP106" s="9"/>
    </row>
    <row r="107" spans="1:94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15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9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9"/>
      <c r="AU107" s="15"/>
      <c r="AV107" s="9"/>
      <c r="AW107" s="15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15"/>
      <c r="BI107" s="15"/>
      <c r="BJ107" s="9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  <c r="CO107" s="15"/>
      <c r="CP107" s="9"/>
    </row>
    <row r="108" spans="1:94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9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  <c r="CO108" s="15"/>
      <c r="CP108" s="9"/>
    </row>
    <row r="109" spans="1:94" x14ac:dyDescent="0.25">
      <c r="A109" s="41"/>
      <c r="B109" s="9"/>
      <c r="C109" s="15"/>
      <c r="D109" s="9"/>
      <c r="E109" s="15"/>
      <c r="F109" s="9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9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  <c r="CO109" s="15"/>
      <c r="CP109" s="9"/>
    </row>
    <row r="110" spans="1:94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1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  <c r="CO110" s="13"/>
      <c r="CP110" s="11"/>
    </row>
    <row r="111" spans="1:94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1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23"/>
      <c r="AS111" s="13"/>
      <c r="AT111" s="11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  <c r="CO111" s="13"/>
      <c r="CP111" s="11"/>
    </row>
    <row r="112" spans="1:94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1"/>
      <c r="AA112" s="13"/>
      <c r="AB112" s="14"/>
      <c r="AC112" s="23"/>
      <c r="AD112" s="11"/>
      <c r="AE112" s="13"/>
      <c r="AF112" s="11"/>
      <c r="AG112" s="13"/>
      <c r="AH112" s="11"/>
      <c r="AI112" s="13"/>
      <c r="AJ112" s="11"/>
      <c r="AK112" s="13"/>
      <c r="AL112" s="11"/>
      <c r="AM112" s="13"/>
      <c r="AN112" s="11">
        <v>3528.99</v>
      </c>
      <c r="AO112" s="13" t="s">
        <v>7241</v>
      </c>
      <c r="AP112" s="11"/>
      <c r="AQ112" s="13"/>
      <c r="AR112" s="13"/>
      <c r="AS112" s="13"/>
      <c r="AT112" s="11"/>
      <c r="AU112" s="13"/>
      <c r="AV112" s="11"/>
      <c r="AW112" s="13"/>
      <c r="AX112" s="11"/>
      <c r="AY112" s="13"/>
      <c r="AZ112" s="11"/>
      <c r="BA112" s="13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  <c r="CO112" s="13"/>
      <c r="CP112" s="11"/>
    </row>
    <row r="113" spans="1:94" x14ac:dyDescent="0.25">
      <c r="A113" s="42" t="s">
        <v>7</v>
      </c>
      <c r="B113" s="14"/>
      <c r="C113" s="23"/>
      <c r="D113" s="14"/>
      <c r="E113" s="23"/>
      <c r="F113" s="14">
        <v>4220</v>
      </c>
      <c r="G113" s="23" t="s">
        <v>6604</v>
      </c>
      <c r="H113" s="23"/>
      <c r="I113" s="23"/>
      <c r="J113" s="14"/>
      <c r="K113" s="23"/>
      <c r="L113" s="23"/>
      <c r="M113" s="23"/>
      <c r="N113" s="23">
        <v>2201.98</v>
      </c>
      <c r="O113" s="23" t="s">
        <v>6755</v>
      </c>
      <c r="P113" s="14"/>
      <c r="Q113" s="23"/>
      <c r="R113" s="14"/>
      <c r="S113" s="23"/>
      <c r="T113" s="14"/>
      <c r="U113" s="23"/>
      <c r="V113" s="14"/>
      <c r="W113" s="23"/>
      <c r="X113" s="14">
        <v>2040</v>
      </c>
      <c r="Y113" s="23" t="s">
        <v>6977</v>
      </c>
      <c r="Z113" s="14">
        <v>3073</v>
      </c>
      <c r="AA113" s="23" t="s">
        <v>7016</v>
      </c>
      <c r="AB113" s="14">
        <v>3250.01</v>
      </c>
      <c r="AC113" s="23" t="s">
        <v>7065</v>
      </c>
      <c r="AD113" s="14">
        <v>3327.59</v>
      </c>
      <c r="AE113" s="23" t="s">
        <v>7114</v>
      </c>
      <c r="AF113" s="14"/>
      <c r="AG113" s="23"/>
      <c r="AH113" s="23"/>
      <c r="AI113" s="14"/>
      <c r="AJ113" s="23"/>
      <c r="AK113" s="14"/>
      <c r="AL113" s="14">
        <v>150</v>
      </c>
      <c r="AM113" s="23" t="s">
        <v>7288</v>
      </c>
      <c r="AN113" s="14"/>
      <c r="AO113" s="23"/>
      <c r="AP113" s="23"/>
      <c r="AQ113" s="23"/>
      <c r="AR113" s="14"/>
      <c r="AS113" s="23"/>
      <c r="AT113" s="14"/>
      <c r="AU113" s="23"/>
      <c r="AV113" s="14"/>
      <c r="AW113" s="23"/>
      <c r="AX113" s="23"/>
      <c r="AY113" s="23"/>
      <c r="AZ113" s="23"/>
      <c r="BA113" s="23"/>
      <c r="BB113" s="14">
        <v>766</v>
      </c>
      <c r="BC113" s="23" t="s">
        <v>7610</v>
      </c>
      <c r="BD113" s="14"/>
      <c r="BE113" s="23"/>
      <c r="BF113" s="14">
        <v>1099.01</v>
      </c>
      <c r="BG113" s="23" t="s">
        <v>7735</v>
      </c>
      <c r="BH113" s="14"/>
      <c r="BI113" s="23"/>
      <c r="BJ113" s="14"/>
      <c r="BK113" s="23"/>
      <c r="BL113" s="14"/>
      <c r="BM113" s="23"/>
      <c r="BN113" s="14"/>
      <c r="BO113" s="23"/>
      <c r="BP113" s="14"/>
      <c r="BQ113" s="23"/>
      <c r="BR113" s="14"/>
      <c r="BS113" s="23"/>
      <c r="BT113" s="14"/>
      <c r="BU113" s="23"/>
      <c r="BV113" s="14"/>
      <c r="BW113" s="23"/>
      <c r="BX113" s="14"/>
      <c r="BY113" s="23"/>
      <c r="BZ113" s="14"/>
      <c r="CA113" s="23"/>
      <c r="CB113" s="14"/>
      <c r="CC113" s="23"/>
      <c r="CD113" s="14"/>
      <c r="CE113" s="23"/>
      <c r="CF113" s="14"/>
      <c r="CG113" s="23"/>
      <c r="CH113" s="14"/>
      <c r="CI113" s="23"/>
      <c r="CJ113" s="14"/>
      <c r="CK113" s="23"/>
      <c r="CL113" s="14"/>
      <c r="CM113" s="23"/>
      <c r="CN113" s="14"/>
      <c r="CO113" s="23"/>
      <c r="CP113" s="14"/>
    </row>
    <row r="114" spans="1:94" x14ac:dyDescent="0.25">
      <c r="A114" s="42"/>
      <c r="B114" s="14"/>
      <c r="C114" s="23"/>
      <c r="D114" s="14"/>
      <c r="E114" s="23"/>
      <c r="F114" s="14">
        <v>3427.99</v>
      </c>
      <c r="G114" s="23" t="s">
        <v>6625</v>
      </c>
      <c r="H114" s="14"/>
      <c r="I114" s="23"/>
      <c r="J114" s="14"/>
      <c r="K114" s="23"/>
      <c r="L114" s="14"/>
      <c r="M114" s="23"/>
      <c r="N114" s="14"/>
      <c r="O114" s="23"/>
      <c r="P114" s="14"/>
      <c r="Q114" s="23"/>
      <c r="R114" s="14"/>
      <c r="S114" s="23"/>
      <c r="T114" s="14"/>
      <c r="U114" s="23"/>
      <c r="V114" s="14"/>
      <c r="W114" s="23"/>
      <c r="X114" s="14"/>
      <c r="Y114" s="23"/>
      <c r="Z114" s="14">
        <v>1169</v>
      </c>
      <c r="AA114" s="23" t="s">
        <v>7017</v>
      </c>
      <c r="AB114" s="14">
        <v>1099</v>
      </c>
      <c r="AC114" s="23" t="s">
        <v>7067</v>
      </c>
      <c r="AD114" s="14"/>
      <c r="AE114" s="23"/>
      <c r="AF114" s="14"/>
      <c r="AG114" s="23"/>
      <c r="AH114" s="14"/>
      <c r="AI114" s="23"/>
      <c r="AJ114" s="14"/>
      <c r="AK114" s="23"/>
      <c r="AL114" s="14"/>
      <c r="AM114" s="23"/>
      <c r="AN114" s="23"/>
      <c r="AO114" s="23"/>
      <c r="AP114" s="14"/>
      <c r="AQ114" s="23"/>
      <c r="AR114" s="14"/>
      <c r="AS114" s="23"/>
      <c r="AT114" s="14"/>
      <c r="AU114" s="23"/>
      <c r="AV114" s="14"/>
      <c r="AW114" s="23"/>
      <c r="AX114" s="14"/>
      <c r="AY114" s="23"/>
      <c r="AZ114" s="14"/>
      <c r="BA114" s="23"/>
      <c r="BB114" s="14">
        <v>10908.45</v>
      </c>
      <c r="BC114" s="23" t="s">
        <v>7635</v>
      </c>
      <c r="BD114" s="14"/>
      <c r="BE114" s="23"/>
      <c r="BF114" s="14"/>
      <c r="BG114" s="23"/>
      <c r="BH114" s="14"/>
      <c r="BI114" s="23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  <c r="CO114" s="23"/>
      <c r="CP114" s="14"/>
    </row>
    <row r="115" spans="1:94" x14ac:dyDescent="0.25">
      <c r="A115" s="42"/>
      <c r="B115" s="23"/>
      <c r="C115" s="23"/>
      <c r="D115" s="23"/>
      <c r="E115" s="23"/>
      <c r="F115" s="111">
        <f>+F113+F114</f>
        <v>7647.99</v>
      </c>
      <c r="G115" s="23"/>
      <c r="H115" s="23"/>
      <c r="I115" s="23"/>
      <c r="J115" s="14"/>
      <c r="K115" s="23"/>
      <c r="L115" s="23"/>
      <c r="M115" s="23"/>
      <c r="N115" s="23"/>
      <c r="O115" s="23"/>
      <c r="P115" s="23"/>
      <c r="Q115" s="23"/>
      <c r="R115" s="14"/>
      <c r="S115" s="23"/>
      <c r="T115" s="23"/>
      <c r="U115" s="23"/>
      <c r="V115" s="23"/>
      <c r="W115" s="23"/>
      <c r="X115" s="23"/>
      <c r="Y115" s="23"/>
      <c r="Z115" s="111">
        <f>+Z113+Z114</f>
        <v>4242</v>
      </c>
      <c r="AA115" s="23"/>
      <c r="AB115" s="111">
        <f>+AB113+AB114</f>
        <v>4349.01</v>
      </c>
      <c r="AC115" s="23"/>
      <c r="AD115" s="23"/>
      <c r="AE115" s="23"/>
      <c r="AF115" s="14"/>
      <c r="AG115" s="23"/>
      <c r="AH115" s="14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111">
        <f>+BB113+BB114</f>
        <v>11674.45</v>
      </c>
      <c r="BC115" s="23"/>
      <c r="BD115" s="14"/>
      <c r="BE115" s="23"/>
      <c r="BF115" s="23"/>
      <c r="BG115" s="23"/>
      <c r="BH115" s="153"/>
      <c r="BI115" s="120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</row>
    <row r="116" spans="1:94" x14ac:dyDescent="0.25">
      <c r="A116" s="43"/>
      <c r="B116" s="11"/>
      <c r="C116" s="13"/>
      <c r="D116" s="11"/>
      <c r="E116" s="13"/>
      <c r="F116" s="11"/>
      <c r="G116" s="13"/>
      <c r="H116" s="11"/>
      <c r="I116" s="13"/>
      <c r="J116" s="13"/>
      <c r="K116" s="13"/>
      <c r="L116" s="11"/>
      <c r="M116" s="13"/>
      <c r="N116" s="11"/>
      <c r="O116" s="13"/>
      <c r="P116" s="23"/>
      <c r="Q116" s="13"/>
      <c r="R116" s="14"/>
      <c r="S116" s="13"/>
      <c r="T116" s="11"/>
      <c r="U116" s="13"/>
      <c r="V116" s="11"/>
      <c r="W116" s="13"/>
      <c r="X116" s="11"/>
      <c r="Y116" s="13"/>
      <c r="Z116" s="11"/>
      <c r="AA116" s="13"/>
      <c r="AB116" s="11"/>
      <c r="AC116" s="13"/>
      <c r="AD116" s="11"/>
      <c r="AE116" s="13"/>
      <c r="AF116" s="15"/>
      <c r="AG116" s="13"/>
      <c r="AH116" s="11"/>
      <c r="AI116" s="13"/>
      <c r="AJ116" s="11"/>
      <c r="AK116" s="13"/>
      <c r="AL116" s="11"/>
      <c r="AM116" s="13"/>
      <c r="AN116" s="11"/>
      <c r="AO116" s="13"/>
      <c r="AP116" s="11"/>
      <c r="AQ116" s="13"/>
      <c r="AR116" s="11"/>
      <c r="AS116" s="13"/>
      <c r="AT116" s="11"/>
      <c r="AU116" s="13"/>
      <c r="AV116" s="11"/>
      <c r="AW116" s="13"/>
      <c r="AX116" s="11"/>
      <c r="AY116" s="13"/>
      <c r="AZ116" s="11"/>
      <c r="BA116" s="13"/>
      <c r="BB116" s="11"/>
      <c r="BC116" s="13"/>
      <c r="BD116" s="15"/>
      <c r="BE116" s="13"/>
      <c r="BF116" s="11"/>
      <c r="BG116" s="13"/>
      <c r="BH116" s="11"/>
      <c r="BI116" s="13"/>
      <c r="BJ116" s="11"/>
      <c r="BK116" s="13"/>
      <c r="BL116" s="11"/>
      <c r="BM116" s="13"/>
      <c r="BN116" s="11"/>
      <c r="BO116" s="13"/>
      <c r="BP116" s="11"/>
      <c r="BQ116" s="13"/>
      <c r="BR116" s="11"/>
      <c r="BS116" s="13"/>
      <c r="BT116" s="11"/>
      <c r="BU116" s="13"/>
      <c r="BV116" s="11"/>
      <c r="BW116" s="13"/>
      <c r="BX116" s="11"/>
      <c r="BY116" s="13"/>
      <c r="BZ116" s="11"/>
      <c r="CA116" s="13"/>
      <c r="CB116" s="11"/>
      <c r="CC116" s="13"/>
      <c r="CD116" s="11"/>
      <c r="CE116" s="13"/>
      <c r="CF116" s="11"/>
      <c r="CG116" s="13"/>
      <c r="CH116" s="11"/>
      <c r="CI116" s="13"/>
      <c r="CJ116" s="11"/>
      <c r="CK116" s="13"/>
      <c r="CL116" s="11"/>
      <c r="CM116" s="13"/>
      <c r="CN116" s="11"/>
      <c r="CO116" s="13"/>
      <c r="CP116" s="11"/>
    </row>
    <row r="117" spans="1:94" x14ac:dyDescent="0.25">
      <c r="A117" s="43"/>
      <c r="B117" s="11"/>
      <c r="C117" s="13"/>
      <c r="D117" s="11"/>
      <c r="E117" s="13"/>
      <c r="F117" s="11"/>
      <c r="G117" s="13"/>
      <c r="H117" s="11"/>
      <c r="I117" s="13"/>
      <c r="J117" s="11"/>
      <c r="K117" s="13"/>
      <c r="L117" s="11"/>
      <c r="M117" s="13"/>
      <c r="N117" s="11"/>
      <c r="O117" s="13"/>
      <c r="P117" s="11"/>
      <c r="Q117" s="13"/>
      <c r="R117" s="23"/>
      <c r="S117" s="13"/>
      <c r="T117" s="11"/>
      <c r="U117" s="13"/>
      <c r="V117" s="11"/>
      <c r="W117" s="13"/>
      <c r="X117" s="11"/>
      <c r="Y117" s="13"/>
      <c r="Z117" s="11"/>
      <c r="AA117" s="13"/>
      <c r="AB117" s="11"/>
      <c r="AC117" s="13"/>
      <c r="AD117" s="11"/>
      <c r="AE117" s="13"/>
      <c r="AF117" s="11"/>
      <c r="AG117" s="13"/>
      <c r="AH117" s="23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"/>
      <c r="AS117" s="13"/>
      <c r="AT117" s="11"/>
      <c r="AU117" s="13"/>
      <c r="AV117" s="11"/>
      <c r="AW117" s="13"/>
      <c r="AX117" s="11"/>
      <c r="AY117" s="13"/>
      <c r="AZ117" s="11"/>
      <c r="BA117" s="13"/>
      <c r="BB117" s="11"/>
      <c r="BC117" s="13"/>
      <c r="BD117" s="11"/>
      <c r="BE117" s="13"/>
      <c r="BF117" s="11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  <c r="CO117" s="13"/>
      <c r="CP117" s="11"/>
    </row>
    <row r="118" spans="1:94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11"/>
      <c r="S118" s="13"/>
      <c r="T118" s="11"/>
      <c r="U118" s="13"/>
      <c r="V118" s="11"/>
      <c r="W118" s="13"/>
      <c r="X118" s="11"/>
      <c r="Y118" s="13"/>
      <c r="Z118" s="11"/>
      <c r="AA118" s="13"/>
      <c r="AB118" s="11"/>
      <c r="AC118" s="13"/>
      <c r="AD118" s="11"/>
      <c r="AE118" s="13"/>
      <c r="AF118" s="11"/>
      <c r="AG118" s="13"/>
      <c r="AH118" s="11"/>
      <c r="AI118" s="13"/>
      <c r="AJ118" s="11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11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  <c r="CO118" s="13"/>
      <c r="CP118" s="11"/>
    </row>
    <row r="119" spans="1:94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1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  <c r="CO119" s="13"/>
      <c r="CP119" s="11"/>
    </row>
    <row r="120" spans="1:94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1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  <c r="CO120" s="13"/>
      <c r="CP120" s="11"/>
    </row>
    <row r="121" spans="1:94" x14ac:dyDescent="0.25">
      <c r="A121" s="42" t="s">
        <v>5</v>
      </c>
      <c r="B121" s="14">
        <f>+B74+B64</f>
        <v>53032</v>
      </c>
      <c r="C121" s="23"/>
      <c r="D121" s="14">
        <f>+D65+D72</f>
        <v>69974.709999999992</v>
      </c>
      <c r="E121" s="23"/>
      <c r="F121" s="14">
        <f>+F62</f>
        <v>7724.57</v>
      </c>
      <c r="G121" s="23"/>
      <c r="H121" s="14"/>
      <c r="I121" s="23"/>
      <c r="J121" s="14">
        <f>+J71</f>
        <v>61390.06</v>
      </c>
      <c r="K121" s="23"/>
      <c r="L121" s="14">
        <f>+L66+L76</f>
        <v>19854.199999999997</v>
      </c>
      <c r="M121" s="23"/>
      <c r="N121" s="14">
        <f>+N66</f>
        <v>13364.99</v>
      </c>
      <c r="O121" s="23"/>
      <c r="P121" s="14">
        <f>+P64+P73</f>
        <v>21376.989999999998</v>
      </c>
      <c r="Q121" s="23"/>
      <c r="R121" s="14">
        <f>+R61+R71</f>
        <v>19441.78</v>
      </c>
      <c r="S121" s="23"/>
      <c r="T121" s="14">
        <f>+T72</f>
        <v>21275.649999999998</v>
      </c>
      <c r="U121" s="23"/>
      <c r="V121" s="14">
        <f>+V60</f>
        <v>40137.25</v>
      </c>
      <c r="W121" s="23"/>
      <c r="X121" s="14">
        <f>+X62+X76</f>
        <v>46395.97</v>
      </c>
      <c r="Y121" s="23"/>
      <c r="Z121" s="14">
        <f>+Z67</f>
        <v>16450.219999999998</v>
      </c>
      <c r="AA121" s="23"/>
      <c r="AB121" s="14">
        <f>+AB63+AB76</f>
        <v>25166.93</v>
      </c>
      <c r="AC121" s="23"/>
      <c r="AD121" s="14">
        <f>+AD62+AD77</f>
        <v>42137.98</v>
      </c>
      <c r="AE121" s="23"/>
      <c r="AF121" s="14">
        <f>+AF63+AF77</f>
        <v>35494.81</v>
      </c>
      <c r="AG121" s="23"/>
      <c r="AH121" s="14">
        <f>+AH71</f>
        <v>19408.050000000003</v>
      </c>
      <c r="AI121" s="23"/>
      <c r="AJ121" s="14"/>
      <c r="AK121" s="23"/>
      <c r="AL121" s="14">
        <f>+AL63+AL73</f>
        <v>43782.979999999996</v>
      </c>
      <c r="AM121" s="23"/>
      <c r="AN121" s="14">
        <f>+AN73+AN77</f>
        <v>55401.919999999998</v>
      </c>
      <c r="AO121" s="23"/>
      <c r="AP121" s="14">
        <f>+AP65+AP78</f>
        <v>52631.040000000008</v>
      </c>
      <c r="AQ121" s="23"/>
      <c r="AR121" s="14">
        <f>+AR71+AR76</f>
        <v>41280.950000000004</v>
      </c>
      <c r="AS121" s="23"/>
      <c r="AT121" s="14">
        <f>+AT76+AT81</f>
        <v>74095.709999999992</v>
      </c>
      <c r="AU121" s="23"/>
      <c r="AV121" s="14">
        <f>+AV68</f>
        <v>16148.97</v>
      </c>
      <c r="AW121" s="23"/>
      <c r="AX121" s="14">
        <f>+AX60</f>
        <v>13000</v>
      </c>
      <c r="AY121" s="23"/>
      <c r="AZ121" s="14">
        <f>+AZ62+AZ75</f>
        <v>46750.68</v>
      </c>
      <c r="BA121" s="23"/>
      <c r="BB121" s="14">
        <f>+BB64+BB81</f>
        <v>68375.320000000007</v>
      </c>
      <c r="BC121" s="23"/>
      <c r="BD121" s="14">
        <f>+BD62+BD78</f>
        <v>48329.530000000006</v>
      </c>
      <c r="BE121" s="23"/>
      <c r="BF121" s="14">
        <f>+BF66+BF82</f>
        <v>57767.149999999994</v>
      </c>
      <c r="BG121" s="23"/>
      <c r="BH121" s="14">
        <f>+BH64+BH78</f>
        <v>40889.480000000003</v>
      </c>
      <c r="BI121" s="23"/>
      <c r="BJ121" s="14"/>
      <c r="BK121" s="23"/>
      <c r="BL121" s="14"/>
      <c r="BM121" s="23"/>
      <c r="BN121" s="14"/>
      <c r="BO121" s="23"/>
      <c r="BP121" s="14"/>
      <c r="BQ121" s="23"/>
      <c r="BR121" s="14"/>
      <c r="BS121" s="23"/>
      <c r="BT121" s="14"/>
      <c r="BU121" s="23"/>
      <c r="BV121" s="14"/>
      <c r="BW121" s="23"/>
      <c r="BX121" s="14"/>
      <c r="BY121" s="23"/>
      <c r="BZ121" s="14"/>
      <c r="CA121" s="23"/>
      <c r="CB121" s="14"/>
      <c r="CC121" s="23"/>
      <c r="CD121" s="14"/>
      <c r="CE121" s="23"/>
      <c r="CF121" s="14"/>
      <c r="CG121" s="23"/>
      <c r="CH121" s="14"/>
      <c r="CI121" s="23"/>
      <c r="CJ121" s="14"/>
      <c r="CK121" s="23"/>
      <c r="CL121" s="14"/>
      <c r="CM121" s="23"/>
      <c r="CN121" s="14"/>
      <c r="CO121" s="23"/>
      <c r="CP121" s="14"/>
    </row>
    <row r="122" spans="1:94" x14ac:dyDescent="0.25">
      <c r="A122" s="42" t="s">
        <v>8</v>
      </c>
      <c r="B122" s="14">
        <f>+B100+B95</f>
        <v>11259.22</v>
      </c>
      <c r="C122" s="23"/>
      <c r="D122" s="14">
        <f>+D100+D102</f>
        <v>15068.29</v>
      </c>
      <c r="E122" s="23"/>
      <c r="F122" s="14">
        <f>+F105</f>
        <v>39716.67</v>
      </c>
      <c r="G122" s="23"/>
      <c r="H122" s="14">
        <f>+H92</f>
        <v>1000</v>
      </c>
      <c r="I122" s="23"/>
      <c r="J122" s="14">
        <f>+J94+J105</f>
        <v>38584.250000000007</v>
      </c>
      <c r="K122" s="23"/>
      <c r="L122" s="14">
        <f>+L92</f>
        <v>4144.2700000000004</v>
      </c>
      <c r="M122" s="23"/>
      <c r="N122" s="14">
        <f>+N96+N101</f>
        <v>13918.06</v>
      </c>
      <c r="O122" s="23"/>
      <c r="P122" s="14">
        <f>+P94+P103</f>
        <v>9317.7800000000007</v>
      </c>
      <c r="Q122" s="23"/>
      <c r="R122" s="14">
        <f>+R95+R102</f>
        <v>26618.75</v>
      </c>
      <c r="S122" s="23"/>
      <c r="T122" s="14">
        <f>+T104</f>
        <v>28629.579999999998</v>
      </c>
      <c r="U122" s="23"/>
      <c r="V122" s="14">
        <f>+V94+V98</f>
        <v>0</v>
      </c>
      <c r="W122" s="23"/>
      <c r="X122" s="14">
        <f>+X94+X98</f>
        <v>20837.59</v>
      </c>
      <c r="Y122" s="23"/>
      <c r="Z122" s="14">
        <f>+Z95+Z101</f>
        <v>12174.470000000001</v>
      </c>
      <c r="AA122" s="23"/>
      <c r="AB122" s="14"/>
      <c r="AC122" s="23"/>
      <c r="AD122" s="14">
        <f>+AD95</f>
        <v>11225.14</v>
      </c>
      <c r="AE122" s="23"/>
      <c r="AF122" s="14">
        <f>+AF96</f>
        <v>8346.9699999999993</v>
      </c>
      <c r="AG122" s="23"/>
      <c r="AH122" s="14">
        <f>+AH96</f>
        <v>11109.01</v>
      </c>
      <c r="AI122" s="23"/>
      <c r="AJ122" s="14"/>
      <c r="AK122" s="23"/>
      <c r="AL122" s="14">
        <f>+AL95</f>
        <v>6094.03</v>
      </c>
      <c r="AM122" s="23"/>
      <c r="AN122" s="14">
        <f>+AN97</f>
        <v>27329.070000000003</v>
      </c>
      <c r="AO122" s="23"/>
      <c r="AP122" s="14">
        <f>+AP94+AP105</f>
        <v>20032</v>
      </c>
      <c r="AQ122" s="23"/>
      <c r="AR122" s="14">
        <f>+AR98+AR106</f>
        <v>50568.969999999994</v>
      </c>
      <c r="AS122" s="23"/>
      <c r="AT122" s="14">
        <f>+AT96</f>
        <v>25102.899999999998</v>
      </c>
      <c r="AU122" s="23"/>
      <c r="AV122" s="14">
        <f>+AV98</f>
        <v>31129.63</v>
      </c>
      <c r="AW122" s="23"/>
      <c r="AX122" s="14"/>
      <c r="AY122" s="23"/>
      <c r="AZ122" s="14">
        <f>+AZ92+AZ96</f>
        <v>3393.69</v>
      </c>
      <c r="BA122" s="23"/>
      <c r="BB122" s="14">
        <f>+BB92</f>
        <v>630.01</v>
      </c>
      <c r="BC122" s="23"/>
      <c r="BD122" s="14">
        <f>+BD94</f>
        <v>1196.6600000000001</v>
      </c>
      <c r="BE122" s="23"/>
      <c r="BF122" s="14"/>
      <c r="BG122" s="23"/>
      <c r="BH122" s="14">
        <f>+BH97</f>
        <v>13293.99</v>
      </c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  <c r="CO122" s="23"/>
      <c r="CP122" s="14"/>
    </row>
    <row r="123" spans="1:94" x14ac:dyDescent="0.25">
      <c r="A123" s="42" t="s">
        <v>7</v>
      </c>
      <c r="B123" s="14"/>
      <c r="C123" s="23"/>
      <c r="D123" s="14"/>
      <c r="E123" s="23"/>
      <c r="F123" s="14">
        <f>+F115</f>
        <v>7647.99</v>
      </c>
      <c r="G123" s="23"/>
      <c r="H123" s="14"/>
      <c r="I123" s="23"/>
      <c r="J123" s="14"/>
      <c r="K123" s="23"/>
      <c r="L123" s="14"/>
      <c r="M123" s="23"/>
      <c r="N123" s="14">
        <f>+N113</f>
        <v>2201.98</v>
      </c>
      <c r="O123" s="23"/>
      <c r="P123" s="14"/>
      <c r="Q123" s="23"/>
      <c r="R123" s="14"/>
      <c r="S123" s="23"/>
      <c r="T123" s="14"/>
      <c r="U123" s="23"/>
      <c r="V123" s="14">
        <f>+V113</f>
        <v>0</v>
      </c>
      <c r="W123" s="23"/>
      <c r="X123" s="14">
        <f>+X113</f>
        <v>2040</v>
      </c>
      <c r="Y123" s="23"/>
      <c r="Z123" s="14">
        <f>+Z115</f>
        <v>4242</v>
      </c>
      <c r="AA123" s="23"/>
      <c r="AB123" s="14">
        <f>+AB115</f>
        <v>4349.01</v>
      </c>
      <c r="AC123" s="23"/>
      <c r="AD123" s="14">
        <f>+AD113</f>
        <v>3327.59</v>
      </c>
      <c r="AE123" s="23"/>
      <c r="AF123" s="14"/>
      <c r="AG123" s="23"/>
      <c r="AH123" s="14"/>
      <c r="AI123" s="23"/>
      <c r="AJ123" s="14"/>
      <c r="AK123" s="23"/>
      <c r="AL123" s="14">
        <f>+AL113</f>
        <v>150</v>
      </c>
      <c r="AM123" s="23"/>
      <c r="AN123" s="14">
        <f>+AN112</f>
        <v>3528.99</v>
      </c>
      <c r="AO123" s="23"/>
      <c r="AP123" s="14"/>
      <c r="AQ123" s="23"/>
      <c r="AR123" s="14"/>
      <c r="AS123" s="23"/>
      <c r="AT123" s="14"/>
      <c r="AU123" s="23"/>
      <c r="AV123" s="14"/>
      <c r="AW123" s="23"/>
      <c r="AX123" s="14"/>
      <c r="AY123" s="23"/>
      <c r="AZ123" s="14"/>
      <c r="BA123" s="23"/>
      <c r="BB123" s="14">
        <f>+BB115</f>
        <v>11674.45</v>
      </c>
      <c r="BC123" s="23"/>
      <c r="BD123" s="14"/>
      <c r="BE123" s="23"/>
      <c r="BF123" s="14">
        <f>+BF113</f>
        <v>1099.01</v>
      </c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  <c r="CO123" s="23"/>
      <c r="CP123" s="14"/>
    </row>
    <row r="124" spans="1:94" x14ac:dyDescent="0.25">
      <c r="A124" s="44" t="s">
        <v>9</v>
      </c>
      <c r="B124" s="144">
        <f>+B121+B122+B123</f>
        <v>64291.22</v>
      </c>
      <c r="C124" s="144"/>
      <c r="D124" s="144">
        <f>+D121+D122+D123</f>
        <v>85043</v>
      </c>
      <c r="E124" s="144"/>
      <c r="F124" s="144">
        <f>+F121+F122+F123</f>
        <v>55089.229999999996</v>
      </c>
      <c r="G124" s="144"/>
      <c r="H124" s="144">
        <f>+H121+H122+H123</f>
        <v>1000</v>
      </c>
      <c r="I124" s="144"/>
      <c r="J124" s="144">
        <f>+J121+J122+J123</f>
        <v>99974.31</v>
      </c>
      <c r="K124" s="144"/>
      <c r="L124" s="144">
        <f>+L121+L122+L123</f>
        <v>23998.469999999998</v>
      </c>
      <c r="M124" s="144"/>
      <c r="N124" s="144">
        <f>+N121+N122+N123</f>
        <v>29485.03</v>
      </c>
      <c r="O124" s="144"/>
      <c r="P124" s="144">
        <f>+P121+P122+P123</f>
        <v>30694.769999999997</v>
      </c>
      <c r="Q124" s="144"/>
      <c r="R124" s="144">
        <f>+R121+R122+R123</f>
        <v>46060.53</v>
      </c>
      <c r="S124" s="144"/>
      <c r="T124" s="144">
        <f>+T121+T122+T123</f>
        <v>49905.229999999996</v>
      </c>
      <c r="U124" s="144"/>
      <c r="V124" s="144">
        <f>+V121+V122+V123</f>
        <v>40137.25</v>
      </c>
      <c r="W124" s="144"/>
      <c r="X124" s="144">
        <f>+X121+X122+X123</f>
        <v>69273.56</v>
      </c>
      <c r="Y124" s="144"/>
      <c r="Z124" s="144">
        <f>+Z121+Z122+Z123</f>
        <v>32866.69</v>
      </c>
      <c r="AA124" s="144"/>
      <c r="AB124" s="144">
        <f>+AB121+AB122+AB123</f>
        <v>29515.940000000002</v>
      </c>
      <c r="AC124" s="144"/>
      <c r="AD124" s="144">
        <f>+AD121+AD122+AD123</f>
        <v>56690.710000000006</v>
      </c>
      <c r="AE124" s="144"/>
      <c r="AF124" s="144">
        <f>+AF121+AF122+AF123</f>
        <v>43841.78</v>
      </c>
      <c r="AG124" s="144"/>
      <c r="AH124" s="144">
        <f>+AH121+AH122+AH123</f>
        <v>30517.060000000005</v>
      </c>
      <c r="AI124" s="144"/>
      <c r="AJ124" s="144"/>
      <c r="AK124" s="144"/>
      <c r="AL124" s="144">
        <f>+AL121+AL122+AL123</f>
        <v>50027.009999999995</v>
      </c>
      <c r="AM124" s="144"/>
      <c r="AN124" s="144">
        <f>+AN121+AN122+AN123</f>
        <v>86259.98000000001</v>
      </c>
      <c r="AO124" s="144"/>
      <c r="AP124" s="144">
        <f>+AP121+AP122+AP123</f>
        <v>72663.040000000008</v>
      </c>
      <c r="AQ124" s="144"/>
      <c r="AR124" s="144">
        <f>+AR121+AR122+AR123</f>
        <v>91849.919999999998</v>
      </c>
      <c r="AS124" s="144"/>
      <c r="AT124" s="144">
        <f>+AT121+AT122+AT123</f>
        <v>99198.609999999986</v>
      </c>
      <c r="AU124" s="144"/>
      <c r="AV124" s="144">
        <f>+AV121+AV122+AV123</f>
        <v>47278.6</v>
      </c>
      <c r="AW124" s="144"/>
      <c r="AX124" s="144">
        <f>+AX121+AX122+AX123</f>
        <v>13000</v>
      </c>
      <c r="AY124" s="144"/>
      <c r="AZ124" s="144">
        <f>+AZ121+AZ122+AZ123</f>
        <v>50144.37</v>
      </c>
      <c r="BA124" s="144"/>
      <c r="BB124" s="144">
        <f>+BB121+BB122+BB123</f>
        <v>80679.78</v>
      </c>
      <c r="BC124" s="144"/>
      <c r="BD124" s="144">
        <f>+BD121+BD122+BD123</f>
        <v>49526.19000000001</v>
      </c>
      <c r="BE124" s="144"/>
      <c r="BF124" s="144">
        <f>+BF121+BF122+BF123</f>
        <v>58866.159999999996</v>
      </c>
      <c r="BG124" s="144"/>
      <c r="BH124" s="144">
        <f>+BH121+BH122+BH123</f>
        <v>54183.47</v>
      </c>
      <c r="BI124" s="14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</row>
    <row r="125" spans="1:94" x14ac:dyDescent="0.25">
      <c r="A125" s="44"/>
      <c r="B125" s="144">
        <f>29338.12+7471.23+23693.88+3787</f>
        <v>64290.229999999996</v>
      </c>
      <c r="C125" s="144"/>
      <c r="D125" s="144">
        <f>14499.07+14985.36+55475.64+82.93</f>
        <v>85043</v>
      </c>
      <c r="E125" s="144"/>
      <c r="F125" s="144">
        <f>7724.57+39716.67+7647.99</f>
        <v>55089.229999999996</v>
      </c>
      <c r="G125" s="144"/>
      <c r="H125" s="144">
        <v>1000</v>
      </c>
      <c r="I125" s="144"/>
      <c r="J125" s="144">
        <f>61390.06+1633+36951.25</f>
        <v>99974.31</v>
      </c>
      <c r="K125" s="144"/>
      <c r="L125" s="144">
        <f>9954.73+9899.48+4144.27</f>
        <v>23998.48</v>
      </c>
      <c r="M125" s="144"/>
      <c r="N125" s="144">
        <f>13364.99+8297+2201.98+5621.06</f>
        <v>29485.03</v>
      </c>
      <c r="O125" s="144"/>
      <c r="P125" s="144">
        <f>11029.98+1162.53+10347.02+8155.25</f>
        <v>30694.78</v>
      </c>
      <c r="Q125" s="144"/>
      <c r="R125" s="144">
        <f>5899.99+13916.74+13541.79+12702.01</f>
        <v>46060.530000000006</v>
      </c>
      <c r="S125" s="144"/>
      <c r="T125" s="144">
        <f>21276.85+28629.58</f>
        <v>49906.43</v>
      </c>
      <c r="U125" s="144"/>
      <c r="V125" s="144">
        <v>40137.25</v>
      </c>
      <c r="W125" s="144"/>
      <c r="X125" s="144">
        <f>43186.99+14498.59+2040+3209+6340</f>
        <v>69274.58</v>
      </c>
      <c r="Y125" s="144"/>
      <c r="Z125" s="144">
        <f>5649.45+16450.22+6525.02+4242</f>
        <v>32866.69</v>
      </c>
      <c r="AA125" s="144"/>
      <c r="AB125" s="144">
        <f>3027.1+22139.84+4349</f>
        <v>29515.94</v>
      </c>
      <c r="AC125" s="144"/>
      <c r="AD125" s="144">
        <f>39514.26+11225.14+3327.59+2623.73</f>
        <v>56690.720000000008</v>
      </c>
      <c r="AE125" s="144"/>
      <c r="AF125" s="144">
        <f>8860.97+26633.84+8346.99</f>
        <v>43841.799999999996</v>
      </c>
      <c r="AG125" s="144"/>
      <c r="AH125" s="144">
        <f>19408.06+11109.01</f>
        <v>30517.07</v>
      </c>
      <c r="AI125" s="144"/>
      <c r="AJ125" s="144"/>
      <c r="AK125" s="144"/>
      <c r="AL125" s="144">
        <f>20860.51+22922.48+6094.03+150</f>
        <v>50027.02</v>
      </c>
      <c r="AM125" s="144"/>
      <c r="AN125" s="144">
        <f>52262.4+27329.07+3528.99+3139.02</f>
        <v>86259.48000000001</v>
      </c>
      <c r="AO125" s="144"/>
      <c r="AP125" s="144">
        <f>22947.36+8656.56+29683.69+11375.44</f>
        <v>72663.05</v>
      </c>
      <c r="AQ125" s="144"/>
      <c r="AR125" s="144">
        <f>18942.96+13315.99+22337.99+37252.98</f>
        <v>91849.920000000013</v>
      </c>
      <c r="AS125" s="144"/>
      <c r="AT125" s="144">
        <f>67728.13+25102.9+6367.55</f>
        <v>99198.58</v>
      </c>
      <c r="AU125" s="144"/>
      <c r="AV125" s="144">
        <f>16148.98+31129.63</f>
        <v>47278.61</v>
      </c>
      <c r="AW125" s="144"/>
      <c r="AX125" s="144">
        <v>13000</v>
      </c>
      <c r="AY125" s="144"/>
      <c r="AZ125" s="144">
        <f>1985.67+159.69+44765.12+3234</f>
        <v>50144.480000000003</v>
      </c>
      <c r="BA125" s="144"/>
      <c r="BB125" s="144">
        <f>31662.85+630.01+36712.48+11674.45</f>
        <v>80679.789999999994</v>
      </c>
      <c r="BC125" s="144"/>
      <c r="BD125" s="144">
        <f>860.51+1196.66+47469.02</f>
        <v>49526.189999999995</v>
      </c>
      <c r="BE125" s="144"/>
      <c r="BF125" s="144">
        <f>9341.64+1099.01+48425.51</f>
        <v>58866.16</v>
      </c>
      <c r="BG125" s="144"/>
      <c r="BH125" s="144">
        <f>9771.22+31118.2+13293.99</f>
        <v>54183.409999999996</v>
      </c>
      <c r="BI125" s="14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</row>
    <row r="126" spans="1:94" x14ac:dyDescent="0.25">
      <c r="A126" s="44" t="s">
        <v>3</v>
      </c>
      <c r="B126" s="145">
        <f>+B124-B125</f>
        <v>0.99000000000523869</v>
      </c>
      <c r="C126" s="145"/>
      <c r="D126" s="145">
        <f>+D124-D125</f>
        <v>0</v>
      </c>
      <c r="E126" s="145"/>
      <c r="F126" s="145">
        <f>+F124-F125</f>
        <v>0</v>
      </c>
      <c r="G126" s="145"/>
      <c r="H126" s="145">
        <f>+H124-H125</f>
        <v>0</v>
      </c>
      <c r="I126" s="145"/>
      <c r="J126" s="145">
        <f>+J124-J125</f>
        <v>0</v>
      </c>
      <c r="K126" s="145"/>
      <c r="L126" s="145">
        <f>+L124-L125</f>
        <v>-1.0000000002037268E-2</v>
      </c>
      <c r="M126" s="145"/>
      <c r="N126" s="145">
        <f>+N124-N125</f>
        <v>0</v>
      </c>
      <c r="O126" s="145"/>
      <c r="P126" s="145">
        <f>+P124-P125</f>
        <v>-1.0000000002037268E-2</v>
      </c>
      <c r="Q126" s="145"/>
      <c r="R126" s="145">
        <f>+R124-R125</f>
        <v>0</v>
      </c>
      <c r="S126" s="145"/>
      <c r="T126" s="145">
        <f>+T124-T125</f>
        <v>-1.2000000000043656</v>
      </c>
      <c r="U126" s="145"/>
      <c r="V126" s="145">
        <f>+V124-V125</f>
        <v>0</v>
      </c>
      <c r="W126" s="145"/>
      <c r="X126" s="145">
        <f>+X124-X125</f>
        <v>-1.0200000000040745</v>
      </c>
      <c r="Y126" s="145"/>
      <c r="Z126" s="145">
        <f>+Z124-Z125</f>
        <v>0</v>
      </c>
      <c r="AA126" s="145"/>
      <c r="AB126" s="145">
        <f>+AB124-AB125</f>
        <v>0</v>
      </c>
      <c r="AC126" s="145"/>
      <c r="AD126" s="145">
        <f>+AD124-AD125</f>
        <v>-1.0000000002037268E-2</v>
      </c>
      <c r="AE126" s="145"/>
      <c r="AF126" s="145">
        <f>+AF124-AF125</f>
        <v>-1.9999999996798579E-2</v>
      </c>
      <c r="AG126" s="145"/>
      <c r="AH126" s="145">
        <f>+AH124-AH125</f>
        <v>-9.9999999947613105E-3</v>
      </c>
      <c r="AI126" s="145"/>
      <c r="AJ126" s="145"/>
      <c r="AK126" s="145"/>
      <c r="AL126" s="145">
        <f>+AL124-AL125</f>
        <v>-1.0000000002037268E-2</v>
      </c>
      <c r="AM126" s="145"/>
      <c r="AN126" s="145">
        <f>+AN124-AN125</f>
        <v>0.5</v>
      </c>
      <c r="AO126" s="145"/>
      <c r="AP126" s="145">
        <f>+AP124-AP125</f>
        <v>-9.9999999947613105E-3</v>
      </c>
      <c r="AQ126" s="145"/>
      <c r="AR126" s="145">
        <f>+AR124-AR125</f>
        <v>0</v>
      </c>
      <c r="AS126" s="145"/>
      <c r="AT126" s="145">
        <f>+AT124-AT125</f>
        <v>2.9999999984283932E-2</v>
      </c>
      <c r="AU126" s="145"/>
      <c r="AV126" s="145">
        <f>+AV124-AV125</f>
        <v>-1.0000000002037268E-2</v>
      </c>
      <c r="AW126" s="145"/>
      <c r="AX126" s="145">
        <f>+AX124-AX125</f>
        <v>0</v>
      </c>
      <c r="AY126" s="145"/>
      <c r="AZ126" s="145">
        <f>+AZ124-AZ125</f>
        <v>-0.11000000000058208</v>
      </c>
      <c r="BA126" s="145"/>
      <c r="BB126" s="145">
        <f>+BB124-BB125</f>
        <v>-9.9999999947613105E-3</v>
      </c>
      <c r="BC126" s="145"/>
      <c r="BD126" s="145">
        <f>+BD124-BD125</f>
        <v>0</v>
      </c>
      <c r="BE126" s="145"/>
      <c r="BF126" s="145">
        <f>+BF124-BF125</f>
        <v>0</v>
      </c>
      <c r="BG126" s="145"/>
      <c r="BH126" s="145">
        <f>+BH124-BH125</f>
        <v>6.0000000004947651E-2</v>
      </c>
      <c r="BI126" s="145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70"/>
      <c r="CG126" s="70"/>
      <c r="CH126" s="70"/>
      <c r="CI126" s="70"/>
      <c r="CJ126" s="70"/>
      <c r="CK126" s="70"/>
      <c r="CL126" s="70"/>
      <c r="CM126" s="70"/>
      <c r="CN126" s="70"/>
      <c r="CO126" s="70"/>
      <c r="CP126" s="70"/>
    </row>
    <row r="127" spans="1:94" x14ac:dyDescent="0.25">
      <c r="A127" s="48"/>
      <c r="B127" s="18"/>
      <c r="C127" s="59"/>
      <c r="D127" s="18"/>
      <c r="E127" s="59"/>
      <c r="F127" s="18"/>
      <c r="G127" s="59"/>
      <c r="H127" s="18"/>
      <c r="I127" s="59"/>
      <c r="J127" s="18"/>
      <c r="K127" s="59"/>
      <c r="L127" s="145"/>
      <c r="M127" s="59"/>
      <c r="N127" s="18"/>
      <c r="O127" s="59"/>
      <c r="P127" s="18"/>
      <c r="Q127" s="59"/>
      <c r="R127" s="18"/>
      <c r="S127" s="59"/>
      <c r="T127" s="18"/>
      <c r="U127" s="59"/>
      <c r="V127" s="18"/>
      <c r="W127" s="59"/>
      <c r="X127" s="18"/>
      <c r="Y127" s="59"/>
      <c r="Z127" s="18"/>
      <c r="AA127" s="59"/>
      <c r="AB127" s="18"/>
      <c r="AC127" s="59"/>
      <c r="AD127" s="18"/>
      <c r="AE127" s="59"/>
      <c r="AF127" s="18"/>
      <c r="AG127" s="59"/>
      <c r="AH127" s="18"/>
      <c r="AI127" s="59"/>
      <c r="AJ127" s="18"/>
      <c r="AK127" s="59"/>
      <c r="AL127" s="18"/>
      <c r="AM127" s="59"/>
      <c r="AN127" s="18"/>
      <c r="AO127" s="59"/>
      <c r="AP127" s="18"/>
      <c r="AQ127" s="59"/>
      <c r="AR127" s="18"/>
      <c r="AS127" s="59"/>
      <c r="AT127" s="18"/>
      <c r="AU127" s="59"/>
      <c r="AV127" s="18"/>
      <c r="AW127" s="59"/>
      <c r="AX127" s="18"/>
      <c r="AY127" s="59"/>
      <c r="AZ127" s="18"/>
      <c r="BA127" s="59"/>
      <c r="BB127" s="18"/>
      <c r="BC127" s="59"/>
      <c r="BD127" s="18"/>
      <c r="BE127" s="59"/>
      <c r="BF127" s="18"/>
      <c r="BG127" s="59"/>
      <c r="BH127" s="18"/>
      <c r="BI127" s="59"/>
      <c r="BJ127" s="75"/>
      <c r="BK127" s="25"/>
      <c r="BL127" s="75"/>
      <c r="BM127" s="25"/>
      <c r="BN127" s="75"/>
      <c r="BO127" s="25"/>
      <c r="BP127" s="75"/>
      <c r="BQ127" s="25"/>
      <c r="BR127" s="75"/>
      <c r="BS127" s="25"/>
      <c r="BT127" s="75"/>
      <c r="BU127" s="25"/>
      <c r="BV127" s="75"/>
      <c r="BW127" s="25"/>
      <c r="BX127" s="75"/>
      <c r="BY127" s="25"/>
      <c r="BZ127" s="75"/>
      <c r="CA127" s="25"/>
      <c r="CB127" s="75"/>
      <c r="CC127" s="25"/>
      <c r="CD127" s="75"/>
      <c r="CE127" s="25"/>
      <c r="CF127" s="76"/>
      <c r="CG127" s="234"/>
      <c r="CH127" s="76"/>
      <c r="CI127" s="234"/>
      <c r="CJ127" s="76"/>
      <c r="CK127" s="234"/>
      <c r="CL127" s="76"/>
      <c r="CM127" s="234"/>
      <c r="CN127" s="76"/>
      <c r="CO127" s="234"/>
      <c r="CP127" s="76"/>
    </row>
    <row r="128" spans="1:94" x14ac:dyDescent="0.25">
      <c r="A128" s="48"/>
      <c r="B128" s="163"/>
      <c r="C128" s="59"/>
      <c r="D128" s="163"/>
      <c r="E128" s="59"/>
      <c r="F128" s="163"/>
      <c r="G128" s="59"/>
      <c r="H128" s="163"/>
      <c r="I128" s="59"/>
      <c r="J128" s="163"/>
      <c r="K128" s="25"/>
      <c r="L128" s="163"/>
      <c r="M128" s="59"/>
      <c r="N128" s="163"/>
      <c r="O128" s="59"/>
      <c r="P128" s="163"/>
      <c r="Q128" s="59"/>
      <c r="R128" s="163"/>
      <c r="S128" s="59"/>
      <c r="T128" s="163"/>
      <c r="U128" s="59"/>
      <c r="V128" s="163"/>
      <c r="W128" s="59"/>
      <c r="X128" s="163"/>
      <c r="Y128" s="59"/>
      <c r="Z128" s="163"/>
      <c r="AA128" s="59"/>
      <c r="AB128" s="163"/>
      <c r="AC128" s="59"/>
      <c r="AD128" s="163"/>
      <c r="AE128" s="59"/>
      <c r="AF128" s="163"/>
      <c r="AG128" s="59"/>
      <c r="AH128" s="163"/>
      <c r="AI128" s="59"/>
      <c r="AJ128" s="163"/>
      <c r="AK128" s="59"/>
      <c r="AL128" s="163"/>
      <c r="AM128" s="59"/>
      <c r="AN128" s="163"/>
      <c r="AO128" s="59"/>
      <c r="AP128" s="163"/>
      <c r="AQ128" s="59"/>
      <c r="AR128" s="163"/>
      <c r="AS128" s="59"/>
      <c r="AT128" s="163"/>
      <c r="AU128" s="59"/>
      <c r="AV128" s="163"/>
      <c r="AW128" s="59"/>
      <c r="AX128" s="163"/>
      <c r="AY128" s="59"/>
      <c r="AZ128" s="163"/>
      <c r="BA128" s="59"/>
      <c r="BB128" s="163"/>
      <c r="BC128" s="59"/>
      <c r="BD128" s="163"/>
      <c r="BE128" s="59"/>
      <c r="BF128" s="163"/>
      <c r="BG128" s="59"/>
      <c r="BH128" s="163"/>
      <c r="BI128" s="59"/>
      <c r="BJ128" s="235"/>
      <c r="BK128" s="25"/>
      <c r="BL128" s="75"/>
      <c r="BM128" s="25"/>
      <c r="BN128" s="75"/>
      <c r="BO128" s="25"/>
      <c r="BP128" s="75"/>
      <c r="BQ128" s="25"/>
      <c r="BR128" s="75"/>
      <c r="BS128" s="25"/>
      <c r="BT128" s="75"/>
      <c r="BU128" s="25"/>
      <c r="BV128" s="75"/>
      <c r="BW128" s="25"/>
      <c r="BX128" s="75"/>
      <c r="BY128" s="25"/>
      <c r="BZ128" s="75"/>
      <c r="CA128" s="25"/>
      <c r="CB128" s="75"/>
      <c r="CC128" s="25"/>
      <c r="CD128" s="75"/>
      <c r="CE128" s="25"/>
      <c r="CF128" s="76"/>
      <c r="CG128" s="234"/>
      <c r="CH128" s="76"/>
      <c r="CI128" s="234"/>
      <c r="CJ128" s="76"/>
      <c r="CK128" s="234"/>
      <c r="CL128" s="76"/>
      <c r="CM128" s="234"/>
      <c r="CN128" s="76"/>
      <c r="CO128" s="234"/>
      <c r="CP128" s="76"/>
    </row>
    <row r="129" spans="1:94" x14ac:dyDescent="0.25">
      <c r="A129" s="37" t="s">
        <v>10</v>
      </c>
      <c r="B129" s="164">
        <v>42887</v>
      </c>
      <c r="C129" s="118"/>
      <c r="D129" s="164">
        <v>42888</v>
      </c>
      <c r="E129" s="118"/>
      <c r="F129" s="164">
        <v>42889</v>
      </c>
      <c r="G129" s="118"/>
      <c r="H129" s="164">
        <v>42890</v>
      </c>
      <c r="I129" s="118"/>
      <c r="J129" s="164">
        <v>42891</v>
      </c>
      <c r="K129" s="119"/>
      <c r="L129" s="164">
        <v>42892</v>
      </c>
      <c r="M129" s="118"/>
      <c r="N129" s="164">
        <v>42893</v>
      </c>
      <c r="O129" s="118"/>
      <c r="P129" s="164">
        <v>42894</v>
      </c>
      <c r="Q129" s="118"/>
      <c r="R129" s="164">
        <v>42895</v>
      </c>
      <c r="S129" s="118"/>
      <c r="T129" s="22">
        <v>42896</v>
      </c>
      <c r="U129" s="118"/>
      <c r="V129" s="22">
        <v>42897</v>
      </c>
      <c r="W129" s="118"/>
      <c r="X129" s="22">
        <v>42898</v>
      </c>
      <c r="Y129" s="118"/>
      <c r="Z129" s="164">
        <v>42899</v>
      </c>
      <c r="AA129" s="118"/>
      <c r="AB129" s="175">
        <v>42900</v>
      </c>
      <c r="AC129" s="118"/>
      <c r="AD129" s="164">
        <v>42901</v>
      </c>
      <c r="AE129" s="118"/>
      <c r="AF129" s="164">
        <v>42902</v>
      </c>
      <c r="AG129" s="118"/>
      <c r="AH129" s="164">
        <v>42903</v>
      </c>
      <c r="AI129" s="119"/>
      <c r="AJ129" s="164">
        <v>42904</v>
      </c>
      <c r="AK129" s="118"/>
      <c r="AL129" s="164">
        <v>42905</v>
      </c>
      <c r="AM129" s="118"/>
      <c r="AN129" s="164">
        <v>42906</v>
      </c>
      <c r="AO129" s="118"/>
      <c r="AP129" s="164">
        <v>42907</v>
      </c>
      <c r="AQ129" s="118"/>
      <c r="AR129" s="164">
        <v>42908</v>
      </c>
      <c r="AS129" s="118"/>
      <c r="AT129" s="164">
        <v>42909</v>
      </c>
      <c r="AU129" s="119"/>
      <c r="AV129" s="164">
        <v>42910</v>
      </c>
      <c r="AW129" s="118"/>
      <c r="AX129" s="164">
        <v>42911</v>
      </c>
      <c r="AY129" s="118"/>
      <c r="AZ129" s="164">
        <v>42912</v>
      </c>
      <c r="BA129" s="118"/>
      <c r="BB129" s="164">
        <v>42913</v>
      </c>
      <c r="BC129" s="118"/>
      <c r="BD129" s="164">
        <v>42914</v>
      </c>
      <c r="BE129" s="118"/>
      <c r="BF129" s="164">
        <v>42915</v>
      </c>
      <c r="BG129" s="118"/>
      <c r="BH129" s="164">
        <v>42916</v>
      </c>
      <c r="BI129" s="118"/>
      <c r="BJ129" s="119"/>
      <c r="BK129" s="119"/>
      <c r="BL129" s="119"/>
      <c r="BM129" s="119"/>
      <c r="BN129" s="119"/>
      <c r="BO129" s="119"/>
      <c r="BP129" s="119"/>
      <c r="BQ129" s="119"/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19"/>
      <c r="CB129" s="119"/>
      <c r="CC129" s="119"/>
      <c r="CD129" s="119"/>
      <c r="CE129" s="119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</row>
    <row r="130" spans="1:94" x14ac:dyDescent="0.25">
      <c r="A130" s="40"/>
      <c r="B130" s="22"/>
      <c r="C130" s="22"/>
      <c r="D130" s="22"/>
      <c r="E130" s="22"/>
      <c r="F130" s="22"/>
      <c r="G130" s="22"/>
      <c r="H130" s="22"/>
      <c r="I130" s="22"/>
      <c r="J130" s="22"/>
      <c r="K130" s="20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9"/>
      <c r="W130" s="120"/>
      <c r="X130" s="9"/>
      <c r="Y130" s="120"/>
      <c r="Z130" s="22"/>
      <c r="AA130" s="22"/>
      <c r="AB130" s="22"/>
      <c r="AC130" s="22"/>
      <c r="AD130" s="22"/>
      <c r="AE130" s="22"/>
      <c r="AF130" s="22"/>
      <c r="AG130" s="22"/>
      <c r="AH130" s="22"/>
      <c r="AI130" s="20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0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</row>
    <row r="131" spans="1:94" x14ac:dyDescent="0.25">
      <c r="A131" s="45"/>
      <c r="B131" s="29">
        <v>1165</v>
      </c>
      <c r="C131" s="24" t="s">
        <v>6514</v>
      </c>
      <c r="D131" s="29">
        <v>75545.48</v>
      </c>
      <c r="E131" s="24" t="s">
        <v>6561</v>
      </c>
      <c r="F131" s="29">
        <v>24144.58</v>
      </c>
      <c r="G131" s="24" t="s">
        <v>6598</v>
      </c>
      <c r="H131" s="29"/>
      <c r="I131" s="24"/>
      <c r="J131" s="29">
        <v>218000</v>
      </c>
      <c r="K131" s="171" t="s">
        <v>6647</v>
      </c>
      <c r="L131" s="29">
        <v>40723.040000000001</v>
      </c>
      <c r="M131" s="24" t="s">
        <v>6693</v>
      </c>
      <c r="N131" s="29">
        <v>12500</v>
      </c>
      <c r="O131" s="24" t="s">
        <v>6740</v>
      </c>
      <c r="P131" s="29">
        <v>15331</v>
      </c>
      <c r="Q131" s="24" t="s">
        <v>6789</v>
      </c>
      <c r="R131" s="29">
        <v>1169</v>
      </c>
      <c r="S131" s="24" t="s">
        <v>6847</v>
      </c>
      <c r="T131" s="29">
        <v>70000</v>
      </c>
      <c r="U131" s="24" t="s">
        <v>6897</v>
      </c>
      <c r="V131" s="29"/>
      <c r="W131" s="15"/>
      <c r="X131" s="29">
        <v>80000</v>
      </c>
      <c r="Y131" s="15" t="s">
        <v>6937</v>
      </c>
      <c r="Z131" s="29">
        <v>86591.85</v>
      </c>
      <c r="AA131" s="24" t="s">
        <v>6981</v>
      </c>
      <c r="AB131" s="94">
        <v>8371</v>
      </c>
      <c r="AC131" s="24" t="s">
        <v>6996</v>
      </c>
      <c r="AD131" s="29">
        <v>20000</v>
      </c>
      <c r="AE131" s="85" t="s">
        <v>7080</v>
      </c>
      <c r="AF131" s="29">
        <v>198500</v>
      </c>
      <c r="AG131" s="85" t="s">
        <v>7134</v>
      </c>
      <c r="AH131" s="29">
        <f>238000+92400</f>
        <v>330400</v>
      </c>
      <c r="AI131" s="180" t="s">
        <v>7180</v>
      </c>
      <c r="AJ131" s="29"/>
      <c r="AK131" s="85"/>
      <c r="AL131" s="29">
        <v>1099</v>
      </c>
      <c r="AM131" s="24" t="s">
        <v>7218</v>
      </c>
      <c r="AN131" s="29">
        <v>9321.67</v>
      </c>
      <c r="AO131" s="24" t="s">
        <v>7230</v>
      </c>
      <c r="AP131" s="29">
        <v>40000</v>
      </c>
      <c r="AQ131" s="184" t="s">
        <v>7303</v>
      </c>
      <c r="AR131" s="29">
        <v>18869.330000000002</v>
      </c>
      <c r="AS131" s="215" t="s">
        <v>7379</v>
      </c>
      <c r="AT131" s="104">
        <v>235300</v>
      </c>
      <c r="AU131" s="24" t="s">
        <v>7428</v>
      </c>
      <c r="AV131" s="29">
        <v>69080</v>
      </c>
      <c r="AW131" s="24" t="s">
        <v>7508</v>
      </c>
      <c r="AX131" s="29"/>
      <c r="AY131" s="24"/>
      <c r="AZ131" s="29">
        <v>2221.42</v>
      </c>
      <c r="BA131" s="24" t="s">
        <v>7548</v>
      </c>
      <c r="BB131" s="29">
        <v>10500</v>
      </c>
      <c r="BC131" s="24" t="s">
        <v>7600</v>
      </c>
      <c r="BD131" s="29">
        <v>10000</v>
      </c>
      <c r="BE131" s="166" t="s">
        <v>7663</v>
      </c>
      <c r="BF131" s="29">
        <v>341600</v>
      </c>
      <c r="BG131" s="24" t="s">
        <v>7726</v>
      </c>
      <c r="BH131" s="96">
        <v>1969.99</v>
      </c>
      <c r="BI131" s="15" t="s">
        <v>7782</v>
      </c>
      <c r="BJ131" s="72"/>
      <c r="BK131" s="24"/>
      <c r="BL131" s="72"/>
      <c r="BM131" s="24"/>
      <c r="BN131" s="72"/>
      <c r="BO131" s="24"/>
      <c r="BP131" s="72"/>
      <c r="BQ131" s="24"/>
      <c r="BR131" s="72"/>
      <c r="BS131" s="24"/>
      <c r="BT131" s="72"/>
      <c r="BU131" s="24"/>
      <c r="BV131" s="72"/>
      <c r="BW131" s="24"/>
      <c r="BX131" s="72"/>
      <c r="BY131" s="24"/>
      <c r="BZ131" s="72"/>
      <c r="CA131" s="24"/>
      <c r="CB131" s="72"/>
      <c r="CC131" s="24"/>
      <c r="CD131" s="72"/>
      <c r="CE131" s="24"/>
      <c r="CF131" s="72"/>
      <c r="CG131" s="24"/>
      <c r="CH131" s="72"/>
      <c r="CI131" s="24"/>
      <c r="CJ131" s="72"/>
      <c r="CK131" s="24"/>
      <c r="CL131" s="72"/>
      <c r="CM131" s="24"/>
      <c r="CN131" s="72"/>
      <c r="CO131" s="24"/>
      <c r="CP131" s="72"/>
    </row>
    <row r="132" spans="1:94" x14ac:dyDescent="0.25">
      <c r="A132" s="45"/>
      <c r="B132" s="29">
        <v>4395</v>
      </c>
      <c r="C132" s="24" t="s">
        <v>6515</v>
      </c>
      <c r="D132" s="29">
        <v>1970</v>
      </c>
      <c r="E132" s="24" t="s">
        <v>6572</v>
      </c>
      <c r="F132" s="29">
        <v>11076.12</v>
      </c>
      <c r="G132" s="24" t="s">
        <v>6599</v>
      </c>
      <c r="H132" s="29"/>
      <c r="I132" s="24"/>
      <c r="J132" s="29">
        <v>35000</v>
      </c>
      <c r="K132" s="171" t="s">
        <v>6651</v>
      </c>
      <c r="L132" s="29">
        <v>50482</v>
      </c>
      <c r="M132" s="24" t="s">
        <v>6694</v>
      </c>
      <c r="N132" s="29">
        <v>10000</v>
      </c>
      <c r="O132" s="24" t="s">
        <v>6741</v>
      </c>
      <c r="P132" s="29">
        <v>72200</v>
      </c>
      <c r="Q132" s="24" t="s">
        <v>6792</v>
      </c>
      <c r="R132" s="29"/>
      <c r="S132" s="24"/>
      <c r="T132" s="29">
        <v>1099</v>
      </c>
      <c r="U132" s="24" t="s">
        <v>6900</v>
      </c>
      <c r="V132" s="29"/>
      <c r="W132" s="24"/>
      <c r="X132" s="29">
        <v>5000</v>
      </c>
      <c r="Y132" s="24" t="s">
        <v>6938</v>
      </c>
      <c r="Z132" s="29">
        <v>205000</v>
      </c>
      <c r="AA132" s="24" t="s">
        <v>6983</v>
      </c>
      <c r="AB132" s="29"/>
      <c r="AC132" s="24"/>
      <c r="AD132" s="29">
        <v>4465</v>
      </c>
      <c r="AE132" s="85" t="s">
        <v>7086</v>
      </c>
      <c r="AF132" s="29">
        <v>1169</v>
      </c>
      <c r="AG132" s="85" t="s">
        <v>7141</v>
      </c>
      <c r="AH132" s="29">
        <v>1099</v>
      </c>
      <c r="AI132" s="180" t="s">
        <v>7197</v>
      </c>
      <c r="AJ132" s="29"/>
      <c r="AK132" s="85"/>
      <c r="AL132" s="29"/>
      <c r="AM132" s="24"/>
      <c r="AN132" s="29">
        <v>20000</v>
      </c>
      <c r="AO132" s="24" t="s">
        <v>7236</v>
      </c>
      <c r="AP132" s="29">
        <v>8330.5</v>
      </c>
      <c r="AQ132" s="184" t="s">
        <v>7306</v>
      </c>
      <c r="AR132" s="29">
        <v>1500</v>
      </c>
      <c r="AS132" s="215" t="s">
        <v>7380</v>
      </c>
      <c r="AT132" s="104">
        <v>123000</v>
      </c>
      <c r="AU132" s="24" t="s">
        <v>7429</v>
      </c>
      <c r="AV132" s="29">
        <v>4000</v>
      </c>
      <c r="AW132" s="24" t="s">
        <v>7516</v>
      </c>
      <c r="AX132" s="29"/>
      <c r="AY132" s="24"/>
      <c r="AZ132" s="29"/>
      <c r="BA132" s="24"/>
      <c r="BB132" s="96">
        <v>2975.5</v>
      </c>
      <c r="BC132" s="15" t="s">
        <v>7607</v>
      </c>
      <c r="BD132" s="29">
        <v>378500</v>
      </c>
      <c r="BE132" s="166" t="s">
        <v>7666</v>
      </c>
      <c r="BF132" s="29">
        <v>109117.72</v>
      </c>
      <c r="BG132" s="24" t="s">
        <v>7729</v>
      </c>
      <c r="BH132" s="96">
        <v>14369.24</v>
      </c>
      <c r="BI132" s="26" t="s">
        <v>7785</v>
      </c>
      <c r="BJ132" s="72"/>
      <c r="BK132" s="24"/>
      <c r="BL132" s="72"/>
      <c r="BM132" s="24"/>
      <c r="BN132" s="72"/>
      <c r="BO132" s="24"/>
      <c r="BP132" s="72"/>
      <c r="BQ132" s="24"/>
      <c r="BR132" s="72"/>
      <c r="BS132" s="24"/>
      <c r="BT132" s="72"/>
      <c r="BU132" s="24"/>
      <c r="BV132" s="72"/>
      <c r="BW132" s="24"/>
      <c r="BX132" s="72"/>
      <c r="BY132" s="24"/>
      <c r="BZ132" s="72"/>
      <c r="CA132" s="24"/>
      <c r="CB132" s="72"/>
      <c r="CC132" s="24"/>
      <c r="CD132" s="72"/>
      <c r="CE132" s="24"/>
      <c r="CF132" s="72"/>
      <c r="CG132" s="24"/>
      <c r="CH132" s="72"/>
      <c r="CI132" s="24"/>
      <c r="CJ132" s="72"/>
      <c r="CK132" s="24"/>
      <c r="CL132" s="72"/>
      <c r="CM132" s="24"/>
      <c r="CN132" s="72"/>
      <c r="CO132" s="24"/>
      <c r="CP132" s="72"/>
    </row>
    <row r="133" spans="1:94" x14ac:dyDescent="0.25">
      <c r="A133" s="45"/>
      <c r="B133" s="29">
        <v>983.18</v>
      </c>
      <c r="C133" s="24" t="s">
        <v>6524</v>
      </c>
      <c r="D133" s="96">
        <v>1970</v>
      </c>
      <c r="E133" s="15" t="s">
        <v>6573</v>
      </c>
      <c r="F133" s="122">
        <v>17606.79</v>
      </c>
      <c r="G133" s="24" t="s">
        <v>6600</v>
      </c>
      <c r="H133" s="29"/>
      <c r="I133" s="24"/>
      <c r="J133" s="29">
        <v>1169</v>
      </c>
      <c r="K133" s="171" t="s">
        <v>6652</v>
      </c>
      <c r="L133" s="29">
        <v>178918.71</v>
      </c>
      <c r="M133" s="24" t="s">
        <v>6695</v>
      </c>
      <c r="N133" s="29">
        <v>10000</v>
      </c>
      <c r="O133" s="24" t="s">
        <v>6742</v>
      </c>
      <c r="P133" s="29">
        <v>1169</v>
      </c>
      <c r="Q133" s="24" t="s">
        <v>6798</v>
      </c>
      <c r="R133" s="29">
        <v>213000</v>
      </c>
      <c r="S133" s="166" t="s">
        <v>6851</v>
      </c>
      <c r="T133" s="29">
        <v>4395</v>
      </c>
      <c r="U133" s="24" t="s">
        <v>6924</v>
      </c>
      <c r="V133" s="94"/>
      <c r="W133" s="24"/>
      <c r="X133" s="97">
        <f>+X131+X132</f>
        <v>85000</v>
      </c>
      <c r="Y133" s="24"/>
      <c r="Z133" s="29">
        <v>50000</v>
      </c>
      <c r="AA133" s="24" t="s">
        <v>6984</v>
      </c>
      <c r="AB133" s="29">
        <v>150000</v>
      </c>
      <c r="AC133" s="24" t="s">
        <v>7046</v>
      </c>
      <c r="AD133" s="97">
        <f>+AD131+AD132</f>
        <v>24465</v>
      </c>
      <c r="AE133" s="85"/>
      <c r="AF133" s="97">
        <f>+AF131+AF132</f>
        <v>199669</v>
      </c>
      <c r="AG133" s="85"/>
      <c r="AH133" s="29">
        <v>1563</v>
      </c>
      <c r="AI133" s="180" t="s">
        <v>7203</v>
      </c>
      <c r="AJ133" s="29"/>
      <c r="AK133" s="85"/>
      <c r="AL133" s="29">
        <v>5000</v>
      </c>
      <c r="AM133" s="24" t="s">
        <v>7264</v>
      </c>
      <c r="AN133" s="29">
        <v>1169</v>
      </c>
      <c r="AO133" s="24" t="s">
        <v>7238</v>
      </c>
      <c r="AP133" s="29">
        <v>135000</v>
      </c>
      <c r="AQ133" s="184" t="s">
        <v>7307</v>
      </c>
      <c r="AR133" s="29">
        <v>736300</v>
      </c>
      <c r="AS133" s="215" t="s">
        <v>7380</v>
      </c>
      <c r="AT133" s="29">
        <v>81182.740000000005</v>
      </c>
      <c r="AU133" s="24" t="s">
        <v>7431</v>
      </c>
      <c r="AV133" s="29">
        <v>1970</v>
      </c>
      <c r="AW133" s="24" t="s">
        <v>7526</v>
      </c>
      <c r="AX133" s="29"/>
      <c r="AY133" s="24"/>
      <c r="AZ133" s="29">
        <v>67949.460000000006</v>
      </c>
      <c r="BA133" s="24" t="s">
        <v>7555</v>
      </c>
      <c r="BB133" s="97">
        <f>+BB131+BB132</f>
        <v>13475.5</v>
      </c>
      <c r="BC133" s="24"/>
      <c r="BD133" s="94">
        <v>3000</v>
      </c>
      <c r="BE133" s="166" t="s">
        <v>7669</v>
      </c>
      <c r="BF133" s="29">
        <v>2065</v>
      </c>
      <c r="BG133" s="24" t="s">
        <v>7731</v>
      </c>
      <c r="BH133" s="122">
        <v>22690.880000000001</v>
      </c>
      <c r="BI133" s="24" t="s">
        <v>7786</v>
      </c>
      <c r="BJ133" s="72"/>
      <c r="BK133" s="24"/>
      <c r="BL133" s="72"/>
      <c r="BM133" s="24"/>
      <c r="BN133" s="72"/>
      <c r="BO133" s="24"/>
      <c r="BP133" s="72"/>
      <c r="BQ133" s="24"/>
      <c r="BR133" s="72"/>
      <c r="BS133" s="24"/>
      <c r="BT133" s="72"/>
      <c r="BU133" s="24"/>
      <c r="BV133" s="72"/>
      <c r="BW133" s="24"/>
      <c r="BX133" s="72"/>
      <c r="BY133" s="24"/>
      <c r="BZ133" s="72"/>
      <c r="CA133" s="24"/>
      <c r="CB133" s="72"/>
      <c r="CC133" s="24"/>
      <c r="CD133" s="72"/>
      <c r="CE133" s="24"/>
      <c r="CF133" s="72"/>
      <c r="CG133" s="24"/>
      <c r="CH133" s="72"/>
      <c r="CI133" s="24"/>
      <c r="CJ133" s="72"/>
      <c r="CK133" s="24"/>
      <c r="CL133" s="72"/>
      <c r="CM133" s="24"/>
      <c r="CN133" s="72"/>
      <c r="CO133" s="24"/>
      <c r="CP133" s="72"/>
    </row>
    <row r="134" spans="1:94" x14ac:dyDescent="0.25">
      <c r="A134" s="45"/>
      <c r="B134" s="97">
        <f>+SUM(B131:B133)</f>
        <v>6543.18</v>
      </c>
      <c r="C134" s="24"/>
      <c r="D134" s="97">
        <f>+SUM(D131:D133)</f>
        <v>79485.48</v>
      </c>
      <c r="E134" s="24"/>
      <c r="F134" s="122">
        <v>5500</v>
      </c>
      <c r="G134" s="24" t="s">
        <v>6605</v>
      </c>
      <c r="H134" s="29"/>
      <c r="I134" s="24"/>
      <c r="J134" s="29">
        <v>3169</v>
      </c>
      <c r="K134" s="171" t="s">
        <v>6656</v>
      </c>
      <c r="L134" s="29">
        <v>49569.54</v>
      </c>
      <c r="M134" s="24" t="s">
        <v>6696</v>
      </c>
      <c r="N134" s="29">
        <v>122632.06</v>
      </c>
      <c r="O134" s="24" t="s">
        <v>6743</v>
      </c>
      <c r="P134" s="29">
        <v>3611.21</v>
      </c>
      <c r="Q134" s="24" t="s">
        <v>6803</v>
      </c>
      <c r="R134" s="29">
        <v>280192.15000000002</v>
      </c>
      <c r="S134" s="166" t="s">
        <v>6852</v>
      </c>
      <c r="T134" s="29">
        <v>1099</v>
      </c>
      <c r="U134" s="24" t="s">
        <v>6925</v>
      </c>
      <c r="V134" s="29"/>
      <c r="W134" s="24"/>
      <c r="X134" s="29"/>
      <c r="Y134" s="24"/>
      <c r="Z134" s="29">
        <v>34908.46</v>
      </c>
      <c r="AA134" s="24" t="s">
        <v>6985</v>
      </c>
      <c r="AB134" s="29">
        <v>285120</v>
      </c>
      <c r="AC134" s="24" t="s">
        <v>7047</v>
      </c>
      <c r="AD134" s="29"/>
      <c r="AE134" s="15"/>
      <c r="AF134" s="94"/>
      <c r="AG134" s="85"/>
      <c r="AH134" s="29">
        <v>3238.82</v>
      </c>
      <c r="AI134" s="180" t="s">
        <v>7210</v>
      </c>
      <c r="AJ134" s="29"/>
      <c r="AK134" s="85"/>
      <c r="AL134" s="29">
        <v>2434</v>
      </c>
      <c r="AM134" s="24" t="s">
        <v>7266</v>
      </c>
      <c r="AN134" s="29">
        <v>1169</v>
      </c>
      <c r="AO134" s="24" t="s">
        <v>7239</v>
      </c>
      <c r="AP134" s="29">
        <v>125194.49</v>
      </c>
      <c r="AQ134" s="184" t="s">
        <v>7309</v>
      </c>
      <c r="AR134" s="30">
        <v>361600</v>
      </c>
      <c r="AS134" s="217" t="s">
        <v>7381</v>
      </c>
      <c r="AT134" s="94">
        <v>60526.87</v>
      </c>
      <c r="AU134" s="24" t="s">
        <v>7433</v>
      </c>
      <c r="AV134" s="96">
        <v>2430</v>
      </c>
      <c r="AW134" s="15" t="s">
        <v>7527</v>
      </c>
      <c r="AX134" s="29"/>
      <c r="AY134" s="24"/>
      <c r="AZ134" s="29">
        <v>47600</v>
      </c>
      <c r="BA134" s="24" t="s">
        <v>7556</v>
      </c>
      <c r="BB134" s="30"/>
      <c r="BC134" s="24"/>
      <c r="BD134" s="29">
        <v>168521.61</v>
      </c>
      <c r="BE134" s="166" t="s">
        <v>7670</v>
      </c>
      <c r="BF134" s="29">
        <v>4233.99</v>
      </c>
      <c r="BG134" s="24" t="s">
        <v>7732</v>
      </c>
      <c r="BH134" s="122">
        <v>10848.89</v>
      </c>
      <c r="BI134" s="24" t="s">
        <v>7787</v>
      </c>
      <c r="BJ134" s="24"/>
      <c r="BK134" s="24"/>
      <c r="BL134" s="72"/>
      <c r="BM134" s="24"/>
      <c r="BN134" s="72"/>
      <c r="BO134" s="24"/>
      <c r="BP134" s="72"/>
      <c r="BQ134" s="24"/>
      <c r="BR134" s="72"/>
      <c r="BS134" s="24"/>
      <c r="BT134" s="72"/>
      <c r="BU134" s="24"/>
      <c r="BV134" s="72"/>
      <c r="BW134" s="24"/>
      <c r="BX134" s="72"/>
      <c r="BY134" s="24"/>
      <c r="BZ134" s="72"/>
      <c r="CA134" s="24"/>
      <c r="CB134" s="72"/>
      <c r="CC134" s="24"/>
      <c r="CD134" s="72"/>
      <c r="CE134" s="24"/>
      <c r="CF134" s="72"/>
      <c r="CG134" s="24"/>
      <c r="CH134" s="72"/>
      <c r="CI134" s="24"/>
      <c r="CJ134" s="72"/>
      <c r="CK134" s="24"/>
      <c r="CL134" s="72"/>
      <c r="CM134" s="24"/>
      <c r="CN134" s="72"/>
      <c r="CO134" s="24"/>
      <c r="CP134" s="72"/>
    </row>
    <row r="135" spans="1:94" x14ac:dyDescent="0.25">
      <c r="A135" s="45"/>
      <c r="B135" s="29"/>
      <c r="C135" s="24"/>
      <c r="D135" s="29"/>
      <c r="E135" s="24"/>
      <c r="F135" s="122">
        <v>111600</v>
      </c>
      <c r="G135" s="24" t="s">
        <v>6606</v>
      </c>
      <c r="H135" s="96"/>
      <c r="I135" s="26"/>
      <c r="J135" s="29">
        <v>2903</v>
      </c>
      <c r="K135" s="171" t="s">
        <v>6657</v>
      </c>
      <c r="L135" s="97">
        <f>+SUM(L131:L134)</f>
        <v>319693.28999999998</v>
      </c>
      <c r="M135" s="24"/>
      <c r="N135" s="29">
        <v>10000</v>
      </c>
      <c r="O135" s="24" t="s">
        <v>6744</v>
      </c>
      <c r="P135" s="29">
        <v>2754</v>
      </c>
      <c r="Q135" s="24" t="s">
        <v>6805</v>
      </c>
      <c r="R135" s="29">
        <v>200000</v>
      </c>
      <c r="S135" s="166" t="s">
        <v>6853</v>
      </c>
      <c r="T135" s="29">
        <v>1169</v>
      </c>
      <c r="U135" s="24" t="s">
        <v>6926</v>
      </c>
      <c r="V135" s="29"/>
      <c r="W135" s="24"/>
      <c r="X135" s="29">
        <v>170000</v>
      </c>
      <c r="Y135" s="24" t="s">
        <v>6950</v>
      </c>
      <c r="Z135" s="29">
        <v>12958.6</v>
      </c>
      <c r="AA135" s="24" t="s">
        <v>6986</v>
      </c>
      <c r="AB135" s="29">
        <v>150000</v>
      </c>
      <c r="AC135" s="24" t="s">
        <v>7048</v>
      </c>
      <c r="AD135" s="29">
        <v>1099</v>
      </c>
      <c r="AE135" s="85" t="s">
        <v>7093</v>
      </c>
      <c r="AF135" s="29">
        <v>170000</v>
      </c>
      <c r="AG135" s="85" t="s">
        <v>7143</v>
      </c>
      <c r="AH135" s="97">
        <f>+SUM(AH131:AH134)</f>
        <v>336300.82</v>
      </c>
      <c r="AI135" s="198"/>
      <c r="AJ135" s="29"/>
      <c r="AK135" s="85"/>
      <c r="AL135" s="29">
        <v>2434</v>
      </c>
      <c r="AM135" s="24" t="s">
        <v>7267</v>
      </c>
      <c r="AN135" s="30">
        <v>1099</v>
      </c>
      <c r="AO135" s="24" t="s">
        <v>7240</v>
      </c>
      <c r="AP135" s="29">
        <v>19832.689999999999</v>
      </c>
      <c r="AQ135" s="184" t="s">
        <v>7310</v>
      </c>
      <c r="AR135" s="29">
        <v>111000</v>
      </c>
      <c r="AS135" s="215" t="s">
        <v>7382</v>
      </c>
      <c r="AT135" s="29">
        <v>23000</v>
      </c>
      <c r="AU135" s="24" t="s">
        <v>7435</v>
      </c>
      <c r="AV135" s="96">
        <v>3250</v>
      </c>
      <c r="AW135" s="15" t="s">
        <v>7528</v>
      </c>
      <c r="AX135" s="29"/>
      <c r="AY135" s="24"/>
      <c r="AZ135" s="29">
        <v>197506</v>
      </c>
      <c r="BA135" s="24" t="s">
        <v>7559</v>
      </c>
      <c r="BB135" s="29">
        <v>123800</v>
      </c>
      <c r="BC135" s="166" t="s">
        <v>7618</v>
      </c>
      <c r="BD135" s="29">
        <v>293600</v>
      </c>
      <c r="BE135" s="166" t="s">
        <v>7671</v>
      </c>
      <c r="BF135" s="29">
        <v>3250</v>
      </c>
      <c r="BG135" s="24" t="s">
        <v>7734</v>
      </c>
      <c r="BH135" s="183">
        <v>4395.01</v>
      </c>
      <c r="BI135" s="120" t="s">
        <v>7790</v>
      </c>
      <c r="BJ135" s="24"/>
      <c r="BK135" s="24"/>
      <c r="BL135" s="72"/>
      <c r="BM135" s="24"/>
      <c r="BN135" s="24"/>
      <c r="BO135" s="24"/>
      <c r="BP135" s="72"/>
      <c r="BQ135" s="24"/>
      <c r="BR135" s="72"/>
      <c r="BS135" s="24"/>
      <c r="BT135" s="72"/>
      <c r="BU135" s="24"/>
      <c r="BV135" s="72"/>
      <c r="BW135" s="24"/>
      <c r="BX135" s="72"/>
      <c r="BY135" s="24"/>
      <c r="BZ135" s="72"/>
      <c r="CA135" s="24"/>
      <c r="CB135" s="72"/>
      <c r="CC135" s="24"/>
      <c r="CD135" s="72"/>
      <c r="CE135" s="24"/>
      <c r="CF135" s="72"/>
      <c r="CG135" s="24"/>
      <c r="CH135" s="72"/>
      <c r="CI135" s="24"/>
      <c r="CJ135" s="72"/>
      <c r="CK135" s="24"/>
      <c r="CL135" s="72"/>
      <c r="CM135" s="24"/>
      <c r="CN135" s="72"/>
      <c r="CO135" s="24"/>
      <c r="CP135" s="72"/>
    </row>
    <row r="136" spans="1:94" x14ac:dyDescent="0.25">
      <c r="A136" s="45"/>
      <c r="B136" s="138">
        <v>1000</v>
      </c>
      <c r="C136" s="204" t="s">
        <v>6549</v>
      </c>
      <c r="D136" s="29">
        <v>15000</v>
      </c>
      <c r="E136" s="24" t="s">
        <v>6635</v>
      </c>
      <c r="F136" s="122">
        <v>464.01</v>
      </c>
      <c r="G136" s="24" t="s">
        <v>6607</v>
      </c>
      <c r="H136" s="29"/>
      <c r="I136" s="24"/>
      <c r="J136" s="29">
        <v>2824</v>
      </c>
      <c r="K136" s="171" t="s">
        <v>6660</v>
      </c>
      <c r="L136" s="29"/>
      <c r="M136" s="24"/>
      <c r="N136" s="96">
        <v>20000</v>
      </c>
      <c r="O136" s="26" t="s">
        <v>6745</v>
      </c>
      <c r="P136" s="97">
        <f>+SUM(P131:P135)</f>
        <v>95065.21</v>
      </c>
      <c r="Q136" s="24"/>
      <c r="R136" s="29">
        <v>2943.75</v>
      </c>
      <c r="S136" s="166" t="s">
        <v>6854</v>
      </c>
      <c r="T136" s="30">
        <v>382.38</v>
      </c>
      <c r="U136" s="15" t="s">
        <v>6930</v>
      </c>
      <c r="V136" s="29"/>
      <c r="W136" s="24"/>
      <c r="X136" s="29">
        <v>17496.05</v>
      </c>
      <c r="Y136" s="24" t="s">
        <v>6956</v>
      </c>
      <c r="Z136" s="29">
        <v>37873.120000000003</v>
      </c>
      <c r="AA136" s="24" t="s">
        <v>6987</v>
      </c>
      <c r="AB136" s="29">
        <v>500000</v>
      </c>
      <c r="AC136" s="24" t="s">
        <v>7049</v>
      </c>
      <c r="AD136" s="29">
        <v>8845.48</v>
      </c>
      <c r="AE136" s="85" t="s">
        <v>7094</v>
      </c>
      <c r="AF136" s="29">
        <v>35000</v>
      </c>
      <c r="AG136" s="85" t="s">
        <v>7145</v>
      </c>
      <c r="AH136" s="29"/>
      <c r="AI136" s="198"/>
      <c r="AJ136" s="29"/>
      <c r="AK136" s="85"/>
      <c r="AL136" s="30">
        <f>80193.49+200000</f>
        <v>280193.49</v>
      </c>
      <c r="AM136" s="24" t="s">
        <v>7268</v>
      </c>
      <c r="AN136" s="29">
        <v>928</v>
      </c>
      <c r="AO136" s="24" t="s">
        <v>7256</v>
      </c>
      <c r="AP136" s="29">
        <v>2619.73</v>
      </c>
      <c r="AQ136" s="184" t="s">
        <v>7311</v>
      </c>
      <c r="AR136" s="29">
        <v>90159.89</v>
      </c>
      <c r="AS136" s="215" t="s">
        <v>7383</v>
      </c>
      <c r="AT136" s="29">
        <v>99300</v>
      </c>
      <c r="AU136" s="24" t="s">
        <v>7436</v>
      </c>
      <c r="AV136" s="97">
        <f>+SUM(AV131:AV135)</f>
        <v>80730</v>
      </c>
      <c r="AW136" s="24"/>
      <c r="AX136" s="29"/>
      <c r="AY136" s="24"/>
      <c r="AZ136" s="29">
        <v>43200</v>
      </c>
      <c r="BA136" s="24" t="s">
        <v>7560</v>
      </c>
      <c r="BB136" s="29">
        <v>7327.38</v>
      </c>
      <c r="BC136" s="166" t="s">
        <v>7620</v>
      </c>
      <c r="BD136" s="29">
        <v>100000</v>
      </c>
      <c r="BE136" s="166" t="s">
        <v>7672</v>
      </c>
      <c r="BF136" s="97">
        <f>+SUM(BF131:BF135)</f>
        <v>460266.70999999996</v>
      </c>
      <c r="BG136" s="24"/>
      <c r="BH136" s="183">
        <v>1068</v>
      </c>
      <c r="BI136" s="120" t="s">
        <v>7801</v>
      </c>
      <c r="BJ136" s="72"/>
      <c r="BK136" s="24"/>
      <c r="BL136" s="72"/>
      <c r="BM136" s="24"/>
      <c r="BN136" s="72"/>
      <c r="BO136" s="24"/>
      <c r="BP136" s="72"/>
      <c r="BQ136" s="24"/>
      <c r="BR136" s="72"/>
      <c r="BS136" s="24"/>
      <c r="BT136" s="72"/>
      <c r="BU136" s="24"/>
      <c r="BV136" s="72"/>
      <c r="BW136" s="24"/>
      <c r="BX136" s="72"/>
      <c r="BY136" s="24"/>
      <c r="BZ136" s="72"/>
      <c r="CA136" s="24"/>
      <c r="CB136" s="72"/>
      <c r="CC136" s="24"/>
      <c r="CD136" s="72"/>
      <c r="CE136" s="24"/>
      <c r="CF136" s="72"/>
      <c r="CG136" s="24"/>
      <c r="CH136" s="72"/>
      <c r="CI136" s="24"/>
      <c r="CJ136" s="72"/>
      <c r="CK136" s="24"/>
      <c r="CL136" s="72"/>
      <c r="CM136" s="24"/>
      <c r="CN136" s="72"/>
      <c r="CO136" s="24"/>
      <c r="CP136" s="72"/>
    </row>
    <row r="137" spans="1:94" x14ac:dyDescent="0.25">
      <c r="A137" s="45"/>
      <c r="B137" s="138">
        <v>341600</v>
      </c>
      <c r="C137" s="204" t="s">
        <v>6550</v>
      </c>
      <c r="D137" s="29">
        <v>2065</v>
      </c>
      <c r="E137" s="24" t="s">
        <v>6641</v>
      </c>
      <c r="F137" s="122">
        <v>3319.99</v>
      </c>
      <c r="G137" s="24" t="s">
        <v>6626</v>
      </c>
      <c r="H137" s="29"/>
      <c r="I137" s="24"/>
      <c r="J137" s="96">
        <v>1169</v>
      </c>
      <c r="K137" s="172" t="s">
        <v>6669</v>
      </c>
      <c r="L137" s="29">
        <v>53350</v>
      </c>
      <c r="M137" s="24" t="s">
        <v>6711</v>
      </c>
      <c r="N137" s="122">
        <v>2259</v>
      </c>
      <c r="O137" s="24" t="s">
        <v>6760</v>
      </c>
      <c r="P137" s="94"/>
      <c r="Q137" s="24"/>
      <c r="R137" s="29">
        <v>26597.41</v>
      </c>
      <c r="S137" s="166" t="s">
        <v>6855</v>
      </c>
      <c r="T137" s="29">
        <v>12321</v>
      </c>
      <c r="U137" s="24" t="s">
        <v>6936</v>
      </c>
      <c r="V137" s="122"/>
      <c r="W137" s="24"/>
      <c r="X137" s="122">
        <v>11373.87</v>
      </c>
      <c r="Y137" s="24" t="s">
        <v>6957</v>
      </c>
      <c r="Z137" s="29">
        <v>1970</v>
      </c>
      <c r="AA137" s="24" t="s">
        <v>6989</v>
      </c>
      <c r="AB137" s="29">
        <v>8221.15</v>
      </c>
      <c r="AC137" s="24" t="s">
        <v>7050</v>
      </c>
      <c r="AD137" s="29">
        <v>15000</v>
      </c>
      <c r="AE137" s="85" t="s">
        <v>7095</v>
      </c>
      <c r="AF137" s="29">
        <v>20000</v>
      </c>
      <c r="AG137" s="85" t="s">
        <v>7146</v>
      </c>
      <c r="AH137" s="29"/>
      <c r="AI137" s="180"/>
      <c r="AJ137" s="29"/>
      <c r="AK137" s="85"/>
      <c r="AL137" s="29">
        <v>240000</v>
      </c>
      <c r="AM137" s="24" t="s">
        <v>7269</v>
      </c>
      <c r="AN137" s="96">
        <v>66244.42</v>
      </c>
      <c r="AO137" s="26" t="s">
        <v>7231</v>
      </c>
      <c r="AP137" s="29">
        <v>22468.27</v>
      </c>
      <c r="AQ137" s="184" t="s">
        <v>7316</v>
      </c>
      <c r="AR137" s="29"/>
      <c r="AS137" s="24"/>
      <c r="AT137" s="29">
        <v>48300</v>
      </c>
      <c r="AU137" s="24" t="s">
        <v>7437</v>
      </c>
      <c r="AV137" s="96"/>
      <c r="AW137" s="15"/>
      <c r="AX137" s="96"/>
      <c r="AY137" s="15"/>
      <c r="AZ137" s="29">
        <v>5726</v>
      </c>
      <c r="BA137" s="24" t="s">
        <v>7561</v>
      </c>
      <c r="BB137" s="29">
        <v>87939.4</v>
      </c>
      <c r="BC137" s="166" t="s">
        <v>7621</v>
      </c>
      <c r="BD137" s="29">
        <v>120000</v>
      </c>
      <c r="BE137" s="166" t="s">
        <v>7673</v>
      </c>
      <c r="BF137" s="30"/>
      <c r="BG137" s="24"/>
      <c r="BH137" s="156">
        <f>+SUM(BH131:BH136)</f>
        <v>55342.01</v>
      </c>
      <c r="BI137" s="120"/>
      <c r="BJ137" s="72"/>
      <c r="BK137" s="24"/>
      <c r="BL137" s="24"/>
      <c r="BM137" s="24"/>
      <c r="BN137" s="72"/>
      <c r="BO137" s="24"/>
      <c r="BP137" s="72"/>
      <c r="BQ137" s="24"/>
      <c r="BR137" s="72"/>
      <c r="BS137" s="24"/>
      <c r="BT137" s="72"/>
      <c r="BU137" s="24"/>
      <c r="BV137" s="72"/>
      <c r="BW137" s="24"/>
      <c r="BX137" s="72"/>
      <c r="BY137" s="24"/>
      <c r="BZ137" s="72"/>
      <c r="CA137" s="24"/>
      <c r="CB137" s="72"/>
      <c r="CC137" s="24"/>
      <c r="CD137" s="72"/>
      <c r="CE137" s="24"/>
      <c r="CF137" s="72"/>
      <c r="CG137" s="24"/>
      <c r="CH137" s="72"/>
      <c r="CI137" s="24"/>
      <c r="CJ137" s="72"/>
      <c r="CK137" s="24"/>
      <c r="CL137" s="72"/>
      <c r="CM137" s="24"/>
      <c r="CN137" s="72"/>
      <c r="CO137" s="24"/>
      <c r="CP137" s="72"/>
    </row>
    <row r="138" spans="1:94" x14ac:dyDescent="0.25">
      <c r="A138" s="45"/>
      <c r="B138" s="138">
        <v>3169.01</v>
      </c>
      <c r="C138" s="204" t="s">
        <v>6551</v>
      </c>
      <c r="D138" s="115">
        <f>+D136+D137</f>
        <v>17065</v>
      </c>
      <c r="E138" s="24"/>
      <c r="F138" s="122">
        <v>2656</v>
      </c>
      <c r="G138" s="24" t="s">
        <v>6026</v>
      </c>
      <c r="H138" s="29"/>
      <c r="I138" s="24"/>
      <c r="J138" s="97">
        <f>+SUM(J130:J137)</f>
        <v>264234</v>
      </c>
      <c r="K138" s="24"/>
      <c r="L138" s="29">
        <v>11076.12</v>
      </c>
      <c r="M138" s="24" t="s">
        <v>6713</v>
      </c>
      <c r="N138" s="122">
        <v>4495</v>
      </c>
      <c r="O138" s="24" t="s">
        <v>6769</v>
      </c>
      <c r="P138" s="29">
        <v>219200</v>
      </c>
      <c r="Q138" s="24" t="s">
        <v>6808</v>
      </c>
      <c r="R138" s="29">
        <v>42000</v>
      </c>
      <c r="S138" s="166" t="s">
        <v>6857</v>
      </c>
      <c r="T138" s="97">
        <f>+SUM(T131:T137)</f>
        <v>90465.38</v>
      </c>
      <c r="U138" s="24"/>
      <c r="V138" s="122"/>
      <c r="W138" s="24"/>
      <c r="X138" s="122">
        <v>8148.92</v>
      </c>
      <c r="Y138" s="24" t="s">
        <v>6958</v>
      </c>
      <c r="Z138" s="29">
        <v>1099</v>
      </c>
      <c r="AA138" s="24" t="s">
        <v>6990</v>
      </c>
      <c r="AB138" s="29">
        <v>1099</v>
      </c>
      <c r="AC138" s="24" t="s">
        <v>7053</v>
      </c>
      <c r="AD138" s="29">
        <v>277800</v>
      </c>
      <c r="AE138" s="85" t="s">
        <v>7096</v>
      </c>
      <c r="AF138" s="29">
        <v>365000</v>
      </c>
      <c r="AG138" s="85" t="s">
        <v>7147</v>
      </c>
      <c r="AH138" s="29"/>
      <c r="AI138" s="180"/>
      <c r="AJ138" s="29"/>
      <c r="AK138" s="85"/>
      <c r="AL138" s="29">
        <v>5697.17</v>
      </c>
      <c r="AM138" s="24" t="s">
        <v>7271</v>
      </c>
      <c r="AN138" s="97">
        <f>+SUM(AN131:AN137)</f>
        <v>99931.09</v>
      </c>
      <c r="AO138" s="24"/>
      <c r="AP138" s="97">
        <f>+SUM(AP131:AP137)</f>
        <v>353445.68</v>
      </c>
      <c r="AQ138" s="184"/>
      <c r="AR138" s="30">
        <v>200</v>
      </c>
      <c r="AS138" s="217" t="s">
        <v>7384</v>
      </c>
      <c r="AT138" s="29">
        <v>399194</v>
      </c>
      <c r="AU138" s="24" t="s">
        <v>7442</v>
      </c>
      <c r="AV138" s="105"/>
      <c r="AW138" s="106"/>
      <c r="AX138" s="207"/>
      <c r="AY138" s="106"/>
      <c r="AZ138" s="29">
        <v>60000</v>
      </c>
      <c r="BA138" s="24" t="s">
        <v>7563</v>
      </c>
      <c r="BB138" s="29">
        <v>9176.82</v>
      </c>
      <c r="BC138" s="166" t="s">
        <v>7622</v>
      </c>
      <c r="BD138" s="29">
        <v>54820.83</v>
      </c>
      <c r="BE138" s="166" t="s">
        <v>7674</v>
      </c>
      <c r="BF138" s="30">
        <v>108000</v>
      </c>
      <c r="BG138" s="24" t="s">
        <v>7744</v>
      </c>
      <c r="BH138" s="128"/>
      <c r="BI138" s="120"/>
      <c r="BJ138" s="72"/>
      <c r="BK138" s="24"/>
      <c r="BL138" s="72"/>
      <c r="BM138" s="24"/>
      <c r="BN138" s="72"/>
      <c r="BO138" s="24"/>
      <c r="BP138" s="72"/>
      <c r="BQ138" s="24"/>
      <c r="BR138" s="72"/>
      <c r="BS138" s="24"/>
      <c r="BT138" s="72"/>
      <c r="BU138" s="24"/>
      <c r="BV138" s="72"/>
      <c r="BW138" s="24"/>
      <c r="BX138" s="72"/>
      <c r="BY138" s="24"/>
      <c r="BZ138" s="72"/>
      <c r="CA138" s="24"/>
      <c r="CB138" s="72"/>
      <c r="CC138" s="24"/>
      <c r="CD138" s="72"/>
      <c r="CE138" s="24"/>
      <c r="CF138" s="72"/>
      <c r="CG138" s="24"/>
      <c r="CH138" s="72"/>
      <c r="CI138" s="24"/>
      <c r="CJ138" s="72"/>
      <c r="CK138" s="24"/>
      <c r="CL138" s="72"/>
      <c r="CM138" s="24"/>
      <c r="CN138" s="72"/>
      <c r="CO138" s="24"/>
      <c r="CP138" s="72"/>
    </row>
    <row r="139" spans="1:94" x14ac:dyDescent="0.25">
      <c r="A139" s="41"/>
      <c r="B139" s="138">
        <v>2040</v>
      </c>
      <c r="C139" s="204" t="s">
        <v>6552</v>
      </c>
      <c r="D139" s="30"/>
      <c r="E139" s="15"/>
      <c r="F139" s="96">
        <v>980</v>
      </c>
      <c r="G139" s="15" t="s">
        <v>6630</v>
      </c>
      <c r="H139" s="30"/>
      <c r="I139" s="15"/>
      <c r="J139" s="29"/>
      <c r="K139" s="24"/>
      <c r="L139" s="30">
        <v>11076.12</v>
      </c>
      <c r="M139" s="15" t="s">
        <v>6714</v>
      </c>
      <c r="N139" s="122">
        <v>7736.36</v>
      </c>
      <c r="O139" s="24" t="s">
        <v>6770</v>
      </c>
      <c r="P139" s="30">
        <v>255000</v>
      </c>
      <c r="Q139" s="15" t="s">
        <v>6809</v>
      </c>
      <c r="R139" s="29">
        <v>2040</v>
      </c>
      <c r="S139" s="162" t="s">
        <v>6862</v>
      </c>
      <c r="T139" s="30"/>
      <c r="U139" s="15"/>
      <c r="V139" s="29"/>
      <c r="W139" s="24"/>
      <c r="X139" s="29">
        <v>55704.38</v>
      </c>
      <c r="Y139" s="24" t="s">
        <v>6963</v>
      </c>
      <c r="Z139" s="100">
        <f>+SUM(Z131:Z138)</f>
        <v>430401.02999999997</v>
      </c>
      <c r="AA139" s="15"/>
      <c r="AB139" s="30">
        <v>3250</v>
      </c>
      <c r="AC139" s="15" t="s">
        <v>7054</v>
      </c>
      <c r="AD139" s="29">
        <v>99000</v>
      </c>
      <c r="AE139" s="85" t="s">
        <v>7097</v>
      </c>
      <c r="AF139" s="29">
        <v>5926.8</v>
      </c>
      <c r="AG139" s="85" t="s">
        <v>7152</v>
      </c>
      <c r="AH139" s="30"/>
      <c r="AI139" s="181"/>
      <c r="AJ139" s="30"/>
      <c r="AK139" s="86"/>
      <c r="AL139" s="30">
        <v>161500</v>
      </c>
      <c r="AM139" s="15" t="s">
        <v>7272</v>
      </c>
      <c r="AN139" s="30"/>
      <c r="AO139" s="15"/>
      <c r="AP139" s="30"/>
      <c r="AQ139" s="185"/>
      <c r="AR139" s="30">
        <v>34360</v>
      </c>
      <c r="AS139" s="215" t="s">
        <v>7385</v>
      </c>
      <c r="AT139" s="29">
        <v>120000</v>
      </c>
      <c r="AU139" s="24" t="s">
        <v>7444</v>
      </c>
      <c r="AV139" s="96"/>
      <c r="AW139" s="15"/>
      <c r="AX139" s="96"/>
      <c r="AY139" s="15"/>
      <c r="AZ139" s="30">
        <v>16000</v>
      </c>
      <c r="BA139" s="15" t="s">
        <v>7564</v>
      </c>
      <c r="BB139" s="30">
        <v>236000</v>
      </c>
      <c r="BC139" s="162" t="s">
        <v>7623</v>
      </c>
      <c r="BD139" s="30">
        <v>20000</v>
      </c>
      <c r="BE139" s="162" t="s">
        <v>7675</v>
      </c>
      <c r="BF139" s="30">
        <v>5000</v>
      </c>
      <c r="BG139" s="15" t="s">
        <v>7745</v>
      </c>
      <c r="BH139" s="183">
        <v>120000</v>
      </c>
      <c r="BI139" s="127" t="s">
        <v>7802</v>
      </c>
      <c r="BJ139" s="9"/>
      <c r="BK139" s="15"/>
      <c r="BL139" s="9"/>
      <c r="BM139" s="15"/>
      <c r="BN139" s="9"/>
      <c r="BO139" s="15"/>
      <c r="BP139" s="9"/>
      <c r="BQ139" s="15"/>
      <c r="BR139" s="9"/>
      <c r="BS139" s="15"/>
      <c r="BT139" s="9"/>
      <c r="BU139" s="15"/>
      <c r="BV139" s="9"/>
      <c r="BW139" s="15"/>
      <c r="BX139" s="9"/>
      <c r="BY139" s="15"/>
      <c r="BZ139" s="9"/>
      <c r="CA139" s="15"/>
      <c r="CB139" s="9"/>
      <c r="CC139" s="15"/>
      <c r="CD139" s="9"/>
      <c r="CE139" s="15"/>
      <c r="CF139" s="9"/>
      <c r="CG139" s="15"/>
      <c r="CH139" s="9"/>
      <c r="CI139" s="15"/>
      <c r="CJ139" s="9"/>
      <c r="CK139" s="15"/>
      <c r="CL139" s="9"/>
      <c r="CM139" s="15"/>
      <c r="CN139" s="9"/>
      <c r="CO139" s="15"/>
      <c r="CP139" s="9"/>
    </row>
    <row r="140" spans="1:94" x14ac:dyDescent="0.25">
      <c r="A140" s="45"/>
      <c r="B140" s="138">
        <v>2415</v>
      </c>
      <c r="C140" s="204" t="s">
        <v>6553</v>
      </c>
      <c r="D140" s="29"/>
      <c r="E140" s="24"/>
      <c r="F140" s="200">
        <f>+SUM((F131:F139))</f>
        <v>177347.49</v>
      </c>
      <c r="G140" s="24"/>
      <c r="H140" s="29"/>
      <c r="I140" s="24"/>
      <c r="J140" s="29"/>
      <c r="K140" s="24"/>
      <c r="L140" s="30">
        <v>130000</v>
      </c>
      <c r="M140" s="24" t="s">
        <v>6718</v>
      </c>
      <c r="N140" s="96">
        <v>1169</v>
      </c>
      <c r="O140" s="15" t="s">
        <v>6771</v>
      </c>
      <c r="P140" s="96">
        <v>79000</v>
      </c>
      <c r="Q140" s="15" t="s">
        <v>6810</v>
      </c>
      <c r="R140" s="29">
        <v>8877.16</v>
      </c>
      <c r="S140" s="162" t="s">
        <v>6873</v>
      </c>
      <c r="T140" s="29"/>
      <c r="U140" s="24"/>
      <c r="V140" s="29"/>
      <c r="W140" s="24"/>
      <c r="X140" s="29">
        <v>20000</v>
      </c>
      <c r="Y140" s="24" t="s">
        <v>6966</v>
      </c>
      <c r="Z140" s="29"/>
      <c r="AA140" s="24"/>
      <c r="AB140" s="29">
        <v>1999</v>
      </c>
      <c r="AC140" s="24" t="s">
        <v>7068</v>
      </c>
      <c r="AD140" s="29">
        <v>260000</v>
      </c>
      <c r="AE140" s="85" t="s">
        <v>7098</v>
      </c>
      <c r="AF140" s="29">
        <v>1168.99</v>
      </c>
      <c r="AG140" s="85" t="s">
        <v>7154</v>
      </c>
      <c r="AH140" s="29"/>
      <c r="AI140" s="180"/>
      <c r="AJ140" s="29"/>
      <c r="AK140" s="85"/>
      <c r="AL140" s="29">
        <v>1750</v>
      </c>
      <c r="AM140" s="24" t="s">
        <v>7275</v>
      </c>
      <c r="AN140" s="29"/>
      <c r="AO140" s="24"/>
      <c r="AP140" s="29">
        <v>3500</v>
      </c>
      <c r="AQ140" s="209" t="s">
        <v>7324</v>
      </c>
      <c r="AR140" s="30">
        <v>13000</v>
      </c>
      <c r="AS140" s="215" t="s">
        <v>7386</v>
      </c>
      <c r="AT140" s="29">
        <v>36400</v>
      </c>
      <c r="AU140" s="24" t="s">
        <v>7445</v>
      </c>
      <c r="AV140" s="96"/>
      <c r="AW140" s="15"/>
      <c r="AX140" s="96"/>
      <c r="AY140" s="15"/>
      <c r="AZ140" s="29">
        <v>3139</v>
      </c>
      <c r="BA140" s="24" t="s">
        <v>7567</v>
      </c>
      <c r="BB140" s="94">
        <v>89750.89</v>
      </c>
      <c r="BC140" s="166" t="s">
        <v>7624</v>
      </c>
      <c r="BD140" s="29">
        <v>60332.38</v>
      </c>
      <c r="BE140" s="166" t="s">
        <v>7676</v>
      </c>
      <c r="BF140" s="29">
        <v>11860.02</v>
      </c>
      <c r="BG140" s="24" t="s">
        <v>7747</v>
      </c>
      <c r="BH140" s="183">
        <v>156487.91</v>
      </c>
      <c r="BI140" s="127" t="s">
        <v>7805</v>
      </c>
      <c r="BJ140" s="72"/>
      <c r="BK140" s="24"/>
      <c r="BL140" s="72"/>
      <c r="BM140" s="24"/>
      <c r="BN140" s="72"/>
      <c r="BO140" s="24"/>
      <c r="BP140" s="72"/>
      <c r="BQ140" s="24"/>
      <c r="BR140" s="72"/>
      <c r="BS140" s="24"/>
      <c r="BT140" s="72"/>
      <c r="BU140" s="24"/>
      <c r="BV140" s="72"/>
      <c r="BW140" s="24"/>
      <c r="BX140" s="72"/>
      <c r="BY140" s="24"/>
      <c r="BZ140" s="72"/>
      <c r="CA140" s="24"/>
      <c r="CB140" s="72"/>
      <c r="CC140" s="24"/>
      <c r="CD140" s="72"/>
      <c r="CE140" s="24"/>
      <c r="CF140" s="72"/>
      <c r="CG140" s="24"/>
      <c r="CH140" s="72"/>
      <c r="CI140" s="24"/>
      <c r="CJ140" s="72"/>
      <c r="CK140" s="24"/>
      <c r="CL140" s="72"/>
      <c r="CM140" s="24"/>
      <c r="CN140" s="72"/>
      <c r="CO140" s="24"/>
      <c r="CP140" s="72"/>
    </row>
    <row r="141" spans="1:94" x14ac:dyDescent="0.25">
      <c r="A141" s="45"/>
      <c r="B141" s="138">
        <v>3015</v>
      </c>
      <c r="C141" s="204" t="s">
        <v>6554</v>
      </c>
      <c r="D141" s="29"/>
      <c r="E141" s="24"/>
      <c r="F141" s="122"/>
      <c r="G141" s="24"/>
      <c r="H141" s="29"/>
      <c r="I141" s="24"/>
      <c r="J141" s="29"/>
      <c r="K141" s="24"/>
      <c r="L141" s="30">
        <v>5490.99</v>
      </c>
      <c r="M141" s="24" t="s">
        <v>6720</v>
      </c>
      <c r="N141" s="97">
        <f>+SUM(N131:N140)</f>
        <v>200791.41999999998</v>
      </c>
      <c r="O141" s="24"/>
      <c r="P141" s="29">
        <v>56602.26</v>
      </c>
      <c r="Q141" s="24" t="s">
        <v>6814</v>
      </c>
      <c r="R141" s="29">
        <v>3320</v>
      </c>
      <c r="S141" s="166" t="s">
        <v>6880</v>
      </c>
      <c r="T141" s="29"/>
      <c r="U141" s="24"/>
      <c r="V141" s="29"/>
      <c r="W141" s="24"/>
      <c r="X141" s="29">
        <v>5361</v>
      </c>
      <c r="Y141" s="24" t="s">
        <v>6969</v>
      </c>
      <c r="Z141" s="122">
        <v>74425</v>
      </c>
      <c r="AA141" s="24" t="s">
        <v>7003</v>
      </c>
      <c r="AB141" s="29">
        <v>211</v>
      </c>
      <c r="AC141" s="24" t="s">
        <v>7074</v>
      </c>
      <c r="AD141" s="29">
        <v>2626</v>
      </c>
      <c r="AE141" s="85" t="s">
        <v>7099</v>
      </c>
      <c r="AF141" s="97">
        <f>+SUM(AF135:AF140)</f>
        <v>597095.79</v>
      </c>
      <c r="AG141" s="85"/>
      <c r="AH141" s="94"/>
      <c r="AI141" s="180"/>
      <c r="AJ141" s="29"/>
      <c r="AK141" s="85"/>
      <c r="AL141" s="29">
        <v>215300</v>
      </c>
      <c r="AM141" s="24" t="s">
        <v>7276</v>
      </c>
      <c r="AN141" s="29"/>
      <c r="AO141" s="24"/>
      <c r="AP141" s="29">
        <f>230600+131000</f>
        <v>361600</v>
      </c>
      <c r="AQ141" s="209" t="s">
        <v>7325</v>
      </c>
      <c r="AR141" s="29">
        <v>175000</v>
      </c>
      <c r="AS141" s="215" t="s">
        <v>7387</v>
      </c>
      <c r="AT141" s="30">
        <v>2789</v>
      </c>
      <c r="AU141" s="15" t="s">
        <v>7451</v>
      </c>
      <c r="AV141" s="105"/>
      <c r="AW141" s="106"/>
      <c r="AX141" s="105"/>
      <c r="AY141" s="106"/>
      <c r="AZ141" s="29">
        <v>20311.29</v>
      </c>
      <c r="BA141" s="24" t="s">
        <v>7568</v>
      </c>
      <c r="BB141" s="29">
        <v>100000</v>
      </c>
      <c r="BC141" s="166" t="s">
        <v>7625</v>
      </c>
      <c r="BD141" s="29">
        <v>2314.41</v>
      </c>
      <c r="BE141" s="166" t="s">
        <v>7679</v>
      </c>
      <c r="BF141" s="29">
        <v>2800</v>
      </c>
      <c r="BG141" s="24" t="s">
        <v>7748</v>
      </c>
      <c r="BH141" s="183">
        <v>45000</v>
      </c>
      <c r="BI141" s="127" t="s">
        <v>7807</v>
      </c>
      <c r="BJ141" s="72"/>
      <c r="BK141" s="24"/>
      <c r="BL141" s="72"/>
      <c r="BM141" s="24"/>
      <c r="BN141" s="72"/>
      <c r="BO141" s="24"/>
      <c r="BP141" s="72"/>
      <c r="BQ141" s="24"/>
      <c r="BR141" s="72"/>
      <c r="BS141" s="24"/>
      <c r="BT141" s="72"/>
      <c r="BU141" s="24"/>
      <c r="BV141" s="72"/>
      <c r="BW141" s="24"/>
      <c r="BX141" s="72"/>
      <c r="BY141" s="24"/>
      <c r="BZ141" s="72"/>
      <c r="CA141" s="24"/>
      <c r="CB141" s="72"/>
      <c r="CC141" s="24"/>
      <c r="CD141" s="72"/>
      <c r="CE141" s="24"/>
      <c r="CF141" s="72"/>
      <c r="CG141" s="24"/>
      <c r="CH141" s="72"/>
      <c r="CI141" s="24"/>
      <c r="CJ141" s="72"/>
      <c r="CK141" s="24"/>
      <c r="CL141" s="72"/>
      <c r="CM141" s="24"/>
      <c r="CN141" s="72"/>
      <c r="CO141" s="24"/>
      <c r="CP141" s="72"/>
    </row>
    <row r="142" spans="1:94" x14ac:dyDescent="0.25">
      <c r="A142" s="45"/>
      <c r="B142" s="138">
        <v>1995</v>
      </c>
      <c r="C142" s="204" t="s">
        <v>6555</v>
      </c>
      <c r="D142" s="94"/>
      <c r="E142" s="24"/>
      <c r="F142" s="122"/>
      <c r="G142" s="24"/>
      <c r="H142" s="29"/>
      <c r="I142" s="24"/>
      <c r="J142" s="29"/>
      <c r="K142" s="24"/>
      <c r="L142" s="100">
        <f>+SUM(L137:L141)</f>
        <v>210993.22999999998</v>
      </c>
      <c r="M142" s="24"/>
      <c r="N142" s="94"/>
      <c r="O142" s="24"/>
      <c r="P142" s="29">
        <v>2280</v>
      </c>
      <c r="Q142" s="24" t="s">
        <v>6817</v>
      </c>
      <c r="R142" s="29">
        <v>5074.41</v>
      </c>
      <c r="S142" s="162" t="s">
        <v>6883</v>
      </c>
      <c r="T142" s="30"/>
      <c r="U142" s="24"/>
      <c r="V142" s="32"/>
      <c r="W142" s="24"/>
      <c r="X142" s="148">
        <f>+SUM(X135:X141)</f>
        <v>288084.21999999997</v>
      </c>
      <c r="Y142" s="24"/>
      <c r="Z142" s="122">
        <v>163000</v>
      </c>
      <c r="AA142" s="24" t="s">
        <v>7005</v>
      </c>
      <c r="AB142" s="31">
        <v>1650</v>
      </c>
      <c r="AC142" s="24" t="s">
        <v>7077</v>
      </c>
      <c r="AD142" s="29">
        <v>75200</v>
      </c>
      <c r="AE142" s="85" t="s">
        <v>7100</v>
      </c>
      <c r="AF142" s="29"/>
      <c r="AG142" s="24"/>
      <c r="AH142" s="96"/>
      <c r="AI142" s="181"/>
      <c r="AJ142" s="94"/>
      <c r="AK142" s="85"/>
      <c r="AL142" s="29">
        <v>3149</v>
      </c>
      <c r="AM142" s="24" t="s">
        <v>7277</v>
      </c>
      <c r="AN142" s="94"/>
      <c r="AO142" s="24"/>
      <c r="AP142" s="29">
        <v>360600</v>
      </c>
      <c r="AQ142" s="209" t="s">
        <v>7327</v>
      </c>
      <c r="AR142" s="29">
        <v>27000</v>
      </c>
      <c r="AS142" s="215" t="s">
        <v>7394</v>
      </c>
      <c r="AT142" s="29">
        <v>1168.99</v>
      </c>
      <c r="AU142" s="24" t="s">
        <v>7459</v>
      </c>
      <c r="AV142" s="29"/>
      <c r="AW142" s="108"/>
      <c r="AX142" s="105"/>
      <c r="AY142" s="106"/>
      <c r="AZ142" s="29">
        <v>2936</v>
      </c>
      <c r="BA142" s="24" t="s">
        <v>7576</v>
      </c>
      <c r="BB142" s="29">
        <v>10000</v>
      </c>
      <c r="BC142" s="166" t="s">
        <v>7626</v>
      </c>
      <c r="BD142" s="29">
        <v>1169</v>
      </c>
      <c r="BE142" s="166" t="s">
        <v>7680</v>
      </c>
      <c r="BF142" s="29">
        <v>9300</v>
      </c>
      <c r="BG142" s="24" t="s">
        <v>7750</v>
      </c>
      <c r="BH142" s="183">
        <v>100135</v>
      </c>
      <c r="BI142" s="127" t="s">
        <v>7809</v>
      </c>
      <c r="BJ142" s="72"/>
      <c r="BK142" s="24"/>
      <c r="BL142" s="72"/>
      <c r="BM142" s="24"/>
      <c r="BN142" s="72"/>
      <c r="BO142" s="24"/>
      <c r="BP142" s="72"/>
      <c r="BQ142" s="24"/>
      <c r="BR142" s="72"/>
      <c r="BS142" s="24"/>
      <c r="BT142" s="72"/>
      <c r="BU142" s="24"/>
      <c r="BV142" s="72"/>
      <c r="BW142" s="24"/>
      <c r="BX142" s="72"/>
      <c r="BY142" s="24"/>
      <c r="BZ142" s="72"/>
      <c r="CA142" s="24"/>
      <c r="CB142" s="72"/>
      <c r="CC142" s="24"/>
      <c r="CD142" s="72"/>
      <c r="CE142" s="24"/>
      <c r="CF142" s="72"/>
      <c r="CG142" s="24"/>
      <c r="CH142" s="72"/>
      <c r="CI142" s="24"/>
      <c r="CJ142" s="72"/>
      <c r="CK142" s="24"/>
      <c r="CL142" s="72"/>
      <c r="CM142" s="24"/>
      <c r="CN142" s="72"/>
      <c r="CO142" s="24"/>
      <c r="CP142" s="72"/>
    </row>
    <row r="143" spans="1:94" x14ac:dyDescent="0.25">
      <c r="A143" s="45"/>
      <c r="B143" s="138">
        <v>1995</v>
      </c>
      <c r="C143" s="204" t="s">
        <v>6556</v>
      </c>
      <c r="D143" s="29"/>
      <c r="E143" s="24"/>
      <c r="F143" s="122"/>
      <c r="G143" s="24"/>
      <c r="H143" s="29"/>
      <c r="I143" s="24"/>
      <c r="J143" s="29"/>
      <c r="K143" s="24"/>
      <c r="L143" s="30"/>
      <c r="M143" s="24"/>
      <c r="N143" s="29">
        <v>176250</v>
      </c>
      <c r="O143" s="24" t="s">
        <v>6777</v>
      </c>
      <c r="P143" s="97">
        <f>+SUM(P138:P142)</f>
        <v>612082.26</v>
      </c>
      <c r="Q143" s="24"/>
      <c r="R143" s="29">
        <v>13245.03</v>
      </c>
      <c r="S143" s="166" t="s">
        <v>6888</v>
      </c>
      <c r="T143" s="94"/>
      <c r="U143" s="24"/>
      <c r="V143" s="32"/>
      <c r="W143" s="24"/>
      <c r="X143" s="32"/>
      <c r="Y143" s="24"/>
      <c r="Z143" s="122">
        <v>82659</v>
      </c>
      <c r="AA143" s="24" t="s">
        <v>7006</v>
      </c>
      <c r="AB143" s="29">
        <v>1121.04</v>
      </c>
      <c r="AC143" s="24" t="s">
        <v>7078</v>
      </c>
      <c r="AD143" s="31">
        <v>160080</v>
      </c>
      <c r="AE143" s="85" t="s">
        <v>7108</v>
      </c>
      <c r="AF143" s="29"/>
      <c r="AG143" s="24"/>
      <c r="AH143" s="96"/>
      <c r="AI143" s="181"/>
      <c r="AJ143" s="29"/>
      <c r="AK143" s="85"/>
      <c r="AL143" s="29">
        <v>1169</v>
      </c>
      <c r="AM143" s="24" t="s">
        <v>7259</v>
      </c>
      <c r="AN143" s="29"/>
      <c r="AO143" s="24"/>
      <c r="AP143" s="29">
        <v>7800</v>
      </c>
      <c r="AQ143" s="209" t="s">
        <v>7328</v>
      </c>
      <c r="AR143" s="29">
        <v>284400</v>
      </c>
      <c r="AS143" s="215" t="s">
        <v>7395</v>
      </c>
      <c r="AT143" s="29">
        <v>3084.54</v>
      </c>
      <c r="AU143" s="24" t="s">
        <v>7476</v>
      </c>
      <c r="AV143" s="30"/>
      <c r="AW143" s="106"/>
      <c r="AX143" s="105"/>
      <c r="AY143" s="106"/>
      <c r="AZ143" s="29">
        <v>3088</v>
      </c>
      <c r="BA143" s="24" t="s">
        <v>7578</v>
      </c>
      <c r="BB143" s="29">
        <v>10000</v>
      </c>
      <c r="BC143" s="166" t="s">
        <v>7627</v>
      </c>
      <c r="BD143" s="29">
        <v>3250</v>
      </c>
      <c r="BE143" s="166" t="s">
        <v>7681</v>
      </c>
      <c r="BF143" s="29">
        <v>45000</v>
      </c>
      <c r="BG143" s="24" t="s">
        <v>7751</v>
      </c>
      <c r="BH143" s="96">
        <v>200000</v>
      </c>
      <c r="BI143" s="15" t="s">
        <v>7812</v>
      </c>
      <c r="BJ143" s="72"/>
      <c r="BK143" s="24"/>
      <c r="BL143" s="72"/>
      <c r="BM143" s="24"/>
      <c r="BN143" s="72"/>
      <c r="BO143" s="24"/>
      <c r="BP143" s="72"/>
      <c r="BQ143" s="24"/>
      <c r="BR143" s="72"/>
      <c r="BS143" s="24"/>
      <c r="BT143" s="72"/>
      <c r="BU143" s="24"/>
      <c r="BV143" s="72"/>
      <c r="BW143" s="24"/>
      <c r="BX143" s="72"/>
      <c r="BY143" s="24"/>
      <c r="BZ143" s="72"/>
      <c r="CA143" s="24"/>
      <c r="CB143" s="72"/>
      <c r="CC143" s="24"/>
      <c r="CD143" s="72"/>
      <c r="CE143" s="24"/>
      <c r="CF143" s="72"/>
      <c r="CG143" s="24"/>
      <c r="CH143" s="72"/>
      <c r="CI143" s="24"/>
      <c r="CJ143" s="72"/>
      <c r="CK143" s="24"/>
      <c r="CL143" s="72"/>
      <c r="CM143" s="24"/>
      <c r="CN143" s="72"/>
      <c r="CO143" s="24"/>
      <c r="CP143" s="72"/>
    </row>
    <row r="144" spans="1:94" x14ac:dyDescent="0.25">
      <c r="A144" s="45"/>
      <c r="B144" s="138">
        <v>3250</v>
      </c>
      <c r="C144" s="204" t="s">
        <v>6548</v>
      </c>
      <c r="D144" s="29"/>
      <c r="E144" s="24"/>
      <c r="F144" s="122"/>
      <c r="G144" s="24"/>
      <c r="H144" s="31"/>
      <c r="I144" s="15"/>
      <c r="J144" s="31"/>
      <c r="K144" s="15"/>
      <c r="L144" s="94"/>
      <c r="M144" s="24"/>
      <c r="N144" s="29">
        <v>230572.39</v>
      </c>
      <c r="O144" s="24" t="s">
        <v>6778</v>
      </c>
      <c r="P144" s="32"/>
      <c r="Q144" s="24"/>
      <c r="R144" s="148">
        <f>+SUM(R133:R143)</f>
        <v>797289.91000000015</v>
      </c>
      <c r="S144" s="24"/>
      <c r="T144" s="104"/>
      <c r="U144" s="24"/>
      <c r="V144" s="29"/>
      <c r="W144" s="24"/>
      <c r="X144" s="29"/>
      <c r="Y144" s="24"/>
      <c r="Z144" s="122">
        <v>199751.18</v>
      </c>
      <c r="AA144" s="24" t="s">
        <v>7009</v>
      </c>
      <c r="AB144" s="97">
        <f>+SUM(AB132:AB143)</f>
        <v>1102671.19</v>
      </c>
      <c r="AC144" s="24"/>
      <c r="AD144" s="31">
        <v>180000</v>
      </c>
      <c r="AE144" s="85" t="s">
        <v>7109</v>
      </c>
      <c r="AF144" s="29"/>
      <c r="AG144" s="24"/>
      <c r="AH144" s="29"/>
      <c r="AI144" s="180"/>
      <c r="AJ144" s="29"/>
      <c r="AK144" s="85"/>
      <c r="AL144" s="29">
        <v>232</v>
      </c>
      <c r="AM144" s="24" t="s">
        <v>7278</v>
      </c>
      <c r="AN144" s="29"/>
      <c r="AO144" s="24"/>
      <c r="AP144" s="29">
        <v>10337.709999999999</v>
      </c>
      <c r="AQ144" s="209" t="s">
        <v>7332</v>
      </c>
      <c r="AR144" s="29">
        <v>1500</v>
      </c>
      <c r="AS144" s="215" t="s">
        <v>7396</v>
      </c>
      <c r="AT144" s="96">
        <f>2315+1169</f>
        <v>3484</v>
      </c>
      <c r="AU144" s="15" t="s">
        <v>7464</v>
      </c>
      <c r="AV144" s="29"/>
      <c r="AW144" s="108"/>
      <c r="AX144" s="29"/>
      <c r="AY144" s="108"/>
      <c r="AZ144" s="30">
        <v>2420</v>
      </c>
      <c r="BA144" s="24" t="s">
        <v>7580</v>
      </c>
      <c r="BB144" s="29">
        <v>100000</v>
      </c>
      <c r="BC144" s="166" t="s">
        <v>7627</v>
      </c>
      <c r="BD144" s="29">
        <v>1169</v>
      </c>
      <c r="BE144" s="166" t="s">
        <v>7682</v>
      </c>
      <c r="BF144" s="29">
        <v>47704.9</v>
      </c>
      <c r="BG144" s="24" t="s">
        <v>7752</v>
      </c>
      <c r="BH144" s="96">
        <v>75475.81</v>
      </c>
      <c r="BI144" s="15" t="s">
        <v>7813</v>
      </c>
      <c r="BJ144" s="72"/>
      <c r="BK144" s="24"/>
      <c r="BL144" s="72"/>
      <c r="BM144" s="24"/>
      <c r="BN144" s="72"/>
      <c r="BO144" s="24"/>
      <c r="BP144" s="24"/>
      <c r="BQ144" s="24"/>
      <c r="BR144" s="72"/>
      <c r="BS144" s="24"/>
      <c r="BT144" s="72"/>
      <c r="BU144" s="24"/>
      <c r="BV144" s="72"/>
      <c r="BW144" s="24"/>
      <c r="BX144" s="72"/>
      <c r="BY144" s="24"/>
      <c r="BZ144" s="72"/>
      <c r="CA144" s="24"/>
      <c r="CB144" s="72"/>
      <c r="CC144" s="24"/>
      <c r="CD144" s="72"/>
      <c r="CE144" s="24"/>
      <c r="CF144" s="72"/>
      <c r="CG144" s="24"/>
      <c r="CH144" s="72"/>
      <c r="CI144" s="24"/>
      <c r="CJ144" s="72"/>
      <c r="CK144" s="24"/>
      <c r="CL144" s="72"/>
      <c r="CM144" s="24"/>
      <c r="CN144" s="72"/>
      <c r="CO144" s="24"/>
      <c r="CP144" s="72"/>
    </row>
    <row r="145" spans="1:94" x14ac:dyDescent="0.25">
      <c r="A145" s="41"/>
      <c r="B145" s="115">
        <f>+SUM(B136:B144)</f>
        <v>360479.01</v>
      </c>
      <c r="C145" s="24"/>
      <c r="D145" s="96"/>
      <c r="E145" s="26"/>
      <c r="F145" s="104"/>
      <c r="G145" s="15"/>
      <c r="H145" s="101"/>
      <c r="I145" s="57"/>
      <c r="J145" s="101"/>
      <c r="K145" s="57"/>
      <c r="L145" s="30"/>
      <c r="M145" s="15"/>
      <c r="N145" s="30">
        <v>20709.89</v>
      </c>
      <c r="O145" s="15" t="s">
        <v>6782</v>
      </c>
      <c r="P145" s="30"/>
      <c r="Q145" s="15"/>
      <c r="R145" s="30"/>
      <c r="S145" s="15"/>
      <c r="T145" s="96"/>
      <c r="U145" s="15"/>
      <c r="V145" s="30"/>
      <c r="W145" s="15"/>
      <c r="X145" s="30"/>
      <c r="Y145" s="15"/>
      <c r="Z145" s="96">
        <v>104500</v>
      </c>
      <c r="AA145" s="15" t="s">
        <v>7012</v>
      </c>
      <c r="AB145" s="98"/>
      <c r="AC145" s="15"/>
      <c r="AD145" s="31">
        <v>3250</v>
      </c>
      <c r="AE145" s="86" t="s">
        <v>7116</v>
      </c>
      <c r="AF145" s="29"/>
      <c r="AG145" s="24"/>
      <c r="AH145" s="30"/>
      <c r="AI145" s="181"/>
      <c r="AJ145" s="30"/>
      <c r="AK145" s="15"/>
      <c r="AL145" s="30">
        <v>259</v>
      </c>
      <c r="AM145" s="15" t="s">
        <v>7290</v>
      </c>
      <c r="AN145" s="98"/>
      <c r="AO145" s="15"/>
      <c r="AP145" s="30">
        <v>80524.38</v>
      </c>
      <c r="AQ145" s="211" t="s">
        <v>7333</v>
      </c>
      <c r="AR145" s="30">
        <v>1970</v>
      </c>
      <c r="AS145" s="217" t="s">
        <v>7404</v>
      </c>
      <c r="AT145" s="97">
        <f>+SUM(AT131:AT144)</f>
        <v>1236730.1399999999</v>
      </c>
      <c r="AU145" s="24"/>
      <c r="AV145" s="30"/>
      <c r="AW145" s="106"/>
      <c r="AX145" s="30"/>
      <c r="AY145" s="106"/>
      <c r="AZ145" s="30">
        <v>1099</v>
      </c>
      <c r="BA145" s="15" t="s">
        <v>7587</v>
      </c>
      <c r="BB145" s="30">
        <v>100135</v>
      </c>
      <c r="BC145" s="162" t="s">
        <v>7628</v>
      </c>
      <c r="BD145" s="100">
        <f>+SUM(BD131:BD144)</f>
        <v>1216677.2299999997</v>
      </c>
      <c r="BE145" s="15"/>
      <c r="BF145" s="30">
        <v>33275</v>
      </c>
      <c r="BG145" s="15" t="s">
        <v>7759</v>
      </c>
      <c r="BH145" s="183">
        <v>234300</v>
      </c>
      <c r="BI145" s="127" t="s">
        <v>7815</v>
      </c>
      <c r="BJ145" s="72"/>
      <c r="BK145" s="15"/>
      <c r="BL145" s="9"/>
      <c r="BM145" s="15"/>
      <c r="BN145" s="9"/>
      <c r="BO145" s="15"/>
      <c r="BP145" s="9"/>
      <c r="BQ145" s="15"/>
      <c r="BR145" s="9"/>
      <c r="BS145" s="15"/>
      <c r="BT145" s="9"/>
      <c r="BU145" s="15"/>
      <c r="BV145" s="9"/>
      <c r="BW145" s="15"/>
      <c r="BX145" s="9"/>
      <c r="BY145" s="15"/>
      <c r="BZ145" s="9"/>
      <c r="CA145" s="15"/>
      <c r="CB145" s="9"/>
      <c r="CC145" s="15"/>
      <c r="CD145" s="9"/>
      <c r="CE145" s="15"/>
      <c r="CF145" s="9"/>
      <c r="CG145" s="15"/>
      <c r="CH145" s="9"/>
      <c r="CI145" s="15"/>
      <c r="CJ145" s="9"/>
      <c r="CK145" s="15"/>
      <c r="CL145" s="9"/>
      <c r="CM145" s="15"/>
      <c r="CN145" s="9"/>
      <c r="CO145" s="15"/>
      <c r="CP145" s="9"/>
    </row>
    <row r="146" spans="1:94" x14ac:dyDescent="0.25">
      <c r="A146" s="50"/>
      <c r="B146" s="104"/>
      <c r="C146" s="24"/>
      <c r="D146" s="32"/>
      <c r="E146" s="57"/>
      <c r="F146" s="165"/>
      <c r="G146" s="57"/>
      <c r="H146" s="32"/>
      <c r="I146" s="24"/>
      <c r="J146" s="32"/>
      <c r="K146" s="24"/>
      <c r="L146" s="104"/>
      <c r="M146" s="57"/>
      <c r="N146" s="29">
        <v>28694.880000000001</v>
      </c>
      <c r="O146" s="57" t="s">
        <v>6783</v>
      </c>
      <c r="P146" s="63"/>
      <c r="Q146" s="57"/>
      <c r="R146" s="101"/>
      <c r="S146" s="57"/>
      <c r="T146" s="165"/>
      <c r="U146" s="57"/>
      <c r="V146" s="63"/>
      <c r="W146" s="57"/>
      <c r="X146" s="63"/>
      <c r="Y146" s="57"/>
      <c r="Z146" s="165">
        <v>1970.02</v>
      </c>
      <c r="AA146" s="57" t="s">
        <v>7014</v>
      </c>
      <c r="AB146" s="63"/>
      <c r="AC146" s="57"/>
      <c r="AD146" s="31">
        <v>3319.99</v>
      </c>
      <c r="AE146" s="86" t="s">
        <v>7118</v>
      </c>
      <c r="AF146" s="29"/>
      <c r="AG146" s="24"/>
      <c r="AH146" s="101"/>
      <c r="AI146" s="182"/>
      <c r="AJ146" s="63"/>
      <c r="AK146" s="57"/>
      <c r="AL146" s="101">
        <v>44382.87</v>
      </c>
      <c r="AM146" s="57" t="s">
        <v>7292</v>
      </c>
      <c r="AN146" s="94"/>
      <c r="AO146" s="57"/>
      <c r="AP146" s="101">
        <v>29524.71</v>
      </c>
      <c r="AQ146" s="212" t="s">
        <v>7334</v>
      </c>
      <c r="AR146" s="101">
        <v>8247.33</v>
      </c>
      <c r="AS146" s="216" t="s">
        <v>7412</v>
      </c>
      <c r="AT146" s="98"/>
      <c r="AU146" s="57"/>
      <c r="AV146" s="29"/>
      <c r="AW146" s="108"/>
      <c r="AX146" s="29"/>
      <c r="AY146" s="108"/>
      <c r="AZ146" s="96">
        <v>3320</v>
      </c>
      <c r="BA146" s="26" t="s">
        <v>7591</v>
      </c>
      <c r="BB146" s="101">
        <v>5883.1</v>
      </c>
      <c r="BC146" s="57" t="s">
        <v>7629</v>
      </c>
      <c r="BD146" s="101"/>
      <c r="BE146" s="57"/>
      <c r="BF146" s="101">
        <v>182000</v>
      </c>
      <c r="BG146" s="57" t="s">
        <v>7760</v>
      </c>
      <c r="BH146" s="183">
        <v>1584.11</v>
      </c>
      <c r="BI146" s="127" t="s">
        <v>7816</v>
      </c>
      <c r="BJ146" s="73"/>
      <c r="BK146" s="57"/>
      <c r="BL146" s="73"/>
      <c r="BM146" s="57"/>
      <c r="BN146" s="57"/>
      <c r="BO146" s="57"/>
      <c r="BP146" s="73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</row>
    <row r="147" spans="1:94" x14ac:dyDescent="0.25">
      <c r="A147" s="46"/>
      <c r="B147" s="114"/>
      <c r="C147" s="13"/>
      <c r="D147" s="31"/>
      <c r="E147" s="24"/>
      <c r="F147" s="104"/>
      <c r="G147" s="24"/>
      <c r="H147" s="32"/>
      <c r="I147" s="24"/>
      <c r="J147" s="31"/>
      <c r="K147" s="24"/>
      <c r="L147" s="116"/>
      <c r="M147" s="24"/>
      <c r="N147" s="31">
        <v>69180.240000000005</v>
      </c>
      <c r="O147" s="24" t="s">
        <v>6784</v>
      </c>
      <c r="P147" s="31"/>
      <c r="Q147" s="24"/>
      <c r="R147" s="31"/>
      <c r="S147" s="24"/>
      <c r="T147" s="104"/>
      <c r="U147" s="24"/>
      <c r="V147" s="31"/>
      <c r="W147" s="24"/>
      <c r="X147" s="31"/>
      <c r="Y147" s="24"/>
      <c r="Z147" s="104">
        <v>4680</v>
      </c>
      <c r="AA147" s="24" t="s">
        <v>7021</v>
      </c>
      <c r="AB147" s="31"/>
      <c r="AC147" s="24"/>
      <c r="AD147" s="31">
        <v>1969.99</v>
      </c>
      <c r="AE147" s="85" t="s">
        <v>7120</v>
      </c>
      <c r="AF147" s="29"/>
      <c r="AG147" s="24"/>
      <c r="AH147" s="32"/>
      <c r="AI147" s="180"/>
      <c r="AJ147" s="31"/>
      <c r="AK147" s="24"/>
      <c r="AL147" s="31">
        <v>284500</v>
      </c>
      <c r="AM147" s="24" t="s">
        <v>7293</v>
      </c>
      <c r="AN147" s="31"/>
      <c r="AO147" s="24"/>
      <c r="AP147" s="31">
        <v>147000</v>
      </c>
      <c r="AQ147" s="209" t="s">
        <v>7336</v>
      </c>
      <c r="AR147" s="31">
        <v>1099</v>
      </c>
      <c r="AS147" s="215" t="s">
        <v>7413</v>
      </c>
      <c r="AT147" s="30">
        <v>100000</v>
      </c>
      <c r="AU147" s="24" t="s">
        <v>7492</v>
      </c>
      <c r="AV147" s="78"/>
      <c r="AW147" s="106"/>
      <c r="AX147" s="78"/>
      <c r="AY147" s="106"/>
      <c r="AZ147" s="148">
        <f>+SUM(AZ133:AZ146)</f>
        <v>474294.75</v>
      </c>
      <c r="BA147" s="24"/>
      <c r="BB147" s="206">
        <v>76123.13</v>
      </c>
      <c r="BC147" s="24" t="s">
        <v>7630</v>
      </c>
      <c r="BD147" s="104">
        <v>100000</v>
      </c>
      <c r="BE147" s="166" t="s">
        <v>7688</v>
      </c>
      <c r="BF147" s="104">
        <v>1970</v>
      </c>
      <c r="BG147" s="24" t="s">
        <v>7773</v>
      </c>
      <c r="BH147" s="183">
        <v>98000</v>
      </c>
      <c r="BI147" s="127" t="s">
        <v>7825</v>
      </c>
      <c r="BJ147" s="72"/>
      <c r="BK147" s="24"/>
      <c r="BL147" s="72"/>
      <c r="BM147" s="24"/>
      <c r="BN147" s="72"/>
      <c r="BO147" s="24"/>
      <c r="BP147" s="72"/>
      <c r="BQ147" s="24"/>
      <c r="BR147" s="72"/>
      <c r="BS147" s="24"/>
      <c r="BT147" s="72"/>
      <c r="BU147" s="24"/>
      <c r="BV147" s="72"/>
      <c r="BW147" s="24"/>
      <c r="BX147" s="72"/>
      <c r="BY147" s="24"/>
      <c r="BZ147" s="72"/>
      <c r="CA147" s="24"/>
      <c r="CB147" s="72"/>
      <c r="CC147" s="24"/>
      <c r="CD147" s="72"/>
      <c r="CE147" s="24"/>
      <c r="CF147" s="72"/>
      <c r="CG147" s="24"/>
      <c r="CH147" s="72"/>
      <c r="CI147" s="24"/>
      <c r="CJ147" s="72"/>
      <c r="CK147" s="24"/>
      <c r="CL147" s="72"/>
      <c r="CM147" s="24"/>
      <c r="CN147" s="72"/>
      <c r="CO147" s="24"/>
      <c r="CP147" s="72"/>
    </row>
    <row r="148" spans="1:94" x14ac:dyDescent="0.25">
      <c r="A148" s="46"/>
      <c r="B148" s="96"/>
      <c r="C148" s="15"/>
      <c r="D148" s="31"/>
      <c r="E148" s="24"/>
      <c r="F148" s="104"/>
      <c r="G148" s="24"/>
      <c r="H148" s="31"/>
      <c r="I148" s="24"/>
      <c r="J148" s="104"/>
      <c r="K148" s="24"/>
      <c r="L148" s="31"/>
      <c r="M148" s="24"/>
      <c r="N148" s="148">
        <f>+SUM(N143:N147)</f>
        <v>525407.4</v>
      </c>
      <c r="O148" s="24"/>
      <c r="P148" s="31"/>
      <c r="Q148" s="24"/>
      <c r="R148" s="31"/>
      <c r="S148" s="24"/>
      <c r="T148" s="104"/>
      <c r="U148" s="24"/>
      <c r="V148" s="31"/>
      <c r="W148" s="24"/>
      <c r="X148" s="31"/>
      <c r="Y148" s="24"/>
      <c r="Z148" s="104">
        <v>2111</v>
      </c>
      <c r="AA148" s="24" t="s">
        <v>7032</v>
      </c>
      <c r="AB148" s="31"/>
      <c r="AC148" s="24"/>
      <c r="AD148" s="31">
        <v>1099</v>
      </c>
      <c r="AE148" s="24" t="s">
        <v>7126</v>
      </c>
      <c r="AF148" s="29"/>
      <c r="AG148" s="24"/>
      <c r="AH148" s="32"/>
      <c r="AI148" s="24"/>
      <c r="AJ148" s="31"/>
      <c r="AK148" s="24"/>
      <c r="AL148" s="148">
        <f>+SUM(AL133:AL147)</f>
        <v>1248000.53</v>
      </c>
      <c r="AM148" s="24"/>
      <c r="AN148" s="31"/>
      <c r="AO148" s="24"/>
      <c r="AP148" s="104">
        <v>3250</v>
      </c>
      <c r="AQ148" s="211" t="s">
        <v>7350</v>
      </c>
      <c r="AR148" s="31">
        <v>5034.99</v>
      </c>
      <c r="AS148" s="215" t="s">
        <v>7414</v>
      </c>
      <c r="AT148" s="104">
        <v>596900</v>
      </c>
      <c r="AU148" s="26" t="s">
        <v>7494</v>
      </c>
      <c r="AV148" s="78"/>
      <c r="AW148" s="106"/>
      <c r="AX148" s="78"/>
      <c r="AY148" s="106"/>
      <c r="AZ148" s="31"/>
      <c r="BA148" s="24"/>
      <c r="BB148" s="104">
        <v>300</v>
      </c>
      <c r="BC148" s="166" t="s">
        <v>7631</v>
      </c>
      <c r="BD148" s="104">
        <v>7500</v>
      </c>
      <c r="BE148" s="166" t="s">
        <v>7689</v>
      </c>
      <c r="BF148" s="104">
        <v>4465</v>
      </c>
      <c r="BG148" s="24" t="s">
        <v>7775</v>
      </c>
      <c r="BH148" s="183">
        <v>160746.89000000001</v>
      </c>
      <c r="BI148" s="127" t="s">
        <v>7829</v>
      </c>
      <c r="BJ148" s="72"/>
      <c r="BK148" s="24"/>
      <c r="BL148" s="72"/>
      <c r="BM148" s="24"/>
      <c r="BN148" s="72"/>
      <c r="BO148" s="24"/>
      <c r="BP148" s="72"/>
      <c r="BQ148" s="24"/>
      <c r="BR148" s="72"/>
      <c r="BS148" s="24"/>
      <c r="BT148" s="72"/>
      <c r="BU148" s="24"/>
      <c r="BV148" s="72"/>
      <c r="BW148" s="24"/>
      <c r="BX148" s="72"/>
      <c r="BY148" s="24"/>
      <c r="BZ148" s="72"/>
      <c r="CA148" s="24"/>
      <c r="CB148" s="72"/>
      <c r="CC148" s="24"/>
      <c r="CD148" s="72"/>
      <c r="CE148" s="24"/>
      <c r="CF148" s="72"/>
      <c r="CG148" s="24"/>
      <c r="CH148" s="72"/>
      <c r="CI148" s="24"/>
      <c r="CJ148" s="72"/>
      <c r="CK148" s="24"/>
      <c r="CL148" s="72"/>
      <c r="CM148" s="24"/>
      <c r="CN148" s="72"/>
      <c r="CO148" s="24"/>
      <c r="CP148" s="72"/>
    </row>
    <row r="149" spans="1:94" x14ac:dyDescent="0.25">
      <c r="B149" s="24"/>
      <c r="C149" s="24"/>
      <c r="D149" s="127"/>
      <c r="E149" s="127"/>
      <c r="F149" s="238"/>
      <c r="G149" s="24"/>
      <c r="H149" s="127"/>
      <c r="I149" s="127"/>
      <c r="J149" s="127"/>
      <c r="K149" s="24"/>
      <c r="L149" s="127"/>
      <c r="M149" s="127"/>
      <c r="N149" s="127"/>
      <c r="O149" s="127"/>
      <c r="P149" s="120"/>
      <c r="Q149" s="120"/>
      <c r="R149" s="146"/>
      <c r="S149" s="120"/>
      <c r="T149" s="173"/>
      <c r="U149" s="24"/>
      <c r="V149" s="120"/>
      <c r="W149" s="120"/>
      <c r="X149" s="120"/>
      <c r="Y149" s="120"/>
      <c r="Z149" s="183">
        <v>1099.01</v>
      </c>
      <c r="AA149" s="24" t="s">
        <v>7033</v>
      </c>
      <c r="AB149" s="31"/>
      <c r="AC149" s="24"/>
      <c r="AD149" s="31">
        <v>3250.01</v>
      </c>
      <c r="AE149" s="85" t="s">
        <v>7127</v>
      </c>
      <c r="AF149" s="29"/>
      <c r="AG149" s="24"/>
      <c r="AH149" s="96"/>
      <c r="AI149" s="120"/>
      <c r="AJ149" s="120"/>
      <c r="AK149" s="120"/>
      <c r="AL149" s="120"/>
      <c r="AM149" s="120"/>
      <c r="AN149" s="128"/>
      <c r="AO149" s="120"/>
      <c r="AP149" s="96">
        <v>4239</v>
      </c>
      <c r="AQ149" s="210" t="s">
        <v>7353</v>
      </c>
      <c r="AR149" s="30"/>
      <c r="AS149" s="24"/>
      <c r="AT149" s="96">
        <v>213000</v>
      </c>
      <c r="AU149" s="120" t="s">
        <v>7495</v>
      </c>
      <c r="AV149" s="150"/>
      <c r="AW149" s="106"/>
      <c r="AX149" s="208"/>
      <c r="AY149" s="120"/>
      <c r="AZ149" s="96"/>
      <c r="BA149" s="26"/>
      <c r="BB149" s="128">
        <f>25150+15000</f>
        <v>40150</v>
      </c>
      <c r="BC149" s="166" t="s">
        <v>7636</v>
      </c>
      <c r="BD149" s="128">
        <v>29866.75</v>
      </c>
      <c r="BE149" s="166" t="s">
        <v>7690</v>
      </c>
      <c r="BF149" s="227">
        <v>9360</v>
      </c>
      <c r="BG149" s="24" t="s">
        <v>7781</v>
      </c>
      <c r="BH149" s="183">
        <v>160746.79999999999</v>
      </c>
      <c r="BI149" s="127" t="s">
        <v>7830</v>
      </c>
      <c r="BJ149" s="127"/>
      <c r="BK149" s="24"/>
      <c r="BL149" s="127"/>
      <c r="BM149" s="24"/>
      <c r="BN149" s="127"/>
      <c r="BO149" s="127"/>
      <c r="BP149" s="236"/>
      <c r="BQ149" s="127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</row>
    <row r="150" spans="1:94" x14ac:dyDescent="0.25">
      <c r="B150" s="24"/>
      <c r="C150" s="24"/>
      <c r="D150" s="127"/>
      <c r="E150" s="127"/>
      <c r="F150" s="237"/>
      <c r="G150" s="127"/>
      <c r="H150" s="127"/>
      <c r="I150" s="239"/>
      <c r="J150" s="9"/>
      <c r="K150" s="15"/>
      <c r="L150" s="127"/>
      <c r="M150" s="127"/>
      <c r="N150" s="127"/>
      <c r="O150" s="127"/>
      <c r="P150" s="120"/>
      <c r="Q150" s="120"/>
      <c r="R150" s="120"/>
      <c r="S150" s="120"/>
      <c r="T150" s="173"/>
      <c r="U150" s="24"/>
      <c r="V150" s="120"/>
      <c r="W150" s="120"/>
      <c r="X150" s="120"/>
      <c r="Y150" s="120"/>
      <c r="Z150" s="183">
        <v>1099.01</v>
      </c>
      <c r="AA150" s="24" t="s">
        <v>7034</v>
      </c>
      <c r="AB150" s="32"/>
      <c r="AC150" s="24"/>
      <c r="AD150" s="151">
        <f>+SUM(AD135:AD149)</f>
        <v>1092539.47</v>
      </c>
      <c r="AE150" s="120"/>
      <c r="AF150" s="128"/>
      <c r="AG150" s="24"/>
      <c r="AH150" s="179"/>
      <c r="AI150" s="120"/>
      <c r="AJ150" s="120"/>
      <c r="AK150" s="120"/>
      <c r="AL150" s="120"/>
      <c r="AM150" s="120"/>
      <c r="AN150" s="150"/>
      <c r="AO150" s="120"/>
      <c r="AP150" s="183">
        <v>4395</v>
      </c>
      <c r="AQ150" s="210" t="s">
        <v>7355</v>
      </c>
      <c r="AR150" s="98">
        <f>1781080.65+90159.89</f>
        <v>1871240.5399999998</v>
      </c>
      <c r="AS150" s="24"/>
      <c r="AT150" s="183">
        <v>17496.05</v>
      </c>
      <c r="AU150" s="120" t="s">
        <v>7496</v>
      </c>
      <c r="AV150" s="199"/>
      <c r="AW150" s="106"/>
      <c r="AX150" s="120"/>
      <c r="AY150" s="120"/>
      <c r="AZ150" s="146"/>
      <c r="BA150" s="120"/>
      <c r="BB150" s="128">
        <v>7023</v>
      </c>
      <c r="BC150" s="166" t="s">
        <v>7641</v>
      </c>
      <c r="BD150" s="128">
        <v>3200</v>
      </c>
      <c r="BE150" s="166" t="s">
        <v>7691</v>
      </c>
      <c r="BF150" s="156">
        <f>+SUM(BF138:BF149)</f>
        <v>460734.92000000004</v>
      </c>
      <c r="BG150" s="24"/>
      <c r="BH150" s="183">
        <v>2040</v>
      </c>
      <c r="BI150" s="127" t="s">
        <v>7841</v>
      </c>
      <c r="BJ150" s="9"/>
      <c r="BK150" s="15"/>
      <c r="BL150" s="127"/>
      <c r="BM150" s="24"/>
      <c r="BN150" s="127"/>
      <c r="BO150" s="127"/>
      <c r="BP150" s="127"/>
      <c r="BQ150" s="127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</row>
    <row r="151" spans="1:94" x14ac:dyDescent="0.25">
      <c r="B151" s="24"/>
      <c r="C151" s="24"/>
      <c r="D151" s="127"/>
      <c r="E151" s="127"/>
      <c r="F151" s="127"/>
      <c r="G151" s="127"/>
      <c r="H151" s="127"/>
      <c r="I151" s="127"/>
      <c r="J151" s="237"/>
      <c r="K151" s="127"/>
      <c r="L151" s="127"/>
      <c r="M151" s="127"/>
      <c r="N151" s="127"/>
      <c r="O151" s="127"/>
      <c r="P151" s="120"/>
      <c r="Q151" s="120"/>
      <c r="R151" s="120"/>
      <c r="S151" s="120"/>
      <c r="T151" s="173"/>
      <c r="U151" s="24"/>
      <c r="V151" s="120"/>
      <c r="W151" s="120"/>
      <c r="X151" s="120"/>
      <c r="Y151" s="120"/>
      <c r="Z151" s="183">
        <v>1099</v>
      </c>
      <c r="AA151" s="24" t="s">
        <v>7035</v>
      </c>
      <c r="AB151" s="31"/>
      <c r="AC151" s="120"/>
      <c r="AD151" s="120"/>
      <c r="AE151" s="120"/>
      <c r="AF151" s="128"/>
      <c r="AG151" s="24"/>
      <c r="AH151" s="128"/>
      <c r="AI151" s="120"/>
      <c r="AJ151" s="120"/>
      <c r="AK151" s="120"/>
      <c r="AL151" s="120"/>
      <c r="AM151" s="120"/>
      <c r="AN151" s="128"/>
      <c r="AO151" s="120"/>
      <c r="AP151" s="128">
        <v>180000</v>
      </c>
      <c r="AQ151" s="210" t="s">
        <v>7375</v>
      </c>
      <c r="AR151" s="32"/>
      <c r="AS151" s="120"/>
      <c r="AT151" s="156">
        <f>+SUM(AT147:AT150)</f>
        <v>927396.05</v>
      </c>
      <c r="AU151" s="120"/>
      <c r="AV151" s="146"/>
      <c r="AW151" s="120"/>
      <c r="AX151" s="120"/>
      <c r="AY151" s="120"/>
      <c r="AZ151" s="128"/>
      <c r="BA151" s="120"/>
      <c r="BB151" s="128">
        <v>1633</v>
      </c>
      <c r="BC151" s="166" t="s">
        <v>7645</v>
      </c>
      <c r="BD151" s="128">
        <v>100000</v>
      </c>
      <c r="BE151" s="166" t="s">
        <v>7692</v>
      </c>
      <c r="BF151" s="128"/>
      <c r="BG151" s="24"/>
      <c r="BH151" s="183">
        <v>2040</v>
      </c>
      <c r="BI151" s="153" t="s">
        <v>7842</v>
      </c>
      <c r="BJ151" s="237"/>
      <c r="BK151" s="127"/>
      <c r="BL151" s="127"/>
      <c r="BM151" s="24"/>
      <c r="BN151" s="127"/>
      <c r="BO151" s="127"/>
      <c r="BP151" s="127"/>
      <c r="BQ151" s="127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</row>
    <row r="152" spans="1:94" x14ac:dyDescent="0.25">
      <c r="B152" s="24"/>
      <c r="C152" s="24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0"/>
      <c r="Q152" s="120"/>
      <c r="R152" s="120"/>
      <c r="S152" s="120"/>
      <c r="T152" s="173"/>
      <c r="U152" s="24"/>
      <c r="V152" s="120"/>
      <c r="W152" s="120"/>
      <c r="X152" s="120"/>
      <c r="Y152" s="120"/>
      <c r="Z152" s="183">
        <v>1090</v>
      </c>
      <c r="AA152" s="24" t="s">
        <v>7036</v>
      </c>
      <c r="AB152" s="120"/>
      <c r="AC152" s="120"/>
      <c r="AD152" s="120"/>
      <c r="AE152" s="120"/>
      <c r="AF152" s="128"/>
      <c r="AG152" s="24"/>
      <c r="AH152" s="128"/>
      <c r="AI152" s="127"/>
      <c r="AJ152" s="120"/>
      <c r="AK152" s="120"/>
      <c r="AL152" s="120"/>
      <c r="AM152" s="120"/>
      <c r="AN152" s="146"/>
      <c r="AO152" s="120"/>
      <c r="AP152" s="151">
        <f>+SUM(AP140:AP151)</f>
        <v>1192770.7999999998</v>
      </c>
      <c r="AQ152" s="189"/>
      <c r="AR152" s="128">
        <v>1995</v>
      </c>
      <c r="AS152" s="120" t="s">
        <v>7486</v>
      </c>
      <c r="AT152" s="120"/>
      <c r="AU152" s="120"/>
      <c r="AV152" s="120"/>
      <c r="AW152" s="120"/>
      <c r="AX152" s="120"/>
      <c r="AY152" s="120"/>
      <c r="AZ152" s="128"/>
      <c r="BA152" s="120"/>
      <c r="BB152" s="128">
        <v>1169</v>
      </c>
      <c r="BC152" s="226" t="s">
        <v>7647</v>
      </c>
      <c r="BD152" s="128">
        <v>2842.51</v>
      </c>
      <c r="BE152" s="166" t="s">
        <v>7697</v>
      </c>
      <c r="BF152" s="128"/>
      <c r="BG152" s="24"/>
      <c r="BH152" s="199">
        <v>5259.01</v>
      </c>
      <c r="BI152" s="127" t="s">
        <v>7845</v>
      </c>
      <c r="BJ152" s="127"/>
      <c r="BK152" s="127"/>
      <c r="BL152" s="127"/>
      <c r="BM152" s="24"/>
      <c r="BN152" s="127"/>
      <c r="BO152" s="127"/>
      <c r="BP152" s="127"/>
      <c r="BQ152" s="127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</row>
    <row r="153" spans="1:94" x14ac:dyDescent="0.25">
      <c r="B153" s="72"/>
      <c r="C153" s="24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0"/>
      <c r="Q153" s="120"/>
      <c r="R153" s="120"/>
      <c r="S153" s="120"/>
      <c r="T153" s="191"/>
      <c r="U153" s="120"/>
      <c r="V153" s="120"/>
      <c r="W153" s="120"/>
      <c r="X153" s="120"/>
      <c r="Y153" s="120"/>
      <c r="Z153" s="183">
        <v>6780.19</v>
      </c>
      <c r="AA153" s="24" t="s">
        <v>7040</v>
      </c>
      <c r="AB153" s="120"/>
      <c r="AC153" s="120"/>
      <c r="AD153" s="120"/>
      <c r="AE153" s="120"/>
      <c r="AF153" s="128"/>
      <c r="AG153" s="24"/>
      <c r="AH153" s="146"/>
      <c r="AI153" s="120"/>
      <c r="AJ153" s="120"/>
      <c r="AK153" s="120"/>
      <c r="AL153" s="120"/>
      <c r="AM153" s="120"/>
      <c r="AN153" s="128"/>
      <c r="AO153" s="120"/>
      <c r="AP153" s="146"/>
      <c r="AQ153" s="120"/>
      <c r="AR153" s="128">
        <v>2695</v>
      </c>
      <c r="AS153" s="120" t="s">
        <v>7489</v>
      </c>
      <c r="AT153" s="120"/>
      <c r="AU153" s="120"/>
      <c r="AV153" s="120"/>
      <c r="AW153" s="120"/>
      <c r="AX153" s="120"/>
      <c r="AY153" s="120"/>
      <c r="AZ153" s="128"/>
      <c r="BA153" s="127"/>
      <c r="BB153" s="128">
        <v>2414.79</v>
      </c>
      <c r="BC153" s="166" t="s">
        <v>7648</v>
      </c>
      <c r="BD153" s="128">
        <v>1169.05</v>
      </c>
      <c r="BE153" s="166" t="s">
        <v>7701</v>
      </c>
      <c r="BF153" s="128"/>
      <c r="BG153" s="24"/>
      <c r="BH153" s="183">
        <v>1495.75</v>
      </c>
      <c r="BI153" s="127" t="s">
        <v>7861</v>
      </c>
      <c r="BJ153" s="127"/>
      <c r="BK153" s="127"/>
      <c r="BL153" s="9"/>
      <c r="BM153" s="15"/>
      <c r="BN153" s="127"/>
      <c r="BO153" s="127"/>
      <c r="BP153" s="127"/>
      <c r="BQ153" s="127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</row>
    <row r="154" spans="1:94" x14ac:dyDescent="0.25">
      <c r="B154" s="54"/>
      <c r="C154" s="54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96">
        <v>1519</v>
      </c>
      <c r="AA154" s="26" t="s">
        <v>7019</v>
      </c>
      <c r="AB154" s="120"/>
      <c r="AC154" s="120"/>
      <c r="AD154" s="120"/>
      <c r="AE154" s="120"/>
      <c r="AF154" s="196"/>
      <c r="AG154" s="24"/>
      <c r="AH154" s="128"/>
      <c r="AI154" s="120"/>
      <c r="AJ154" s="120"/>
      <c r="AK154" s="120"/>
      <c r="AL154" s="120"/>
      <c r="AM154" s="120"/>
      <c r="AN154" s="120"/>
      <c r="AO154" s="120"/>
      <c r="AP154" s="128"/>
      <c r="AQ154" s="120"/>
      <c r="AR154" s="128">
        <v>85201.25</v>
      </c>
      <c r="AS154" s="120" t="s">
        <v>7490</v>
      </c>
      <c r="AT154" s="120"/>
      <c r="AU154" s="120"/>
      <c r="AV154" s="120"/>
      <c r="AW154" s="120"/>
      <c r="AX154" s="120"/>
      <c r="AY154" s="120"/>
      <c r="AZ154" s="128"/>
      <c r="BA154" s="127"/>
      <c r="BB154" s="128">
        <v>4395</v>
      </c>
      <c r="BC154" s="166" t="s">
        <v>7650</v>
      </c>
      <c r="BD154" s="128">
        <v>1169</v>
      </c>
      <c r="BE154" s="166" t="s">
        <v>7719</v>
      </c>
      <c r="BF154" s="150"/>
      <c r="BG154" s="120"/>
      <c r="BH154" s="221">
        <f>+SUM(BH139:BH153)</f>
        <v>1363311.28</v>
      </c>
      <c r="BI154" s="120"/>
      <c r="BJ154" s="127"/>
      <c r="BK154" s="127"/>
      <c r="BL154" s="229"/>
      <c r="BM154" s="127"/>
      <c r="BN154" s="127"/>
      <c r="BO154" s="127"/>
      <c r="BP154" s="127"/>
      <c r="BQ154" s="127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</row>
    <row r="155" spans="1:94" x14ac:dyDescent="0.25">
      <c r="B155" s="72"/>
      <c r="C155" s="24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51">
        <f>+SUM(Z141:Z154)</f>
        <v>645782.40999999992</v>
      </c>
      <c r="AA155" s="120"/>
      <c r="AB155" s="120"/>
      <c r="AC155" s="120"/>
      <c r="AD155" s="120"/>
      <c r="AE155" s="120"/>
      <c r="AF155" s="128"/>
      <c r="AG155" s="24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221">
        <f>+AR152+AR153+AR154</f>
        <v>89891.25</v>
      </c>
      <c r="AS155" s="120"/>
      <c r="AT155" s="120"/>
      <c r="AU155" s="120"/>
      <c r="AV155" s="120"/>
      <c r="AW155" s="120"/>
      <c r="AX155" s="120"/>
      <c r="AY155" s="120"/>
      <c r="AZ155" s="128"/>
      <c r="BA155" s="127"/>
      <c r="BB155" s="128">
        <v>4395</v>
      </c>
      <c r="BC155" s="166" t="s">
        <v>7651</v>
      </c>
      <c r="BD155" s="199">
        <v>2040</v>
      </c>
      <c r="BE155" s="24" t="s">
        <v>7724</v>
      </c>
      <c r="BF155" s="120"/>
      <c r="BG155" s="120"/>
      <c r="BH155" s="128"/>
      <c r="BI155" s="120"/>
      <c r="BJ155" s="127"/>
      <c r="BK155" s="127"/>
      <c r="BL155" s="127"/>
      <c r="BM155" s="127"/>
      <c r="BN155" s="127"/>
      <c r="BO155" s="127"/>
      <c r="BP155" s="127"/>
      <c r="BQ155" s="127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</row>
    <row r="156" spans="1:94" x14ac:dyDescent="0.25">
      <c r="B156" s="72"/>
      <c r="C156" s="24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51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46"/>
      <c r="BA156" s="120"/>
      <c r="BB156" s="151">
        <f>+SUM(BB135:BB155)</f>
        <v>1017615.51</v>
      </c>
      <c r="BC156" s="120"/>
      <c r="BD156" s="151">
        <f>+SUM(BD148:BD155)</f>
        <v>147787.31</v>
      </c>
      <c r="BE156" s="24"/>
      <c r="BF156" s="120"/>
      <c r="BG156" s="120"/>
      <c r="BH156" s="120"/>
      <c r="BI156" s="120"/>
      <c r="BJ156" s="127"/>
      <c r="BK156" s="127"/>
      <c r="BL156" s="127"/>
      <c r="BM156" s="127"/>
      <c r="BN156" s="127"/>
      <c r="BO156" s="127"/>
      <c r="BP156" s="127"/>
      <c r="BQ156" s="127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</row>
    <row r="157" spans="1:94" x14ac:dyDescent="0.25">
      <c r="B157" s="72"/>
      <c r="C157" s="24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8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8"/>
      <c r="BA157" s="127"/>
      <c r="BB157" s="120"/>
      <c r="BC157" s="120"/>
      <c r="BD157" s="94"/>
      <c r="BE157" s="15"/>
      <c r="BF157" s="9"/>
      <c r="BG157" s="120"/>
      <c r="BH157" s="120"/>
      <c r="BI157" s="120"/>
      <c r="BJ157" s="127"/>
      <c r="BK157" s="127"/>
      <c r="BL157" s="127"/>
      <c r="BM157" s="127"/>
      <c r="BN157" s="127"/>
      <c r="BO157" s="127"/>
      <c r="BP157" s="127"/>
      <c r="BQ157" s="127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</row>
    <row r="158" spans="1:94" x14ac:dyDescent="0.25">
      <c r="B158" s="74"/>
      <c r="C158" s="58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94"/>
      <c r="BE158" s="120"/>
      <c r="BF158" s="120"/>
      <c r="BG158" s="120"/>
      <c r="BH158" s="120"/>
      <c r="BI158" s="120"/>
      <c r="BJ158" s="127"/>
      <c r="BK158" s="127"/>
      <c r="BL158" s="228"/>
      <c r="BM158" s="127"/>
      <c r="BN158" s="127"/>
      <c r="BO158" s="127"/>
      <c r="BP158" s="127"/>
      <c r="BQ158" s="127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</row>
    <row r="159" spans="1:94" x14ac:dyDescent="0.25">
      <c r="B159" s="72"/>
      <c r="C159" s="24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8"/>
      <c r="BE159" s="120"/>
      <c r="BF159" s="120"/>
      <c r="BG159" s="120"/>
      <c r="BH159" s="120"/>
      <c r="BI159" s="120"/>
      <c r="BJ159" s="127"/>
      <c r="BK159" s="127"/>
      <c r="BL159" s="127"/>
      <c r="BM159" s="127"/>
      <c r="BN159" s="127"/>
      <c r="BO159" s="127"/>
      <c r="BP159" s="127"/>
      <c r="BQ159" s="127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</row>
    <row r="160" spans="1:94" x14ac:dyDescent="0.25">
      <c r="B160" s="11"/>
      <c r="C160" s="13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5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</row>
    <row r="161" spans="2:69" x14ac:dyDescent="0.25"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4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</row>
    <row r="162" spans="2:69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</row>
    <row r="163" spans="2:69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</row>
    <row r="164" spans="2:69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</row>
    <row r="165" spans="2:69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</row>
    <row r="166" spans="2:69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</row>
    <row r="167" spans="2:69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</row>
    <row r="168" spans="2:69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</row>
    <row r="169" spans="2:69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</row>
    <row r="170" spans="2:69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</row>
    <row r="171" spans="2:69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</row>
    <row r="172" spans="2:69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</row>
    <row r="173" spans="2:69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</row>
    <row r="174" spans="2:69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</row>
    <row r="175" spans="2:69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</row>
    <row r="176" spans="2:69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</row>
    <row r="177" spans="2:49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</row>
    <row r="178" spans="2:49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</row>
    <row r="179" spans="2:49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</row>
    <row r="180" spans="2:49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</row>
    <row r="181" spans="2:49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</row>
    <row r="182" spans="2:49" x14ac:dyDescent="0.25"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</row>
    <row r="183" spans="2:49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</row>
    <row r="184" spans="2:49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</row>
    <row r="185" spans="2:49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</row>
    <row r="186" spans="2:49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87"/>
  <sheetViews>
    <sheetView zoomScale="110" zoomScaleNormal="110" workbookViewId="0">
      <pane xSplit="1" ySplit="1" topLeftCell="AY2" activePane="bottomRight" state="frozen"/>
      <selection pane="topRight" activeCell="B1" sqref="B1"/>
      <selection pane="bottomLeft" activeCell="A2" sqref="A2"/>
      <selection pane="bottomRight" activeCell="BJ15" sqref="BJ15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4.5703125" bestFit="1" customWidth="1"/>
    <col min="8" max="8" width="13.42578125" bestFit="1" customWidth="1"/>
    <col min="9" max="9" width="12.28515625" bestFit="1" customWidth="1"/>
    <col min="10" max="10" width="13.42578125" bestFit="1" customWidth="1"/>
    <col min="12" max="12" width="13.42578125" bestFit="1" customWidth="1"/>
    <col min="14" max="14" width="13.140625" bestFit="1" customWidth="1"/>
    <col min="16" max="16" width="13.42578125" bestFit="1" customWidth="1"/>
    <col min="18" max="18" width="14.85546875" bestFit="1" customWidth="1"/>
    <col min="20" max="20" width="14.5703125" bestFit="1" customWidth="1"/>
    <col min="22" max="22" width="13.140625" bestFit="1" customWidth="1"/>
    <col min="24" max="24" width="14.5703125" bestFit="1" customWidth="1"/>
    <col min="26" max="26" width="13.5703125" bestFit="1" customWidth="1"/>
    <col min="28" max="28" width="13.42578125" bestFit="1" customWidth="1"/>
    <col min="30" max="30" width="14.5703125" customWidth="1"/>
    <col min="32" max="32" width="13.85546875" bestFit="1" customWidth="1"/>
    <col min="33" max="33" width="13.140625" bestFit="1" customWidth="1"/>
    <col min="34" max="34" width="14.85546875" customWidth="1"/>
    <col min="36" max="36" width="13.5703125" bestFit="1" customWidth="1"/>
    <col min="38" max="38" width="13.42578125" bestFit="1" customWidth="1"/>
    <col min="40" max="40" width="15.28515625" bestFit="1" customWidth="1"/>
    <col min="42" max="42" width="13.85546875" bestFit="1" customWidth="1"/>
    <col min="44" max="44" width="13.7109375" customWidth="1"/>
    <col min="46" max="46" width="13" bestFit="1" customWidth="1"/>
    <col min="48" max="48" width="13.85546875" bestFit="1" customWidth="1"/>
    <col min="50" max="50" width="12.7109375" bestFit="1" customWidth="1"/>
    <col min="52" max="52" width="13.85546875" bestFit="1" customWidth="1"/>
    <col min="54" max="54" width="13.85546875" bestFit="1" customWidth="1"/>
    <col min="56" max="56" width="13.85546875" bestFit="1" customWidth="1"/>
    <col min="57" max="57" width="12.7109375" bestFit="1" customWidth="1"/>
    <col min="58" max="58" width="13.85546875" bestFit="1" customWidth="1"/>
    <col min="60" max="60" width="13.85546875" bestFit="1" customWidth="1"/>
    <col min="62" max="62" width="13.140625" bestFit="1" customWidth="1"/>
    <col min="63" max="63" width="11.5703125" bestFit="1" customWidth="1"/>
    <col min="64" max="64" width="13.42578125" bestFit="1" customWidth="1"/>
    <col min="66" max="66" width="13.42578125" bestFit="1" customWidth="1"/>
    <col min="68" max="68" width="15.28515625" bestFit="1" customWidth="1"/>
  </cols>
  <sheetData>
    <row r="1" spans="1:94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4" x14ac:dyDescent="0.25">
      <c r="A2" s="47"/>
      <c r="B2" s="142">
        <v>42917</v>
      </c>
      <c r="C2" s="142"/>
      <c r="D2" s="141">
        <v>42918</v>
      </c>
      <c r="E2" s="142"/>
      <c r="F2" s="141">
        <v>42919</v>
      </c>
      <c r="G2" s="142"/>
      <c r="H2" s="141">
        <v>42920</v>
      </c>
      <c r="I2" s="142"/>
      <c r="J2" s="141">
        <v>42921</v>
      </c>
      <c r="K2" s="142"/>
      <c r="L2" s="141">
        <v>42922</v>
      </c>
      <c r="M2" s="142"/>
      <c r="N2" s="141">
        <v>42923</v>
      </c>
      <c r="O2" s="142"/>
      <c r="P2" s="141">
        <v>42924</v>
      </c>
      <c r="Q2" s="142"/>
      <c r="R2" s="141">
        <v>42925</v>
      </c>
      <c r="S2" s="142"/>
      <c r="T2" s="141">
        <v>42926</v>
      </c>
      <c r="U2" s="142"/>
      <c r="V2" s="141">
        <v>42927</v>
      </c>
      <c r="W2" s="142"/>
      <c r="X2" s="141">
        <v>42928</v>
      </c>
      <c r="Y2" s="142"/>
      <c r="Z2" s="141">
        <v>42929</v>
      </c>
      <c r="AA2" s="142"/>
      <c r="AB2" s="141">
        <v>42930</v>
      </c>
      <c r="AC2" s="142"/>
      <c r="AD2" s="141">
        <v>42931</v>
      </c>
      <c r="AE2" s="142"/>
      <c r="AF2" s="141">
        <v>42932</v>
      </c>
      <c r="AG2" s="142"/>
      <c r="AH2" s="141">
        <v>42933</v>
      </c>
      <c r="AI2" s="142"/>
      <c r="AJ2" s="141">
        <v>42934</v>
      </c>
      <c r="AK2" s="142"/>
      <c r="AL2" s="141">
        <v>42935</v>
      </c>
      <c r="AM2" s="142"/>
      <c r="AN2" s="141">
        <v>42936</v>
      </c>
      <c r="AO2" s="142"/>
      <c r="AP2" s="141">
        <v>42937</v>
      </c>
      <c r="AQ2" s="142"/>
      <c r="AR2" s="141">
        <v>42938</v>
      </c>
      <c r="AS2" s="142"/>
      <c r="AT2" s="141">
        <v>42940</v>
      </c>
      <c r="AU2" s="142"/>
      <c r="AV2" s="141">
        <v>42941</v>
      </c>
      <c r="AW2" s="142"/>
      <c r="AX2" s="141">
        <v>42942</v>
      </c>
      <c r="AY2" s="142"/>
      <c r="AZ2" s="141">
        <v>42943</v>
      </c>
      <c r="BA2" s="142"/>
      <c r="BB2" s="141">
        <v>42944</v>
      </c>
      <c r="BC2" s="142"/>
      <c r="BD2" s="141">
        <v>42945</v>
      </c>
      <c r="BE2" s="142"/>
      <c r="BF2" s="141">
        <v>42947</v>
      </c>
      <c r="BG2" s="142"/>
      <c r="BH2" s="141"/>
      <c r="BI2" s="142"/>
      <c r="BJ2" s="231"/>
      <c r="BK2" s="232"/>
      <c r="BL2" s="231"/>
      <c r="BM2" s="232"/>
      <c r="BN2" s="231"/>
      <c r="BO2" s="232"/>
      <c r="BP2" s="231"/>
      <c r="BQ2" s="232"/>
      <c r="BR2" s="231"/>
      <c r="BS2" s="232"/>
      <c r="BT2" s="231"/>
      <c r="BU2" s="232"/>
      <c r="BV2" s="231"/>
      <c r="BW2" s="232"/>
      <c r="BX2" s="231"/>
      <c r="BY2" s="232"/>
      <c r="BZ2" s="231"/>
      <c r="CA2" s="232"/>
      <c r="CB2" s="231"/>
      <c r="CC2" s="232"/>
      <c r="CD2" s="231"/>
      <c r="CE2" s="232"/>
      <c r="CF2" s="65"/>
      <c r="CG2" s="233"/>
      <c r="CH2" s="65"/>
      <c r="CI2" s="233"/>
      <c r="CJ2" s="65"/>
      <c r="CK2" s="233"/>
      <c r="CL2" s="65"/>
      <c r="CM2" s="233"/>
      <c r="CN2" s="65"/>
      <c r="CO2" s="233"/>
      <c r="CP2" s="65"/>
    </row>
    <row r="3" spans="1:94" x14ac:dyDescent="0.25">
      <c r="A3" s="38" t="s">
        <v>0</v>
      </c>
      <c r="B3" s="143">
        <v>28840.13</v>
      </c>
      <c r="C3" s="15"/>
      <c r="D3" s="143">
        <v>3000</v>
      </c>
      <c r="E3" s="15"/>
      <c r="F3" s="143">
        <v>709.95</v>
      </c>
      <c r="G3" s="15"/>
      <c r="H3" s="143">
        <v>27615.8</v>
      </c>
      <c r="I3" s="15"/>
      <c r="J3" s="143">
        <v>191853</v>
      </c>
      <c r="K3" s="15"/>
      <c r="L3" s="143">
        <v>21142.06</v>
      </c>
      <c r="M3" s="15"/>
      <c r="N3" s="143">
        <v>118056.88</v>
      </c>
      <c r="O3" s="15"/>
      <c r="P3" s="143">
        <v>177874.85</v>
      </c>
      <c r="Q3" s="15"/>
      <c r="R3" s="143">
        <v>5000</v>
      </c>
      <c r="S3" s="15"/>
      <c r="T3" s="143">
        <v>7018.62</v>
      </c>
      <c r="U3" s="15"/>
      <c r="V3" s="143">
        <v>9157.01</v>
      </c>
      <c r="W3" s="15"/>
      <c r="X3" s="143">
        <v>19222.23</v>
      </c>
      <c r="Y3" s="15"/>
      <c r="Z3" s="143">
        <v>11410.74</v>
      </c>
      <c r="AA3" s="15"/>
      <c r="AB3" s="98">
        <v>116875.77</v>
      </c>
      <c r="AC3" s="15"/>
      <c r="AD3" s="143">
        <v>100507.73</v>
      </c>
      <c r="AE3" s="15"/>
      <c r="AF3" s="143">
        <v>7000</v>
      </c>
      <c r="AG3" s="15"/>
      <c r="AH3" s="143">
        <v>3405.37</v>
      </c>
      <c r="AI3" s="15"/>
      <c r="AJ3" s="143">
        <v>50351.62</v>
      </c>
      <c r="AK3" s="15"/>
      <c r="AL3" s="143">
        <v>1623.32</v>
      </c>
      <c r="AM3" s="15"/>
      <c r="AN3" s="143">
        <v>3563.45</v>
      </c>
      <c r="AO3" s="15"/>
      <c r="AP3" s="143">
        <v>5619.94</v>
      </c>
      <c r="AQ3" s="15"/>
      <c r="AR3" s="143">
        <v>61393.38</v>
      </c>
      <c r="AS3" s="15"/>
      <c r="AT3" s="143">
        <v>171220.94</v>
      </c>
      <c r="AU3" s="15"/>
      <c r="AV3" s="143">
        <v>166973</v>
      </c>
      <c r="AW3" s="15"/>
      <c r="AX3" s="143">
        <v>5963.47</v>
      </c>
      <c r="AY3" s="15"/>
      <c r="AZ3" s="143">
        <v>1660.21</v>
      </c>
      <c r="BA3" s="15"/>
      <c r="BB3" s="143">
        <v>27675.43</v>
      </c>
      <c r="BC3" s="15"/>
      <c r="BD3" s="143">
        <v>46709.99</v>
      </c>
      <c r="BE3" s="15"/>
      <c r="BF3" s="143">
        <v>33019.68</v>
      </c>
      <c r="BG3" s="15"/>
      <c r="BH3" s="143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</row>
    <row r="4" spans="1:94" x14ac:dyDescent="0.25">
      <c r="A4" s="39"/>
      <c r="B4" s="98"/>
      <c r="C4" s="15"/>
      <c r="D4" s="98"/>
      <c r="E4" s="15"/>
      <c r="F4" s="98">
        <v>102745.32</v>
      </c>
      <c r="G4" s="15"/>
      <c r="H4" s="98">
        <v>96185.43</v>
      </c>
      <c r="I4" s="15"/>
      <c r="J4" s="98">
        <v>46778.68</v>
      </c>
      <c r="K4" s="15"/>
      <c r="L4" s="98">
        <v>9666.01</v>
      </c>
      <c r="M4" s="15"/>
      <c r="N4" s="98">
        <v>2368</v>
      </c>
      <c r="O4" s="15"/>
      <c r="P4" s="98"/>
      <c r="Q4" s="15"/>
      <c r="R4" s="98"/>
      <c r="S4" s="15"/>
      <c r="T4" s="98">
        <v>132648.25</v>
      </c>
      <c r="U4" s="15"/>
      <c r="V4" s="98">
        <v>75044.08</v>
      </c>
      <c r="W4" s="15"/>
      <c r="X4" s="98">
        <v>31804.91</v>
      </c>
      <c r="Y4" s="15"/>
      <c r="Z4" s="98">
        <v>129666.66</v>
      </c>
      <c r="AA4" s="15"/>
      <c r="AB4" s="98">
        <v>219058.73</v>
      </c>
      <c r="AC4" s="15"/>
      <c r="AD4" s="98"/>
      <c r="AE4" s="15"/>
      <c r="AF4" s="98"/>
      <c r="AG4" s="15"/>
      <c r="AH4" s="98">
        <v>81887.33</v>
      </c>
      <c r="AI4" s="15"/>
      <c r="AJ4" s="98">
        <v>140098.35999999999</v>
      </c>
      <c r="AK4" s="15"/>
      <c r="AL4" s="98">
        <v>82904.72</v>
      </c>
      <c r="AM4" s="15"/>
      <c r="AN4" s="98">
        <v>58953.97</v>
      </c>
      <c r="AO4" s="15"/>
      <c r="AP4" s="98">
        <v>245612.97</v>
      </c>
      <c r="AQ4" s="15"/>
      <c r="AR4" s="98"/>
      <c r="AS4" s="15"/>
      <c r="AT4" s="98">
        <v>61940.6</v>
      </c>
      <c r="AU4" s="15"/>
      <c r="AV4" s="98">
        <v>35486.69</v>
      </c>
      <c r="AW4" s="15"/>
      <c r="AX4" s="98">
        <v>38902.910000000003</v>
      </c>
      <c r="AY4" s="15"/>
      <c r="AZ4" s="98">
        <v>55896.87</v>
      </c>
      <c r="BA4" s="15"/>
      <c r="BB4" s="98">
        <v>2065</v>
      </c>
      <c r="BC4" s="15"/>
      <c r="BD4" s="98"/>
      <c r="BE4" s="15"/>
      <c r="BF4" s="98"/>
      <c r="BG4" s="15"/>
      <c r="BH4" s="98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</row>
    <row r="5" spans="1:94" x14ac:dyDescent="0.25">
      <c r="A5" s="48"/>
      <c r="B5" s="18"/>
      <c r="C5" s="59"/>
      <c r="D5" s="18"/>
      <c r="E5" s="59"/>
      <c r="F5" s="18"/>
      <c r="G5" s="59"/>
      <c r="H5" s="18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75"/>
      <c r="Y5" s="59"/>
      <c r="Z5" s="18"/>
      <c r="AA5" s="59"/>
      <c r="AB5" s="18"/>
      <c r="AC5" s="59"/>
      <c r="AD5" s="18"/>
      <c r="AE5" s="59"/>
      <c r="AF5" s="18"/>
      <c r="AG5" s="59"/>
      <c r="AH5" s="18"/>
      <c r="AI5" s="59"/>
      <c r="AJ5" s="18"/>
      <c r="AK5" s="59"/>
      <c r="AL5" s="75"/>
      <c r="AM5" s="25"/>
      <c r="AN5" s="75"/>
      <c r="AO5" s="59"/>
      <c r="AP5" s="75"/>
      <c r="AQ5" s="59"/>
      <c r="AR5" s="18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75"/>
      <c r="BK5" s="25"/>
      <c r="BL5" s="75"/>
      <c r="BM5" s="25"/>
      <c r="BN5" s="75"/>
      <c r="BO5" s="25"/>
      <c r="BP5" s="75"/>
      <c r="BQ5" s="25"/>
      <c r="BR5" s="75"/>
      <c r="BS5" s="25"/>
      <c r="BT5" s="75"/>
      <c r="BU5" s="25"/>
      <c r="BV5" s="75"/>
      <c r="BW5" s="25"/>
      <c r="BX5" s="75"/>
      <c r="BY5" s="25"/>
      <c r="BZ5" s="75"/>
      <c r="CA5" s="25"/>
      <c r="CB5" s="75"/>
      <c r="CC5" s="25"/>
      <c r="CD5" s="75"/>
      <c r="CE5" s="25"/>
      <c r="CF5" s="76"/>
      <c r="CG5" s="234"/>
      <c r="CH5" s="76"/>
      <c r="CI5" s="234"/>
      <c r="CJ5" s="76"/>
      <c r="CK5" s="234"/>
      <c r="CL5" s="76"/>
      <c r="CM5" s="234"/>
      <c r="CN5" s="76"/>
      <c r="CO5" s="234"/>
      <c r="CP5" s="76"/>
    </row>
    <row r="6" spans="1:94" x14ac:dyDescent="0.25">
      <c r="A6" s="41"/>
      <c r="B6" s="9">
        <v>8487.1299999999992</v>
      </c>
      <c r="C6" s="15" t="s">
        <v>7869</v>
      </c>
      <c r="D6" s="9">
        <v>3000</v>
      </c>
      <c r="E6" s="15" t="s">
        <v>7905</v>
      </c>
      <c r="F6" s="9">
        <v>709.95</v>
      </c>
      <c r="G6" s="15" t="s">
        <v>7914</v>
      </c>
      <c r="H6" s="112">
        <v>11317.81</v>
      </c>
      <c r="I6" s="15" t="s">
        <v>7948</v>
      </c>
      <c r="J6" s="9">
        <v>2238.73</v>
      </c>
      <c r="K6" s="15" t="s">
        <v>7985</v>
      </c>
      <c r="L6" s="9">
        <v>5000</v>
      </c>
      <c r="M6" s="15" t="s">
        <v>8052</v>
      </c>
      <c r="N6" s="9">
        <v>3008.45</v>
      </c>
      <c r="O6" s="15" t="s">
        <v>8071</v>
      </c>
      <c r="P6" s="9">
        <v>232</v>
      </c>
      <c r="Q6" s="15" t="s">
        <v>8120</v>
      </c>
      <c r="R6" s="9">
        <v>5000</v>
      </c>
      <c r="S6" s="15" t="s">
        <v>8169</v>
      </c>
      <c r="T6" s="9">
        <v>5000</v>
      </c>
      <c r="U6" s="15" t="s">
        <v>8172</v>
      </c>
      <c r="V6" s="9">
        <v>2400</v>
      </c>
      <c r="W6" s="15" t="s">
        <v>8224</v>
      </c>
      <c r="X6" s="9">
        <v>3000</v>
      </c>
      <c r="Y6" s="15" t="s">
        <v>8317</v>
      </c>
      <c r="Z6" s="9">
        <v>8307.77</v>
      </c>
      <c r="AA6" s="15" t="s">
        <v>8369</v>
      </c>
      <c r="AB6" s="9">
        <v>100000</v>
      </c>
      <c r="AC6" s="15" t="s">
        <v>8469</v>
      </c>
      <c r="AD6" s="72">
        <v>1500</v>
      </c>
      <c r="AE6" s="86" t="s">
        <v>8424</v>
      </c>
      <c r="AF6" s="72">
        <v>2000</v>
      </c>
      <c r="AG6" s="15" t="s">
        <v>8516</v>
      </c>
      <c r="AH6" s="9">
        <v>800</v>
      </c>
      <c r="AI6" s="15" t="s">
        <v>8496</v>
      </c>
      <c r="AJ6" s="72">
        <v>1000</v>
      </c>
      <c r="AK6" s="15" t="s">
        <v>8529</v>
      </c>
      <c r="AL6" s="9">
        <v>185.74</v>
      </c>
      <c r="AM6" s="15" t="s">
        <v>8600</v>
      </c>
      <c r="AN6" s="9">
        <v>513.05999999999995</v>
      </c>
      <c r="AO6" s="26" t="s">
        <v>8653</v>
      </c>
      <c r="AP6" s="9">
        <v>696</v>
      </c>
      <c r="AQ6" s="15" t="s">
        <v>8716</v>
      </c>
      <c r="AR6" s="9">
        <v>3480</v>
      </c>
      <c r="AS6" s="15" t="s">
        <v>8779</v>
      </c>
      <c r="AT6" s="72">
        <v>7000</v>
      </c>
      <c r="AU6" s="24" t="s">
        <v>8819</v>
      </c>
      <c r="AV6" s="9">
        <v>100000</v>
      </c>
      <c r="AW6" s="15" t="s">
        <v>8888</v>
      </c>
      <c r="AX6" s="9">
        <v>837.82</v>
      </c>
      <c r="AY6" s="15"/>
      <c r="AZ6" s="9">
        <v>561.20000000000005</v>
      </c>
      <c r="BA6" s="15" t="s">
        <v>9000</v>
      </c>
      <c r="BB6" s="7">
        <v>100</v>
      </c>
      <c r="BC6" s="26" t="s">
        <v>9010</v>
      </c>
      <c r="BD6" s="9">
        <v>1369</v>
      </c>
      <c r="BE6" s="15" t="s">
        <v>9086</v>
      </c>
      <c r="BF6" s="9">
        <v>5000</v>
      </c>
      <c r="BG6" s="15" t="s">
        <v>9129</v>
      </c>
      <c r="BH6" s="7"/>
      <c r="BI6" s="26"/>
      <c r="BJ6" s="9"/>
      <c r="BK6" s="15"/>
      <c r="BL6" s="9"/>
      <c r="BM6" s="15"/>
      <c r="BN6" s="9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  <c r="CO6" s="15"/>
      <c r="CP6" s="9"/>
    </row>
    <row r="7" spans="1:94" x14ac:dyDescent="0.25">
      <c r="A7" s="41"/>
      <c r="B7" s="7">
        <v>100</v>
      </c>
      <c r="C7" s="26" t="s">
        <v>7870</v>
      </c>
      <c r="D7" s="7"/>
      <c r="E7" s="26"/>
      <c r="F7" s="9"/>
      <c r="G7" s="26"/>
      <c r="H7" s="112">
        <v>1768</v>
      </c>
      <c r="I7" s="15" t="s">
        <v>7951</v>
      </c>
      <c r="J7" s="9">
        <v>3200</v>
      </c>
      <c r="K7" s="26" t="s">
        <v>7986</v>
      </c>
      <c r="L7" s="7">
        <v>9827.58</v>
      </c>
      <c r="M7" s="26" t="s">
        <v>8053</v>
      </c>
      <c r="N7" s="7">
        <v>356.78</v>
      </c>
      <c r="O7" s="26" t="s">
        <v>8072</v>
      </c>
      <c r="P7" s="9">
        <v>257.73</v>
      </c>
      <c r="Q7" s="26" t="s">
        <v>8121</v>
      </c>
      <c r="R7" s="9"/>
      <c r="S7" s="26"/>
      <c r="T7" s="7">
        <v>500</v>
      </c>
      <c r="U7" s="26" t="s">
        <v>8173</v>
      </c>
      <c r="V7" s="9">
        <v>1169</v>
      </c>
      <c r="W7" s="26" t="s">
        <v>8234</v>
      </c>
      <c r="X7" s="9">
        <v>1083.54</v>
      </c>
      <c r="Y7" s="26" t="s">
        <v>8319</v>
      </c>
      <c r="Z7" s="7">
        <v>167.49</v>
      </c>
      <c r="AA7" s="26" t="s">
        <v>8370</v>
      </c>
      <c r="AB7" s="9">
        <v>455.4</v>
      </c>
      <c r="AC7" s="15" t="s">
        <v>8472</v>
      </c>
      <c r="AD7" s="72">
        <v>2900</v>
      </c>
      <c r="AE7" s="86" t="s">
        <v>8430</v>
      </c>
      <c r="AF7" s="72">
        <v>5000</v>
      </c>
      <c r="AG7" s="26" t="s">
        <v>8517</v>
      </c>
      <c r="AH7" s="7">
        <v>561.20000000000005</v>
      </c>
      <c r="AI7" s="26" t="s">
        <v>8499</v>
      </c>
      <c r="AJ7" s="87">
        <v>588.29</v>
      </c>
      <c r="AK7" s="26" t="s">
        <v>8558</v>
      </c>
      <c r="AL7" s="9">
        <v>127.46</v>
      </c>
      <c r="AM7" s="15" t="s">
        <v>8603</v>
      </c>
      <c r="AN7" s="9">
        <v>1951.38</v>
      </c>
      <c r="AO7" s="15" t="s">
        <v>8659</v>
      </c>
      <c r="AP7" s="9">
        <v>2792</v>
      </c>
      <c r="AQ7" s="26" t="s">
        <v>8718</v>
      </c>
      <c r="AR7" s="9">
        <v>464</v>
      </c>
      <c r="AS7" s="26" t="s">
        <v>8780</v>
      </c>
      <c r="AT7" s="72">
        <v>130.47999999999999</v>
      </c>
      <c r="AU7" s="24" t="s">
        <v>8826</v>
      </c>
      <c r="AV7" s="7">
        <v>29000</v>
      </c>
      <c r="AW7" s="26" t="s">
        <v>8891</v>
      </c>
      <c r="AX7" s="7">
        <v>543.78</v>
      </c>
      <c r="AY7" s="26" t="s">
        <v>8909</v>
      </c>
      <c r="AZ7" s="7">
        <v>1099.01</v>
      </c>
      <c r="BA7" s="26" t="s">
        <v>9002</v>
      </c>
      <c r="BB7" s="9">
        <v>5000</v>
      </c>
      <c r="BC7" s="15" t="s">
        <v>9011</v>
      </c>
      <c r="BD7" s="9">
        <v>1169</v>
      </c>
      <c r="BE7" s="26" t="s">
        <v>9087</v>
      </c>
      <c r="BF7" s="9">
        <v>3319.99</v>
      </c>
      <c r="BG7" s="26" t="s">
        <v>9130</v>
      </c>
      <c r="BH7" s="9"/>
      <c r="BI7" s="15"/>
      <c r="BJ7" s="9"/>
      <c r="BK7" s="15"/>
      <c r="BL7" s="9"/>
      <c r="BM7" s="15"/>
      <c r="BN7" s="9"/>
      <c r="BO7" s="15"/>
      <c r="BP7" s="9"/>
      <c r="BQ7" s="15"/>
      <c r="BR7" s="9"/>
      <c r="BS7" s="15"/>
      <c r="BT7" s="9"/>
      <c r="BU7" s="15"/>
      <c r="BV7" s="9"/>
      <c r="BW7" s="15"/>
      <c r="BX7" s="9"/>
      <c r="BY7" s="15"/>
      <c r="BZ7" s="9"/>
      <c r="CA7" s="15"/>
      <c r="CB7" s="9"/>
      <c r="CC7" s="15"/>
      <c r="CD7" s="9"/>
      <c r="CE7" s="15"/>
      <c r="CF7" s="9"/>
      <c r="CG7" s="15"/>
      <c r="CH7" s="9"/>
      <c r="CI7" s="15"/>
      <c r="CJ7" s="9"/>
      <c r="CK7" s="15"/>
      <c r="CL7" s="9"/>
      <c r="CM7" s="15"/>
      <c r="CN7" s="9"/>
      <c r="CO7" s="15"/>
      <c r="CP7" s="9"/>
    </row>
    <row r="8" spans="1:94" x14ac:dyDescent="0.25">
      <c r="A8" s="41"/>
      <c r="B8" s="7">
        <v>10000</v>
      </c>
      <c r="C8" s="26" t="s">
        <v>7873</v>
      </c>
      <c r="D8" s="7"/>
      <c r="E8" s="26"/>
      <c r="F8" s="9">
        <v>1970</v>
      </c>
      <c r="G8" s="26" t="s">
        <v>7916</v>
      </c>
      <c r="H8" s="112">
        <v>102.93</v>
      </c>
      <c r="I8" s="15" t="s">
        <v>7952</v>
      </c>
      <c r="J8" s="9">
        <v>20000</v>
      </c>
      <c r="K8" s="26" t="s">
        <v>7990</v>
      </c>
      <c r="L8" s="7">
        <v>115.86</v>
      </c>
      <c r="M8" s="26" t="s">
        <v>8058</v>
      </c>
      <c r="N8" s="7">
        <v>24485.22</v>
      </c>
      <c r="O8" s="26" t="s">
        <v>8078</v>
      </c>
      <c r="P8" s="9">
        <v>150000</v>
      </c>
      <c r="Q8" s="26" t="s">
        <v>8123</v>
      </c>
      <c r="R8" s="9"/>
      <c r="S8" s="26"/>
      <c r="T8" s="7">
        <v>1099.01</v>
      </c>
      <c r="U8" s="26" t="s">
        <v>8174</v>
      </c>
      <c r="V8" s="9">
        <v>1169</v>
      </c>
      <c r="W8" s="15" t="s">
        <v>8235</v>
      </c>
      <c r="X8" s="9">
        <v>6100</v>
      </c>
      <c r="Y8" s="15" t="s">
        <v>8320</v>
      </c>
      <c r="Z8" s="9">
        <v>561.83000000000004</v>
      </c>
      <c r="AA8" s="26" t="s">
        <v>8372</v>
      </c>
      <c r="AB8" s="9">
        <v>1994.99</v>
      </c>
      <c r="AC8" s="26" t="s">
        <v>8475</v>
      </c>
      <c r="AD8" s="72">
        <v>1747.27</v>
      </c>
      <c r="AE8" s="13" t="s">
        <v>8432</v>
      </c>
      <c r="AF8" s="127"/>
      <c r="AG8" s="15"/>
      <c r="AH8" s="112">
        <v>1390.1</v>
      </c>
      <c r="AI8" s="15" t="s">
        <v>8500</v>
      </c>
      <c r="AJ8" s="87">
        <v>47000</v>
      </c>
      <c r="AK8" s="26" t="s">
        <v>8559</v>
      </c>
      <c r="AL8" s="9">
        <v>1310.1199999999999</v>
      </c>
      <c r="AM8" s="15" t="s">
        <v>8604</v>
      </c>
      <c r="AN8" s="9">
        <v>1099.01</v>
      </c>
      <c r="AO8" s="15" t="s">
        <v>8661</v>
      </c>
      <c r="AP8" s="9">
        <v>188.89</v>
      </c>
      <c r="AQ8" s="26" t="s">
        <v>8719</v>
      </c>
      <c r="AR8" s="9">
        <v>351.98</v>
      </c>
      <c r="AS8" s="26" t="s">
        <v>8781</v>
      </c>
      <c r="AT8" s="9">
        <v>125000</v>
      </c>
      <c r="AU8" s="15" t="s">
        <v>8827</v>
      </c>
      <c r="AV8" s="7">
        <v>35000</v>
      </c>
      <c r="AW8" s="26" t="s">
        <v>8894</v>
      </c>
      <c r="AX8" s="7">
        <v>3320</v>
      </c>
      <c r="AY8" s="26" t="s">
        <v>8913</v>
      </c>
      <c r="AZ8" s="7"/>
      <c r="BA8" s="26"/>
      <c r="BB8" s="7">
        <v>15.01</v>
      </c>
      <c r="BC8" s="26" t="s">
        <v>9012</v>
      </c>
      <c r="BD8" s="9">
        <v>1099</v>
      </c>
      <c r="BE8" s="26" t="s">
        <v>9088</v>
      </c>
      <c r="BF8" s="9">
        <v>1000</v>
      </c>
      <c r="BG8" s="26" t="s">
        <v>9136</v>
      </c>
      <c r="BH8" s="7"/>
      <c r="BI8" s="26"/>
      <c r="BJ8" s="9"/>
      <c r="BK8" s="15"/>
      <c r="BL8" s="9"/>
      <c r="BM8" s="15"/>
      <c r="BN8" s="9"/>
      <c r="BO8" s="15"/>
      <c r="BP8" s="9"/>
      <c r="BQ8" s="15"/>
      <c r="BR8" s="9"/>
      <c r="BS8" s="15"/>
      <c r="BT8" s="9"/>
      <c r="BU8" s="15"/>
      <c r="BV8" s="9"/>
      <c r="BW8" s="15"/>
      <c r="BX8" s="9"/>
      <c r="BY8" s="15"/>
      <c r="BZ8" s="9"/>
      <c r="CA8" s="15"/>
      <c r="CB8" s="9"/>
      <c r="CC8" s="15"/>
      <c r="CD8" s="9"/>
      <c r="CE8" s="15"/>
      <c r="CF8" s="9"/>
      <c r="CG8" s="15"/>
      <c r="CH8" s="9"/>
      <c r="CI8" s="15"/>
      <c r="CJ8" s="9"/>
      <c r="CK8" s="15"/>
      <c r="CL8" s="9"/>
      <c r="CM8" s="15"/>
      <c r="CN8" s="9"/>
      <c r="CO8" s="15"/>
      <c r="CP8" s="9"/>
    </row>
    <row r="9" spans="1:94" x14ac:dyDescent="0.25">
      <c r="A9" s="41"/>
      <c r="B9" s="9">
        <v>628.51</v>
      </c>
      <c r="C9" s="15" t="s">
        <v>7875</v>
      </c>
      <c r="D9" s="9"/>
      <c r="E9" s="15"/>
      <c r="F9" s="9">
        <v>3300</v>
      </c>
      <c r="G9" s="15" t="s">
        <v>7917</v>
      </c>
      <c r="H9" s="112">
        <v>4395.01</v>
      </c>
      <c r="I9" s="15" t="s">
        <v>7955</v>
      </c>
      <c r="J9" s="9">
        <v>140000</v>
      </c>
      <c r="K9" s="15" t="s">
        <v>7991</v>
      </c>
      <c r="L9" s="9">
        <v>159.69</v>
      </c>
      <c r="M9" s="15" t="s">
        <v>8059</v>
      </c>
      <c r="N9" s="9">
        <v>70000</v>
      </c>
      <c r="O9" s="15" t="s">
        <v>8084</v>
      </c>
      <c r="P9" s="9">
        <v>5000</v>
      </c>
      <c r="Q9" s="15" t="s">
        <v>8124</v>
      </c>
      <c r="R9" s="9"/>
      <c r="S9" s="15"/>
      <c r="T9" s="9">
        <v>419.61</v>
      </c>
      <c r="U9" s="15" t="s">
        <v>8177</v>
      </c>
      <c r="V9" s="9">
        <v>3250.01</v>
      </c>
      <c r="W9" s="15" t="s">
        <v>8236</v>
      </c>
      <c r="X9" s="9">
        <v>696</v>
      </c>
      <c r="Y9" s="15" t="s">
        <v>8321</v>
      </c>
      <c r="Z9" s="9">
        <v>2348.9899999999998</v>
      </c>
      <c r="AA9" s="15" t="s">
        <v>8378</v>
      </c>
      <c r="AB9" s="9">
        <v>1099.01</v>
      </c>
      <c r="AC9" s="15" t="s">
        <v>8477</v>
      </c>
      <c r="AD9" s="72">
        <v>70000</v>
      </c>
      <c r="AE9" s="85" t="s">
        <v>8434</v>
      </c>
      <c r="AF9" s="72"/>
      <c r="AG9" s="15"/>
      <c r="AH9" s="9">
        <v>654.07000000000005</v>
      </c>
      <c r="AI9" s="15" t="s">
        <v>8501</v>
      </c>
      <c r="AJ9" s="72">
        <v>1099.01</v>
      </c>
      <c r="AK9" s="15" t="s">
        <v>8562</v>
      </c>
      <c r="AL9" s="9"/>
      <c r="AM9" s="15"/>
      <c r="AN9" s="9"/>
      <c r="AO9" s="26"/>
      <c r="AP9" s="9">
        <v>279.92</v>
      </c>
      <c r="AQ9" s="15" t="s">
        <v>8720</v>
      </c>
      <c r="AR9" s="9">
        <v>928</v>
      </c>
      <c r="AS9" s="15" t="s">
        <v>8782</v>
      </c>
      <c r="AT9" s="7">
        <v>11217.15</v>
      </c>
      <c r="AU9" s="26" t="s">
        <v>8828</v>
      </c>
      <c r="AV9" s="9">
        <v>1169</v>
      </c>
      <c r="AW9" s="15" t="s">
        <v>8897</v>
      </c>
      <c r="AX9" s="9">
        <v>1169</v>
      </c>
      <c r="AY9" s="15" t="s">
        <v>8914</v>
      </c>
      <c r="AZ9" s="9">
        <v>328.57</v>
      </c>
      <c r="BA9" s="15" t="s">
        <v>9038</v>
      </c>
      <c r="BB9" s="7">
        <v>775.39</v>
      </c>
      <c r="BC9" s="26" t="s">
        <v>9013</v>
      </c>
      <c r="BD9" s="72">
        <v>21300</v>
      </c>
      <c r="BE9" s="24" t="s">
        <v>9096</v>
      </c>
      <c r="BF9" s="9">
        <v>3500</v>
      </c>
      <c r="BG9" s="15" t="s">
        <v>9138</v>
      </c>
      <c r="BH9" s="9"/>
      <c r="BI9" s="15"/>
      <c r="BJ9" s="9"/>
      <c r="BK9" s="15"/>
      <c r="BL9" s="9"/>
      <c r="BM9" s="15"/>
      <c r="BN9" s="9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  <c r="CO9" s="15"/>
      <c r="CP9" s="9"/>
    </row>
    <row r="10" spans="1:94" x14ac:dyDescent="0.25">
      <c r="A10" s="41"/>
      <c r="B10" s="7">
        <v>430.42</v>
      </c>
      <c r="C10" s="26" t="s">
        <v>7876</v>
      </c>
      <c r="D10" s="7"/>
      <c r="E10" s="26"/>
      <c r="F10" s="9">
        <v>3000</v>
      </c>
      <c r="G10" s="26" t="s">
        <v>7919</v>
      </c>
      <c r="H10" s="112">
        <v>2040</v>
      </c>
      <c r="I10" s="15" t="s">
        <v>7958</v>
      </c>
      <c r="J10" s="9">
        <v>20199.02</v>
      </c>
      <c r="K10" s="26" t="s">
        <v>7998</v>
      </c>
      <c r="L10" s="7">
        <v>1169</v>
      </c>
      <c r="M10" s="26" t="s">
        <v>8061</v>
      </c>
      <c r="N10" s="7">
        <v>6482.44</v>
      </c>
      <c r="O10" s="26" t="s">
        <v>8085</v>
      </c>
      <c r="P10" s="9">
        <v>395.02</v>
      </c>
      <c r="Q10" s="26" t="s">
        <v>8129</v>
      </c>
      <c r="R10" s="9"/>
      <c r="S10" s="26"/>
      <c r="T10" s="7"/>
      <c r="U10" s="26"/>
      <c r="V10" s="9">
        <v>1169</v>
      </c>
      <c r="W10" s="26" t="s">
        <v>8237</v>
      </c>
      <c r="X10" s="9">
        <v>1393.67</v>
      </c>
      <c r="Y10" s="26" t="s">
        <v>8322</v>
      </c>
      <c r="Z10" s="9">
        <v>24.66</v>
      </c>
      <c r="AA10" s="26" t="s">
        <v>8381</v>
      </c>
      <c r="AB10" s="9">
        <v>4293.38</v>
      </c>
      <c r="AC10" s="26" t="s">
        <v>8484</v>
      </c>
      <c r="AD10" s="72">
        <v>20</v>
      </c>
      <c r="AE10" s="86" t="s">
        <v>8435</v>
      </c>
      <c r="AF10" s="72"/>
      <c r="AG10" s="26"/>
      <c r="AH10" s="7"/>
      <c r="AI10" s="26"/>
      <c r="AJ10" s="87">
        <f>835.81-800</f>
        <v>35.809999999999945</v>
      </c>
      <c r="AK10" s="26" t="s">
        <v>8564</v>
      </c>
      <c r="AL10" s="9">
        <v>696</v>
      </c>
      <c r="AM10" s="15" t="s">
        <v>8610</v>
      </c>
      <c r="AN10" s="9">
        <v>8000</v>
      </c>
      <c r="AO10" s="26" t="s">
        <v>8671</v>
      </c>
      <c r="AP10" s="9">
        <v>144.13</v>
      </c>
      <c r="AQ10" s="26" t="s">
        <v>8722</v>
      </c>
      <c r="AR10" s="9">
        <v>1601</v>
      </c>
      <c r="AS10" s="26" t="s">
        <v>8787</v>
      </c>
      <c r="AT10" s="7">
        <v>157.28</v>
      </c>
      <c r="AU10" s="26" t="s">
        <v>8829</v>
      </c>
      <c r="AV10" s="7">
        <v>1169</v>
      </c>
      <c r="AW10" s="26" t="s">
        <v>8900</v>
      </c>
      <c r="AX10" s="7">
        <v>92.87</v>
      </c>
      <c r="AY10" s="26" t="s">
        <v>9004</v>
      </c>
      <c r="AZ10" s="7">
        <v>159.69</v>
      </c>
      <c r="BA10" s="26" t="s">
        <v>9039</v>
      </c>
      <c r="BB10" s="9">
        <v>5200</v>
      </c>
      <c r="BC10" s="15" t="s">
        <v>9016</v>
      </c>
      <c r="BD10" s="9">
        <f>1633-1369</f>
        <v>264</v>
      </c>
      <c r="BE10" s="26" t="s">
        <v>9097</v>
      </c>
      <c r="BF10" s="9">
        <v>4018.61</v>
      </c>
      <c r="BG10" s="26" t="s">
        <v>9139</v>
      </c>
      <c r="BH10" s="9"/>
      <c r="BI10" s="15"/>
      <c r="BJ10" s="9"/>
      <c r="BK10" s="15"/>
      <c r="BL10" s="9"/>
      <c r="BM10" s="15"/>
      <c r="BN10" s="9"/>
      <c r="BO10" s="15"/>
      <c r="BP10" s="9"/>
      <c r="BQ10" s="15"/>
      <c r="BR10" s="9"/>
      <c r="BS10" s="15"/>
      <c r="BT10" s="9"/>
      <c r="BU10" s="15"/>
      <c r="BV10" s="9"/>
      <c r="BW10" s="15"/>
      <c r="BX10" s="9"/>
      <c r="BY10" s="15"/>
      <c r="BZ10" s="9"/>
      <c r="CA10" s="15"/>
      <c r="CB10" s="9"/>
      <c r="CC10" s="15"/>
      <c r="CD10" s="9"/>
      <c r="CE10" s="15"/>
      <c r="CF10" s="9"/>
      <c r="CG10" s="15"/>
      <c r="CH10" s="9"/>
      <c r="CI10" s="15"/>
      <c r="CJ10" s="9"/>
      <c r="CK10" s="15"/>
      <c r="CL10" s="9"/>
      <c r="CM10" s="15"/>
      <c r="CN10" s="9"/>
      <c r="CO10" s="15"/>
      <c r="CP10" s="9"/>
    </row>
    <row r="11" spans="1:94" x14ac:dyDescent="0.25">
      <c r="A11" s="41"/>
      <c r="B11" s="7">
        <v>232</v>
      </c>
      <c r="C11" s="26" t="s">
        <v>7880</v>
      </c>
      <c r="D11" s="7"/>
      <c r="E11" s="7"/>
      <c r="F11" s="9">
        <v>2900</v>
      </c>
      <c r="G11" s="26" t="s">
        <v>7920</v>
      </c>
      <c r="H11" s="112">
        <v>3250</v>
      </c>
      <c r="I11" s="15" t="s">
        <v>7959</v>
      </c>
      <c r="J11" s="9">
        <v>2065</v>
      </c>
      <c r="K11" s="26" t="s">
        <v>8001</v>
      </c>
      <c r="L11" s="7">
        <v>1169</v>
      </c>
      <c r="M11" s="26" t="s">
        <v>8065</v>
      </c>
      <c r="N11" s="7">
        <v>1468.99</v>
      </c>
      <c r="O11" s="26" t="s">
        <v>8087</v>
      </c>
      <c r="P11" s="9">
        <v>3319.99</v>
      </c>
      <c r="Q11" s="26" t="s">
        <v>8139</v>
      </c>
      <c r="R11" s="9"/>
      <c r="S11" s="26"/>
      <c r="T11" s="7">
        <v>2230.6799999999998</v>
      </c>
      <c r="U11" s="26" t="s">
        <v>8180</v>
      </c>
      <c r="V11" s="9"/>
      <c r="W11" s="26"/>
      <c r="X11" s="9">
        <v>1099.01</v>
      </c>
      <c r="Y11" s="26" t="s">
        <v>8323</v>
      </c>
      <c r="Z11" s="9"/>
      <c r="AA11" s="26"/>
      <c r="AB11" s="9">
        <v>464</v>
      </c>
      <c r="AC11" s="26" t="s">
        <v>8486</v>
      </c>
      <c r="AD11" s="24">
        <v>409.99</v>
      </c>
      <c r="AE11" s="85" t="s">
        <v>8437</v>
      </c>
      <c r="AF11" s="9"/>
      <c r="AG11" s="15"/>
      <c r="AH11" s="72">
        <v>4246.7700000000004</v>
      </c>
      <c r="AI11" s="15" t="s">
        <v>8518</v>
      </c>
      <c r="AJ11" s="87">
        <v>628.51</v>
      </c>
      <c r="AK11" s="26" t="s">
        <v>8565</v>
      </c>
      <c r="AL11" s="9">
        <v>50000</v>
      </c>
      <c r="AM11" s="15" t="s">
        <v>8615</v>
      </c>
      <c r="AN11" s="9">
        <v>232</v>
      </c>
      <c r="AO11" s="26" t="s">
        <v>8673</v>
      </c>
      <c r="AP11" s="9">
        <v>1099.01</v>
      </c>
      <c r="AQ11" s="26" t="s">
        <v>8727</v>
      </c>
      <c r="AR11" s="9">
        <v>175</v>
      </c>
      <c r="AS11" s="15" t="s">
        <v>8788</v>
      </c>
      <c r="AT11" s="9">
        <v>150</v>
      </c>
      <c r="AU11" s="15" t="s">
        <v>8830</v>
      </c>
      <c r="AV11" s="9">
        <v>635</v>
      </c>
      <c r="AW11" s="26" t="s">
        <v>8905</v>
      </c>
      <c r="AX11" s="112">
        <v>141.87</v>
      </c>
      <c r="AY11" s="26" t="s">
        <v>8956</v>
      </c>
      <c r="AZ11" s="7">
        <v>1000</v>
      </c>
      <c r="BA11" s="26" t="s">
        <v>9040</v>
      </c>
      <c r="BB11" s="9">
        <v>5200</v>
      </c>
      <c r="BC11" s="15" t="s">
        <v>9017</v>
      </c>
      <c r="BD11" s="9">
        <v>8700</v>
      </c>
      <c r="BE11" s="15" t="s">
        <v>9099</v>
      </c>
      <c r="BF11" s="9">
        <v>1169</v>
      </c>
      <c r="BG11" s="26" t="s">
        <v>9140</v>
      </c>
      <c r="BH11" s="9"/>
      <c r="BI11" s="15"/>
      <c r="BJ11" s="9"/>
      <c r="BK11" s="15"/>
      <c r="BL11" s="9"/>
      <c r="BM11" s="15"/>
      <c r="BN11" s="9"/>
      <c r="BO11" s="15"/>
      <c r="BP11" s="9"/>
      <c r="BQ11" s="15"/>
      <c r="BR11" s="9"/>
      <c r="BS11" s="15"/>
      <c r="BT11" s="9"/>
      <c r="BU11" s="15"/>
      <c r="BV11" s="9"/>
      <c r="BW11" s="15"/>
      <c r="BX11" s="9"/>
      <c r="BY11" s="15"/>
      <c r="BZ11" s="9"/>
      <c r="CA11" s="15"/>
      <c r="CB11" s="9"/>
      <c r="CC11" s="15"/>
      <c r="CD11" s="9"/>
      <c r="CE11" s="15"/>
      <c r="CF11" s="9"/>
      <c r="CG11" s="15"/>
      <c r="CH11" s="9"/>
      <c r="CI11" s="15"/>
      <c r="CJ11" s="9"/>
      <c r="CK11" s="15"/>
      <c r="CL11" s="9"/>
      <c r="CM11" s="15"/>
      <c r="CN11" s="9"/>
      <c r="CO11" s="15"/>
      <c r="CP11" s="9"/>
    </row>
    <row r="12" spans="1:94" x14ac:dyDescent="0.25">
      <c r="A12" s="41"/>
      <c r="B12" s="9">
        <v>2040</v>
      </c>
      <c r="C12" s="15" t="s">
        <v>7881</v>
      </c>
      <c r="D12" s="9"/>
      <c r="E12" s="15"/>
      <c r="F12" s="9">
        <v>267.33</v>
      </c>
      <c r="G12" s="15" t="s">
        <v>7924</v>
      </c>
      <c r="H12" s="112">
        <v>1970</v>
      </c>
      <c r="I12" s="15" t="s">
        <v>7964</v>
      </c>
      <c r="J12" s="9">
        <v>227.5</v>
      </c>
      <c r="K12" s="15" t="s">
        <v>8002</v>
      </c>
      <c r="L12" s="9">
        <v>3415.99</v>
      </c>
      <c r="M12" s="15" t="s">
        <v>8066</v>
      </c>
      <c r="N12" s="9">
        <v>704.99</v>
      </c>
      <c r="O12" s="15" t="s">
        <v>8088</v>
      </c>
      <c r="P12" s="9">
        <v>1169</v>
      </c>
      <c r="Q12" s="15" t="s">
        <v>8140</v>
      </c>
      <c r="R12" s="9"/>
      <c r="S12" s="15"/>
      <c r="T12" s="9">
        <v>1730.87</v>
      </c>
      <c r="U12" s="15" t="s">
        <v>8182</v>
      </c>
      <c r="V12" s="9">
        <v>19945.38</v>
      </c>
      <c r="W12" s="15" t="s">
        <v>8240</v>
      </c>
      <c r="X12" s="9">
        <v>1099.01</v>
      </c>
      <c r="Y12" s="15" t="s">
        <v>8324</v>
      </c>
      <c r="Z12" s="9">
        <v>5000</v>
      </c>
      <c r="AA12" s="15" t="s">
        <v>8383</v>
      </c>
      <c r="AB12" s="9">
        <v>3319.99</v>
      </c>
      <c r="AC12" s="15" t="s">
        <v>8487</v>
      </c>
      <c r="AD12" s="72">
        <v>628.12</v>
      </c>
      <c r="AE12" s="86" t="s">
        <v>8438</v>
      </c>
      <c r="AF12" s="72"/>
      <c r="AG12" s="15"/>
      <c r="AH12" s="72">
        <v>5000</v>
      </c>
      <c r="AI12" s="26" t="s">
        <v>8519</v>
      </c>
      <c r="AJ12" s="9"/>
      <c r="AK12" s="15"/>
      <c r="AL12" s="9">
        <v>2844</v>
      </c>
      <c r="AM12" s="15" t="s">
        <v>8617</v>
      </c>
      <c r="AN12" s="9">
        <v>33.92</v>
      </c>
      <c r="AO12" s="15" t="s">
        <v>8676</v>
      </c>
      <c r="AP12" s="9">
        <f>3319.99-2900</f>
        <v>419.98999999999978</v>
      </c>
      <c r="AQ12" s="15" t="s">
        <v>8729</v>
      </c>
      <c r="AR12" s="9">
        <v>32640</v>
      </c>
      <c r="AS12" s="15" t="s">
        <v>8789</v>
      </c>
      <c r="AT12" s="9">
        <v>3000</v>
      </c>
      <c r="AU12" s="15" t="s">
        <v>8831</v>
      </c>
      <c r="AV12" s="222"/>
      <c r="AW12" s="106"/>
      <c r="AX12" s="112">
        <v>1169</v>
      </c>
      <c r="AY12" s="15" t="s">
        <v>8957</v>
      </c>
      <c r="AZ12" s="9">
        <v>1671.24</v>
      </c>
      <c r="BA12" s="15" t="s">
        <v>9037</v>
      </c>
      <c r="BB12" s="7">
        <v>1970</v>
      </c>
      <c r="BC12" s="26" t="s">
        <v>9019</v>
      </c>
      <c r="BD12" s="9">
        <v>2040</v>
      </c>
      <c r="BE12" s="15" t="s">
        <v>9103</v>
      </c>
      <c r="BF12" s="9">
        <v>820.13</v>
      </c>
      <c r="BG12" s="15" t="s">
        <v>9142</v>
      </c>
      <c r="BH12" s="120"/>
      <c r="BI12" s="15"/>
      <c r="BJ12" s="9"/>
      <c r="BK12" s="15"/>
      <c r="BL12" s="9"/>
      <c r="BM12" s="15"/>
      <c r="BN12" s="9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  <c r="CO12" s="15"/>
      <c r="CP12" s="9"/>
    </row>
    <row r="13" spans="1:94" x14ac:dyDescent="0.25">
      <c r="A13" s="41"/>
      <c r="B13" s="9">
        <v>1168.99</v>
      </c>
      <c r="C13" s="15" t="s">
        <v>7888</v>
      </c>
      <c r="D13" s="9"/>
      <c r="E13" s="15"/>
      <c r="F13" s="9">
        <v>87000</v>
      </c>
      <c r="G13" s="15" t="s">
        <v>7926</v>
      </c>
      <c r="H13" s="112">
        <v>2026.99</v>
      </c>
      <c r="I13" s="15" t="s">
        <v>7965</v>
      </c>
      <c r="J13" s="9">
        <v>729.52</v>
      </c>
      <c r="K13" s="15" t="s">
        <v>8003</v>
      </c>
      <c r="L13" s="9">
        <v>284.94</v>
      </c>
      <c r="M13" s="15" t="s">
        <v>8068</v>
      </c>
      <c r="N13" s="9">
        <v>4395.01</v>
      </c>
      <c r="O13" s="15" t="s">
        <v>8089</v>
      </c>
      <c r="P13" s="9">
        <v>3549.01</v>
      </c>
      <c r="Q13" s="15" t="s">
        <v>8143</v>
      </c>
      <c r="R13" s="9"/>
      <c r="S13" s="15"/>
      <c r="T13" s="9">
        <v>35000</v>
      </c>
      <c r="U13" s="15" t="s">
        <v>8188</v>
      </c>
      <c r="V13" s="9">
        <v>304.92</v>
      </c>
      <c r="W13" s="15" t="s">
        <v>8244</v>
      </c>
      <c r="X13" s="9">
        <v>811</v>
      </c>
      <c r="Y13" s="15" t="s">
        <v>8325</v>
      </c>
      <c r="Z13" s="9">
        <v>90000</v>
      </c>
      <c r="AA13" s="15" t="s">
        <v>8385</v>
      </c>
      <c r="AB13" s="9">
        <v>2040</v>
      </c>
      <c r="AC13" s="15" t="s">
        <v>8490</v>
      </c>
      <c r="AD13" s="72">
        <v>100</v>
      </c>
      <c r="AE13" s="86" t="s">
        <v>8439</v>
      </c>
      <c r="AF13" s="72"/>
      <c r="AG13" s="15"/>
      <c r="AH13" s="9">
        <v>5000</v>
      </c>
      <c r="AI13" s="15" t="s">
        <v>8522</v>
      </c>
      <c r="AJ13" s="29">
        <v>750.57</v>
      </c>
      <c r="AK13" s="85" t="s">
        <v>8568</v>
      </c>
      <c r="AL13" s="9">
        <v>10600</v>
      </c>
      <c r="AM13" s="15" t="s">
        <v>8618</v>
      </c>
      <c r="AN13" s="9">
        <v>35000</v>
      </c>
      <c r="AO13" s="26" t="s">
        <v>8680</v>
      </c>
      <c r="AP13" s="9"/>
      <c r="AQ13" s="26"/>
      <c r="AR13" s="9">
        <v>193.7</v>
      </c>
      <c r="AS13" s="26" t="s">
        <v>8797</v>
      </c>
      <c r="AT13" s="7">
        <v>1489</v>
      </c>
      <c r="AU13" s="26" t="s">
        <v>8835</v>
      </c>
      <c r="AV13" s="222">
        <v>19014.060000000001</v>
      </c>
      <c r="AW13" s="106" t="s">
        <v>8926</v>
      </c>
      <c r="AX13" s="112">
        <v>1169</v>
      </c>
      <c r="AY13" s="15" t="s">
        <v>8962</v>
      </c>
      <c r="AZ13" s="9">
        <v>3250.01</v>
      </c>
      <c r="BA13" s="15" t="s">
        <v>9057</v>
      </c>
      <c r="BB13" s="7">
        <v>1099.01</v>
      </c>
      <c r="BC13" s="26" t="s">
        <v>9025</v>
      </c>
      <c r="BD13" s="9">
        <v>385.99</v>
      </c>
      <c r="BE13" s="15" t="s">
        <v>9104</v>
      </c>
      <c r="BF13" s="9">
        <v>6905</v>
      </c>
      <c r="BG13" s="15" t="s">
        <v>9143</v>
      </c>
      <c r="BH13" s="9"/>
      <c r="BI13" s="15"/>
      <c r="BJ13" s="9"/>
      <c r="BK13" s="15"/>
      <c r="BL13" s="9"/>
      <c r="BM13" s="15"/>
      <c r="BN13" s="9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  <c r="CO13" s="15"/>
      <c r="CP13" s="9"/>
    </row>
    <row r="14" spans="1:94" x14ac:dyDescent="0.25">
      <c r="A14" s="41"/>
      <c r="B14" s="9">
        <v>1099.01</v>
      </c>
      <c r="C14" s="15" t="s">
        <v>7893</v>
      </c>
      <c r="D14" s="7"/>
      <c r="E14" s="26"/>
      <c r="F14" s="9">
        <v>1169</v>
      </c>
      <c r="G14" s="26" t="s">
        <v>7931</v>
      </c>
      <c r="H14" s="112">
        <v>232</v>
      </c>
      <c r="I14" s="15" t="s">
        <v>7950</v>
      </c>
      <c r="J14" s="9">
        <v>2742.31</v>
      </c>
      <c r="K14" s="26" t="s">
        <v>8005</v>
      </c>
      <c r="L14" s="9"/>
      <c r="M14" s="15"/>
      <c r="N14" s="7">
        <v>696</v>
      </c>
      <c r="O14" s="26" t="s">
        <v>8092</v>
      </c>
      <c r="P14" s="9">
        <v>2040</v>
      </c>
      <c r="Q14" s="26" t="s">
        <v>8144</v>
      </c>
      <c r="R14" s="9"/>
      <c r="S14" s="26"/>
      <c r="T14" s="7">
        <f>135000-65000</f>
        <v>70000</v>
      </c>
      <c r="U14" s="26" t="s">
        <v>8193</v>
      </c>
      <c r="V14" s="9">
        <v>150</v>
      </c>
      <c r="W14" s="26" t="s">
        <v>8247</v>
      </c>
      <c r="X14" s="9">
        <v>1970</v>
      </c>
      <c r="Y14" s="26" t="s">
        <v>8326</v>
      </c>
      <c r="Z14" s="9">
        <v>10000</v>
      </c>
      <c r="AA14" s="26" t="s">
        <v>8386</v>
      </c>
      <c r="AB14" s="9">
        <v>2040</v>
      </c>
      <c r="AC14" s="15" t="s">
        <v>8492</v>
      </c>
      <c r="AD14" s="72">
        <v>2935.99</v>
      </c>
      <c r="AE14" s="86" t="s">
        <v>8441</v>
      </c>
      <c r="AF14" s="72"/>
      <c r="AG14" s="26"/>
      <c r="AH14" s="7">
        <v>45298.35</v>
      </c>
      <c r="AI14" s="26" t="s">
        <v>8527</v>
      </c>
      <c r="AJ14" s="87">
        <v>137.25</v>
      </c>
      <c r="AK14" s="26" t="s">
        <v>8570</v>
      </c>
      <c r="AL14" s="9">
        <v>689.13</v>
      </c>
      <c r="AM14" s="15" t="s">
        <v>8619</v>
      </c>
      <c r="AN14" s="9">
        <f>5099.73-4900</f>
        <v>199.72999999999956</v>
      </c>
      <c r="AO14" s="26" t="s">
        <v>8681</v>
      </c>
      <c r="AP14" s="9">
        <v>100000</v>
      </c>
      <c r="AQ14" s="26" t="s">
        <v>8732</v>
      </c>
      <c r="AR14" s="9">
        <v>720.97</v>
      </c>
      <c r="AS14" s="26" t="s">
        <v>8798</v>
      </c>
      <c r="AT14" s="7">
        <v>4464.99</v>
      </c>
      <c r="AU14" s="26" t="s">
        <v>8838</v>
      </c>
      <c r="AV14" s="9">
        <v>441.02</v>
      </c>
      <c r="AW14" s="26" t="s">
        <v>8931</v>
      </c>
      <c r="AX14" s="112">
        <v>4589.01</v>
      </c>
      <c r="AY14" s="26" t="s">
        <v>8966</v>
      </c>
      <c r="AZ14" s="7">
        <v>1169</v>
      </c>
      <c r="BA14" s="26" t="s">
        <v>9058</v>
      </c>
      <c r="BB14" s="7">
        <v>1169</v>
      </c>
      <c r="BC14" s="26" t="s">
        <v>9027</v>
      </c>
      <c r="BD14" s="9">
        <v>1169</v>
      </c>
      <c r="BE14" s="26" t="s">
        <v>9105</v>
      </c>
      <c r="BF14" s="9">
        <v>277.94</v>
      </c>
      <c r="BG14" s="26" t="s">
        <v>9144</v>
      </c>
      <c r="BH14" s="9"/>
      <c r="BI14" s="15"/>
      <c r="BJ14" s="9"/>
      <c r="BK14" s="15"/>
      <c r="BL14" s="9"/>
      <c r="BM14" s="15"/>
      <c r="BN14" s="9"/>
      <c r="BO14" s="15"/>
      <c r="BP14" s="9"/>
      <c r="BQ14" s="15"/>
      <c r="BR14" s="9"/>
      <c r="BS14" s="15"/>
      <c r="BT14" s="9"/>
      <c r="BU14" s="15"/>
      <c r="BV14" s="9"/>
      <c r="BW14" s="15"/>
      <c r="BX14" s="9"/>
      <c r="BY14" s="15"/>
      <c r="BZ14" s="9"/>
      <c r="CA14" s="15"/>
      <c r="CB14" s="9"/>
      <c r="CC14" s="15"/>
      <c r="CD14" s="9"/>
      <c r="CE14" s="15"/>
      <c r="CF14" s="9"/>
      <c r="CG14" s="15"/>
      <c r="CH14" s="9"/>
      <c r="CI14" s="15"/>
      <c r="CJ14" s="9"/>
      <c r="CK14" s="15"/>
      <c r="CL14" s="9"/>
      <c r="CM14" s="15"/>
      <c r="CN14" s="9"/>
      <c r="CO14" s="15"/>
      <c r="CP14" s="9"/>
    </row>
    <row r="15" spans="1:94" x14ac:dyDescent="0.25">
      <c r="A15" s="41"/>
      <c r="B15" s="9">
        <v>1099.01</v>
      </c>
      <c r="C15" s="15" t="s">
        <v>7894</v>
      </c>
      <c r="D15" s="7"/>
      <c r="E15" s="26"/>
      <c r="F15" s="9">
        <v>2039.99</v>
      </c>
      <c r="G15" s="26" t="s">
        <v>7944</v>
      </c>
      <c r="H15" s="9"/>
      <c r="I15" s="15"/>
      <c r="J15" s="9">
        <v>79.44</v>
      </c>
      <c r="K15" s="26" t="s">
        <v>8007</v>
      </c>
      <c r="L15" s="7">
        <v>1000</v>
      </c>
      <c r="M15" s="26" t="s">
        <v>8070</v>
      </c>
      <c r="N15" s="7">
        <v>3320</v>
      </c>
      <c r="O15" s="26" t="s">
        <v>8095</v>
      </c>
      <c r="P15" s="9">
        <v>2040</v>
      </c>
      <c r="Q15" s="26" t="s">
        <v>8145</v>
      </c>
      <c r="R15" s="9"/>
      <c r="S15" s="26"/>
      <c r="T15" s="7">
        <v>200</v>
      </c>
      <c r="U15" s="26" t="s">
        <v>8194</v>
      </c>
      <c r="V15" s="7">
        <v>5115.55</v>
      </c>
      <c r="W15" s="26" t="s">
        <v>8249</v>
      </c>
      <c r="X15" s="7">
        <v>1970</v>
      </c>
      <c r="Y15" s="26" t="s">
        <v>8327</v>
      </c>
      <c r="Z15" s="9">
        <v>100.85</v>
      </c>
      <c r="AA15" s="26" t="s">
        <v>8388</v>
      </c>
      <c r="AB15" s="9">
        <v>1169</v>
      </c>
      <c r="AC15" s="15" t="s">
        <v>8493</v>
      </c>
      <c r="AD15" s="72">
        <v>4709.99</v>
      </c>
      <c r="AE15" s="86" t="s">
        <v>8442</v>
      </c>
      <c r="AF15" s="72"/>
      <c r="AG15" s="26"/>
      <c r="AH15" s="7">
        <v>1305.6500000000001</v>
      </c>
      <c r="AI15" s="26" t="s">
        <v>8529</v>
      </c>
      <c r="AJ15" s="87">
        <v>521.66</v>
      </c>
      <c r="AK15" s="26" t="s">
        <v>8571</v>
      </c>
      <c r="AL15" s="9">
        <v>2500</v>
      </c>
      <c r="AM15" s="15" t="s">
        <v>8620</v>
      </c>
      <c r="AN15" s="9">
        <v>3202.6</v>
      </c>
      <c r="AO15" s="26" t="s">
        <v>8683</v>
      </c>
      <c r="AP15" s="11">
        <v>922.06</v>
      </c>
      <c r="AQ15" s="12" t="s">
        <v>8734</v>
      </c>
      <c r="AR15" s="9">
        <v>1169</v>
      </c>
      <c r="AS15" s="26" t="s">
        <v>8799</v>
      </c>
      <c r="AT15" s="7">
        <v>1099.01</v>
      </c>
      <c r="AU15" s="26" t="s">
        <v>8845</v>
      </c>
      <c r="AV15" s="9">
        <v>2894.99</v>
      </c>
      <c r="AW15" s="26" t="s">
        <v>8938</v>
      </c>
      <c r="AX15" s="112">
        <v>1169</v>
      </c>
      <c r="AY15" s="26" t="s">
        <v>8968</v>
      </c>
      <c r="AZ15" s="7">
        <v>1168.99</v>
      </c>
      <c r="BA15" s="26" t="s">
        <v>9061</v>
      </c>
      <c r="BB15" s="7">
        <v>1099.01</v>
      </c>
      <c r="BC15" s="26" t="s">
        <v>9029</v>
      </c>
      <c r="BD15" s="9">
        <v>1169</v>
      </c>
      <c r="BE15" s="26" t="s">
        <v>9107</v>
      </c>
      <c r="BF15" s="9">
        <v>1099.01</v>
      </c>
      <c r="BG15" s="26" t="s">
        <v>9145</v>
      </c>
      <c r="BH15" s="9"/>
      <c r="BI15" s="15"/>
      <c r="BJ15" s="9"/>
      <c r="BK15" s="15"/>
      <c r="BL15" s="9"/>
      <c r="BM15" s="15"/>
      <c r="BN15" s="9"/>
      <c r="BO15" s="15"/>
      <c r="BP15" s="9"/>
      <c r="BQ15" s="15"/>
      <c r="BR15" s="9"/>
      <c r="BS15" s="15"/>
      <c r="BT15" s="9"/>
      <c r="BU15" s="15"/>
      <c r="BV15" s="9"/>
      <c r="BW15" s="15"/>
      <c r="BX15" s="9"/>
      <c r="BY15" s="15"/>
      <c r="BZ15" s="9"/>
      <c r="CA15" s="15"/>
      <c r="CB15" s="9"/>
      <c r="CC15" s="15"/>
      <c r="CD15" s="9"/>
      <c r="CE15" s="15"/>
      <c r="CF15" s="9"/>
      <c r="CG15" s="15"/>
      <c r="CH15" s="9"/>
      <c r="CI15" s="15"/>
      <c r="CJ15" s="9"/>
      <c r="CK15" s="15"/>
      <c r="CL15" s="9"/>
      <c r="CM15" s="15"/>
      <c r="CN15" s="9"/>
      <c r="CO15" s="15"/>
      <c r="CP15" s="9"/>
    </row>
    <row r="16" spans="1:94" x14ac:dyDescent="0.25">
      <c r="A16" s="41"/>
      <c r="B16" s="9">
        <v>1168.99</v>
      </c>
      <c r="C16" s="15" t="s">
        <v>7895</v>
      </c>
      <c r="D16" s="7"/>
      <c r="E16" s="26"/>
      <c r="F16" s="9">
        <v>1099</v>
      </c>
      <c r="G16" s="26" t="s">
        <v>7946</v>
      </c>
      <c r="H16" s="9">
        <v>86400</v>
      </c>
      <c r="I16" s="15" t="s">
        <v>7967</v>
      </c>
      <c r="J16" s="9">
        <v>371.48</v>
      </c>
      <c r="K16" s="26" t="s">
        <v>8008</v>
      </c>
      <c r="L16" s="7">
        <v>2795</v>
      </c>
      <c r="M16" s="26" t="s">
        <v>8295</v>
      </c>
      <c r="N16" s="7">
        <v>1970</v>
      </c>
      <c r="O16" s="26" t="s">
        <v>8098</v>
      </c>
      <c r="P16" s="9">
        <v>6446.32</v>
      </c>
      <c r="Q16" s="26" t="s">
        <v>8153</v>
      </c>
      <c r="R16" s="9"/>
      <c r="S16" s="26"/>
      <c r="T16" s="7">
        <v>5415.2</v>
      </c>
      <c r="U16" s="26" t="s">
        <v>8198</v>
      </c>
      <c r="V16" s="96">
        <v>3500</v>
      </c>
      <c r="W16" s="26" t="s">
        <v>8251</v>
      </c>
      <c r="X16" s="9"/>
      <c r="Y16" s="26"/>
      <c r="Z16" s="9">
        <v>404.57</v>
      </c>
      <c r="AA16" s="26" t="s">
        <v>8389</v>
      </c>
      <c r="AB16" s="9"/>
      <c r="AC16" s="15"/>
      <c r="AD16" s="72">
        <v>2039.99</v>
      </c>
      <c r="AE16" s="86" t="s">
        <v>8444</v>
      </c>
      <c r="AF16" s="72"/>
      <c r="AG16" s="26"/>
      <c r="AH16" s="7">
        <v>1305.6500000000001</v>
      </c>
      <c r="AI16" s="26" t="s">
        <v>8530</v>
      </c>
      <c r="AJ16" s="87">
        <v>123000</v>
      </c>
      <c r="AK16" s="9" t="s">
        <v>8574</v>
      </c>
      <c r="AL16" s="9">
        <v>175</v>
      </c>
      <c r="AM16" s="15" t="s">
        <v>8621</v>
      </c>
      <c r="AN16" s="9">
        <v>2065</v>
      </c>
      <c r="AO16" s="26" t="s">
        <v>8686</v>
      </c>
      <c r="AP16" s="9">
        <v>2100</v>
      </c>
      <c r="AQ16" s="26" t="s">
        <v>8736</v>
      </c>
      <c r="AR16" s="9">
        <v>2875.23</v>
      </c>
      <c r="AS16" s="7" t="s">
        <v>8800</v>
      </c>
      <c r="AT16" s="7">
        <v>6854.99</v>
      </c>
      <c r="AU16" s="26" t="s">
        <v>8851</v>
      </c>
      <c r="AV16" s="9">
        <v>1970</v>
      </c>
      <c r="AW16" s="26" t="s">
        <v>8939</v>
      </c>
      <c r="AX16" s="112">
        <v>696</v>
      </c>
      <c r="AY16" s="26" t="s">
        <v>8969</v>
      </c>
      <c r="AZ16" s="7">
        <v>1099.01</v>
      </c>
      <c r="BA16" s="26" t="s">
        <v>9064</v>
      </c>
      <c r="BB16" s="7">
        <v>4879.01</v>
      </c>
      <c r="BC16" s="26" t="s">
        <v>9031</v>
      </c>
      <c r="BD16" s="9">
        <v>1169</v>
      </c>
      <c r="BE16" s="26" t="s">
        <v>9111</v>
      </c>
      <c r="BF16" s="9">
        <v>1169</v>
      </c>
      <c r="BG16" s="26" t="s">
        <v>9147</v>
      </c>
      <c r="BH16" s="120"/>
      <c r="BI16" s="120"/>
      <c r="BJ16" s="9"/>
      <c r="BK16" s="15"/>
      <c r="BL16" s="9"/>
      <c r="BM16" s="15"/>
      <c r="BN16" s="9"/>
      <c r="BO16" s="15"/>
      <c r="BP16" s="9"/>
      <c r="BQ16" s="15"/>
      <c r="BR16" s="9"/>
      <c r="BS16" s="15"/>
      <c r="BT16" s="9"/>
      <c r="BU16" s="15"/>
      <c r="BV16" s="9"/>
      <c r="BW16" s="15"/>
      <c r="BX16" s="9"/>
      <c r="BY16" s="15"/>
      <c r="BZ16" s="9"/>
      <c r="CA16" s="15"/>
      <c r="CB16" s="9"/>
      <c r="CC16" s="15"/>
      <c r="CD16" s="9"/>
      <c r="CE16" s="15"/>
      <c r="CF16" s="9"/>
      <c r="CG16" s="15"/>
      <c r="CH16" s="9"/>
      <c r="CI16" s="15"/>
      <c r="CJ16" s="9"/>
      <c r="CK16" s="15"/>
      <c r="CL16" s="9"/>
      <c r="CM16" s="15"/>
      <c r="CN16" s="9"/>
      <c r="CO16" s="15"/>
      <c r="CP16" s="9"/>
    </row>
    <row r="17" spans="1:94" x14ac:dyDescent="0.25">
      <c r="A17" s="41"/>
      <c r="B17" s="9">
        <v>1099.01</v>
      </c>
      <c r="C17" s="15" t="s">
        <v>7901</v>
      </c>
      <c r="D17" s="7"/>
      <c r="E17" s="26"/>
      <c r="F17" s="9"/>
      <c r="G17" s="26"/>
      <c r="H17" s="9">
        <v>254.92</v>
      </c>
      <c r="I17" s="15" t="s">
        <v>7969</v>
      </c>
      <c r="J17" s="72"/>
      <c r="K17" s="24"/>
      <c r="L17" s="7">
        <v>1169</v>
      </c>
      <c r="M17" s="26" t="s">
        <v>8298</v>
      </c>
      <c r="N17" s="7">
        <v>1169</v>
      </c>
      <c r="O17" s="26" t="s">
        <v>8107</v>
      </c>
      <c r="P17" s="9">
        <v>118.17</v>
      </c>
      <c r="Q17" s="26" t="s">
        <v>8158</v>
      </c>
      <c r="R17" s="9"/>
      <c r="S17" s="15"/>
      <c r="T17" s="9">
        <v>6003.53</v>
      </c>
      <c r="U17" s="26" t="s">
        <v>8199</v>
      </c>
      <c r="V17" s="96">
        <v>14324.38</v>
      </c>
      <c r="W17" s="26" t="s">
        <v>8252</v>
      </c>
      <c r="X17" s="9">
        <v>845</v>
      </c>
      <c r="Y17" s="26" t="s">
        <v>8332</v>
      </c>
      <c r="Z17" s="9">
        <v>1900.75</v>
      </c>
      <c r="AA17" s="26" t="s">
        <v>8392</v>
      </c>
      <c r="AB17" s="9">
        <v>200000</v>
      </c>
      <c r="AC17" s="26" t="s">
        <v>8504</v>
      </c>
      <c r="AD17" s="72">
        <v>4284.37</v>
      </c>
      <c r="AE17" s="86" t="s">
        <v>8446</v>
      </c>
      <c r="AF17" s="72"/>
      <c r="AG17" s="26"/>
      <c r="AH17" s="7">
        <v>130.47999999999999</v>
      </c>
      <c r="AI17" s="26" t="s">
        <v>8531</v>
      </c>
      <c r="AJ17" s="87">
        <v>92.87</v>
      </c>
      <c r="AK17" s="26" t="s">
        <v>8576</v>
      </c>
      <c r="AL17" s="9">
        <v>3319.99</v>
      </c>
      <c r="AM17" s="15" t="s">
        <v>8623</v>
      </c>
      <c r="AN17" s="9">
        <v>1099.01</v>
      </c>
      <c r="AO17" s="26" t="s">
        <v>8688</v>
      </c>
      <c r="AP17" s="9">
        <v>1970</v>
      </c>
      <c r="AQ17" s="26" t="s">
        <v>8738</v>
      </c>
      <c r="AR17" s="9">
        <v>8868.5</v>
      </c>
      <c r="AS17" s="26" t="s">
        <v>8801</v>
      </c>
      <c r="AT17" s="7">
        <v>2919.99</v>
      </c>
      <c r="AU17" s="26" t="s">
        <v>8853</v>
      </c>
      <c r="AV17" s="9">
        <v>1099.01</v>
      </c>
      <c r="AW17" s="26" t="s">
        <v>8941</v>
      </c>
      <c r="AX17" s="112">
        <v>1168.99</v>
      </c>
      <c r="AY17" s="26" t="s">
        <v>8970</v>
      </c>
      <c r="AZ17" s="7">
        <v>3168.99</v>
      </c>
      <c r="BA17" s="26" t="s">
        <v>9065</v>
      </c>
      <c r="BB17" s="7">
        <v>1169</v>
      </c>
      <c r="BC17" s="26" t="s">
        <v>9033</v>
      </c>
      <c r="BD17" s="9">
        <v>1168.99</v>
      </c>
      <c r="BE17" s="26" t="s">
        <v>9112</v>
      </c>
      <c r="BF17" s="9">
        <v>1939</v>
      </c>
      <c r="BG17" s="26" t="s">
        <v>9149</v>
      </c>
      <c r="BH17" s="9"/>
      <c r="BI17" s="15"/>
      <c r="BJ17" s="9"/>
      <c r="BK17" s="15"/>
      <c r="BL17" s="9"/>
      <c r="BM17" s="15"/>
      <c r="BN17" s="9"/>
      <c r="BO17" s="15"/>
      <c r="BP17" s="9"/>
      <c r="BQ17" s="15"/>
      <c r="BR17" s="9"/>
      <c r="BS17" s="15"/>
      <c r="BT17" s="9"/>
      <c r="BU17" s="15"/>
      <c r="BV17" s="9"/>
      <c r="BW17" s="15"/>
      <c r="BX17" s="9"/>
      <c r="BY17" s="15"/>
      <c r="BZ17" s="9"/>
      <c r="CA17" s="15"/>
      <c r="CB17" s="9"/>
      <c r="CC17" s="15"/>
      <c r="CD17" s="9"/>
      <c r="CE17" s="15"/>
      <c r="CF17" s="9"/>
      <c r="CG17" s="15"/>
      <c r="CH17" s="9"/>
      <c r="CI17" s="15"/>
      <c r="CJ17" s="9"/>
      <c r="CK17" s="15"/>
      <c r="CL17" s="9"/>
      <c r="CM17" s="15"/>
      <c r="CN17" s="9"/>
      <c r="CO17" s="15"/>
      <c r="CP17" s="9"/>
    </row>
    <row r="18" spans="1:94" x14ac:dyDescent="0.25">
      <c r="A18" s="41"/>
      <c r="B18" s="9">
        <v>1287.04</v>
      </c>
      <c r="C18" s="15" t="s">
        <v>7904</v>
      </c>
      <c r="D18" s="7"/>
      <c r="E18" s="26"/>
      <c r="F18" s="9"/>
      <c r="G18" s="26"/>
      <c r="H18" s="9">
        <v>254.92</v>
      </c>
      <c r="I18" s="15" t="s">
        <v>7972</v>
      </c>
      <c r="J18" s="9">
        <v>10</v>
      </c>
      <c r="K18" s="26" t="s">
        <v>8009</v>
      </c>
      <c r="L18" s="7">
        <v>1169</v>
      </c>
      <c r="M18" s="26" t="s">
        <v>8306</v>
      </c>
      <c r="N18" s="7"/>
      <c r="O18" s="26"/>
      <c r="P18" s="9">
        <v>840.83</v>
      </c>
      <c r="Q18" s="26" t="s">
        <v>8159</v>
      </c>
      <c r="R18" s="9"/>
      <c r="S18" s="15"/>
      <c r="T18" s="9">
        <v>1168.99</v>
      </c>
      <c r="U18" s="26" t="s">
        <v>8210</v>
      </c>
      <c r="V18" s="96">
        <v>14324.38</v>
      </c>
      <c r="W18" s="26" t="s">
        <v>8253</v>
      </c>
      <c r="X18" s="9">
        <v>138</v>
      </c>
      <c r="Y18" s="26" t="s">
        <v>8333</v>
      </c>
      <c r="Z18" s="9">
        <v>3000</v>
      </c>
      <c r="AA18" s="26" t="s">
        <v>8393</v>
      </c>
      <c r="AB18" s="9">
        <v>13000</v>
      </c>
      <c r="AC18" s="26" t="s">
        <v>8508</v>
      </c>
      <c r="AD18" s="72">
        <v>1168.99</v>
      </c>
      <c r="AE18" s="86" t="s">
        <v>8447</v>
      </c>
      <c r="AF18" s="72"/>
      <c r="AG18" s="26"/>
      <c r="AH18" s="7">
        <v>1099</v>
      </c>
      <c r="AI18" s="26" t="s">
        <v>8534</v>
      </c>
      <c r="AJ18" s="72">
        <v>3239</v>
      </c>
      <c r="AK18" s="15" t="s">
        <v>8579</v>
      </c>
      <c r="AL18" s="9">
        <v>505.01</v>
      </c>
      <c r="AM18" s="15" t="s">
        <v>8624</v>
      </c>
      <c r="AN18" s="9">
        <v>3168.99</v>
      </c>
      <c r="AO18" s="26" t="s">
        <v>8703</v>
      </c>
      <c r="AP18" s="9">
        <v>90000</v>
      </c>
      <c r="AQ18" s="26" t="s">
        <v>8739</v>
      </c>
      <c r="AR18" s="9">
        <v>1169</v>
      </c>
      <c r="AS18" s="26" t="s">
        <v>8810</v>
      </c>
      <c r="AT18" s="7">
        <v>2040</v>
      </c>
      <c r="AU18" s="26" t="s">
        <v>8854</v>
      </c>
      <c r="AV18" s="9">
        <v>1168.99</v>
      </c>
      <c r="AW18" s="26" t="s">
        <v>8943</v>
      </c>
      <c r="AX18" s="112">
        <v>2040</v>
      </c>
      <c r="AY18" s="26" t="s">
        <v>8973</v>
      </c>
      <c r="AZ18" s="7">
        <v>27906.98</v>
      </c>
      <c r="BA18" s="26" t="s">
        <v>9068</v>
      </c>
      <c r="BB18" s="9"/>
      <c r="BC18" s="15"/>
      <c r="BD18" s="9">
        <v>1099.01</v>
      </c>
      <c r="BE18" s="26" t="s">
        <v>9113</v>
      </c>
      <c r="BF18" s="9">
        <v>1169</v>
      </c>
      <c r="BG18" s="26" t="s">
        <v>9150</v>
      </c>
      <c r="BH18" s="9"/>
      <c r="BI18" s="15"/>
      <c r="BJ18" s="9"/>
      <c r="BK18" s="15"/>
      <c r="BL18" s="9"/>
      <c r="BM18" s="15"/>
      <c r="BN18" s="9"/>
      <c r="BO18" s="15"/>
      <c r="BP18" s="9"/>
      <c r="BQ18" s="15"/>
      <c r="BR18" s="9"/>
      <c r="BS18" s="15"/>
      <c r="BT18" s="9"/>
      <c r="BU18" s="15"/>
      <c r="BV18" s="9"/>
      <c r="BW18" s="15"/>
      <c r="BX18" s="9"/>
      <c r="BY18" s="15"/>
      <c r="BZ18" s="9"/>
      <c r="CA18" s="15"/>
      <c r="CB18" s="9"/>
      <c r="CC18" s="15"/>
      <c r="CD18" s="9"/>
      <c r="CE18" s="15"/>
      <c r="CF18" s="9"/>
      <c r="CG18" s="15"/>
      <c r="CH18" s="9"/>
      <c r="CI18" s="15"/>
      <c r="CJ18" s="9"/>
      <c r="CK18" s="15"/>
      <c r="CL18" s="9"/>
      <c r="CM18" s="15"/>
      <c r="CN18" s="9"/>
      <c r="CO18" s="15"/>
      <c r="CP18" s="9"/>
    </row>
    <row r="19" spans="1:94" x14ac:dyDescent="0.25">
      <c r="A19" s="41"/>
      <c r="B19" s="120"/>
      <c r="C19" s="120"/>
      <c r="D19" s="7"/>
      <c r="E19" s="26"/>
      <c r="F19" s="9"/>
      <c r="G19" s="26"/>
      <c r="H19" s="9">
        <v>1099</v>
      </c>
      <c r="I19" s="15" t="s">
        <v>7973</v>
      </c>
      <c r="J19" s="9">
        <v>2480</v>
      </c>
      <c r="K19" s="26" t="s">
        <v>8010</v>
      </c>
      <c r="L19" s="7">
        <v>464</v>
      </c>
      <c r="M19" s="26" t="s">
        <v>8310</v>
      </c>
      <c r="N19" s="7">
        <v>100</v>
      </c>
      <c r="O19" s="26" t="s">
        <v>8108</v>
      </c>
      <c r="P19" s="9">
        <v>654.07000000000005</v>
      </c>
      <c r="Q19" s="26" t="s">
        <v>8160</v>
      </c>
      <c r="R19" s="9"/>
      <c r="S19" s="26"/>
      <c r="T19" s="9">
        <v>2040</v>
      </c>
      <c r="U19" s="26" t="s">
        <v>8212</v>
      </c>
      <c r="V19" s="9">
        <v>4395</v>
      </c>
      <c r="W19" s="26" t="s">
        <v>8256</v>
      </c>
      <c r="X19" s="9">
        <v>13500</v>
      </c>
      <c r="Y19" s="26" t="s">
        <v>8334</v>
      </c>
      <c r="Z19" s="9">
        <v>4339.7700000000004</v>
      </c>
      <c r="AA19" s="26" t="s">
        <v>8395</v>
      </c>
      <c r="AB19" s="9">
        <v>3169</v>
      </c>
      <c r="AC19" s="26" t="s">
        <v>8509</v>
      </c>
      <c r="AD19" s="72">
        <v>3319.99</v>
      </c>
      <c r="AE19" s="86" t="s">
        <v>8448</v>
      </c>
      <c r="AF19" s="72"/>
      <c r="AG19" s="26"/>
      <c r="AH19" s="9">
        <v>1168.99</v>
      </c>
      <c r="AI19" s="15" t="s">
        <v>8536</v>
      </c>
      <c r="AJ19" s="87">
        <v>896</v>
      </c>
      <c r="AK19" s="26" t="s">
        <v>8580</v>
      </c>
      <c r="AL19" s="9">
        <v>2040</v>
      </c>
      <c r="AM19" s="15" t="s">
        <v>8625</v>
      </c>
      <c r="AN19" s="9">
        <v>1099.01</v>
      </c>
      <c r="AO19" s="26" t="s">
        <v>8704</v>
      </c>
      <c r="AP19" s="9">
        <v>464</v>
      </c>
      <c r="AQ19" s="26" t="s">
        <v>8742</v>
      </c>
      <c r="AR19" s="9">
        <v>1169</v>
      </c>
      <c r="AS19" s="26" t="s">
        <v>8812</v>
      </c>
      <c r="AT19" s="7">
        <v>2040</v>
      </c>
      <c r="AU19" s="26" t="s">
        <v>8855</v>
      </c>
      <c r="AV19" s="9">
        <v>4015.99</v>
      </c>
      <c r="AW19" s="26" t="s">
        <v>8944</v>
      </c>
      <c r="AX19" s="112">
        <v>2040</v>
      </c>
      <c r="AY19" s="26" t="s">
        <v>8966</v>
      </c>
      <c r="AZ19" s="7">
        <v>5429.98</v>
      </c>
      <c r="BA19" s="26" t="s">
        <v>9069</v>
      </c>
      <c r="BB19" s="9">
        <v>2065</v>
      </c>
      <c r="BC19" s="15" t="s">
        <v>9126</v>
      </c>
      <c r="BD19" s="9">
        <v>1970</v>
      </c>
      <c r="BE19" s="26" t="s">
        <v>9114</v>
      </c>
      <c r="BF19" s="9">
        <v>1169</v>
      </c>
      <c r="BG19" s="26" t="s">
        <v>9152</v>
      </c>
      <c r="BH19" s="9"/>
      <c r="BI19" s="15"/>
      <c r="BJ19" s="9"/>
      <c r="BK19" s="15"/>
      <c r="BL19" s="9"/>
      <c r="BM19" s="15"/>
      <c r="BN19" s="9"/>
      <c r="BO19" s="15"/>
      <c r="BP19" s="9"/>
      <c r="BQ19" s="15"/>
      <c r="BR19" s="9"/>
      <c r="BS19" s="15"/>
      <c r="BT19" s="9"/>
      <c r="BU19" s="15"/>
      <c r="BV19" s="9"/>
      <c r="BW19" s="15"/>
      <c r="BX19" s="9"/>
      <c r="BY19" s="15"/>
      <c r="BZ19" s="9"/>
      <c r="CA19" s="15"/>
      <c r="CB19" s="9"/>
      <c r="CC19" s="15"/>
      <c r="CD19" s="9"/>
      <c r="CE19" s="15"/>
      <c r="CF19" s="9"/>
      <c r="CG19" s="15"/>
      <c r="CH19" s="9"/>
      <c r="CI19" s="15"/>
      <c r="CJ19" s="9"/>
      <c r="CK19" s="15"/>
      <c r="CL19" s="9"/>
      <c r="CM19" s="15"/>
      <c r="CN19" s="9"/>
      <c r="CO19" s="15"/>
      <c r="CP19" s="9"/>
    </row>
    <row r="20" spans="1:94" x14ac:dyDescent="0.25">
      <c r="A20" s="41"/>
      <c r="B20" s="120"/>
      <c r="C20" s="120"/>
      <c r="D20" s="7"/>
      <c r="E20" s="26"/>
      <c r="F20" s="9"/>
      <c r="G20" s="26"/>
      <c r="H20" s="9">
        <v>2375</v>
      </c>
      <c r="I20" s="15" t="s">
        <v>7975</v>
      </c>
      <c r="J20" s="9">
        <v>93</v>
      </c>
      <c r="K20" s="26" t="s">
        <v>8011</v>
      </c>
      <c r="L20" s="9">
        <v>1970</v>
      </c>
      <c r="M20" s="15" t="s">
        <v>8312</v>
      </c>
      <c r="N20" s="7">
        <v>1099</v>
      </c>
      <c r="O20" s="26" t="s">
        <v>8115</v>
      </c>
      <c r="P20" s="9">
        <v>253.33</v>
      </c>
      <c r="Q20" s="26" t="s">
        <v>8161</v>
      </c>
      <c r="R20" s="9"/>
      <c r="S20" s="26"/>
      <c r="T20" s="9">
        <v>1099.01</v>
      </c>
      <c r="U20" s="26" t="s">
        <v>8216</v>
      </c>
      <c r="V20" s="9">
        <v>3239</v>
      </c>
      <c r="W20" s="26" t="s">
        <v>8260</v>
      </c>
      <c r="X20" s="9">
        <v>1.35</v>
      </c>
      <c r="Y20" s="26" t="s">
        <v>8337</v>
      </c>
      <c r="Z20" s="9">
        <v>1169</v>
      </c>
      <c r="AA20" s="26" t="s">
        <v>8398</v>
      </c>
      <c r="AB20" s="9">
        <v>185.5</v>
      </c>
      <c r="AC20" s="26" t="s">
        <v>8510</v>
      </c>
      <c r="AD20" s="72">
        <v>1099.01</v>
      </c>
      <c r="AE20" s="86" t="s">
        <v>8450</v>
      </c>
      <c r="AF20" s="72"/>
      <c r="AG20" s="26"/>
      <c r="AH20" s="9">
        <v>1168.99</v>
      </c>
      <c r="AI20" s="15" t="s">
        <v>8537</v>
      </c>
      <c r="AJ20" s="87">
        <v>4464.99</v>
      </c>
      <c r="AK20" s="26" t="s">
        <v>8583</v>
      </c>
      <c r="AL20" s="9">
        <v>4465</v>
      </c>
      <c r="AM20" s="15" t="s">
        <v>8631</v>
      </c>
      <c r="AN20" s="9">
        <v>1099.01</v>
      </c>
      <c r="AO20" s="26" t="s">
        <v>8706</v>
      </c>
      <c r="AP20" s="9">
        <v>15000</v>
      </c>
      <c r="AQ20" s="15" t="s">
        <v>8746</v>
      </c>
      <c r="AR20" s="72">
        <v>1169</v>
      </c>
      <c r="AS20" s="24" t="s">
        <v>8813</v>
      </c>
      <c r="AT20" s="9">
        <v>785.31</v>
      </c>
      <c r="AU20" s="15" t="s">
        <v>8858</v>
      </c>
      <c r="AV20" s="9">
        <v>464</v>
      </c>
      <c r="AW20" s="26" t="s">
        <v>8946</v>
      </c>
      <c r="AX20" s="112">
        <v>2040</v>
      </c>
      <c r="AY20" s="26" t="s">
        <v>8974</v>
      </c>
      <c r="AZ20" s="7">
        <v>250</v>
      </c>
      <c r="BA20" s="26" t="s">
        <v>9073</v>
      </c>
      <c r="BB20" s="9"/>
      <c r="BC20" s="15"/>
      <c r="BD20" s="9">
        <v>1169</v>
      </c>
      <c r="BE20" s="26" t="s">
        <v>9115</v>
      </c>
      <c r="BF20" s="9">
        <v>464</v>
      </c>
      <c r="BG20" s="26" t="s">
        <v>9156</v>
      </c>
      <c r="BH20" s="9"/>
      <c r="BI20" s="15"/>
      <c r="BJ20" s="9"/>
      <c r="BK20" s="15"/>
      <c r="BL20" s="9"/>
      <c r="BM20" s="15"/>
      <c r="BN20" s="9"/>
      <c r="BO20" s="15"/>
      <c r="BP20" s="9"/>
      <c r="BQ20" s="15"/>
      <c r="BR20" s="9"/>
      <c r="BS20" s="15"/>
      <c r="BT20" s="9"/>
      <c r="BU20" s="15"/>
      <c r="BV20" s="9"/>
      <c r="BW20" s="15"/>
      <c r="BX20" s="9"/>
      <c r="BY20" s="15"/>
      <c r="BZ20" s="9"/>
      <c r="CA20" s="15"/>
      <c r="CB20" s="9"/>
      <c r="CC20" s="15"/>
      <c r="CD20" s="9"/>
      <c r="CE20" s="15"/>
      <c r="CF20" s="9"/>
      <c r="CG20" s="15"/>
      <c r="CH20" s="9"/>
      <c r="CI20" s="15"/>
      <c r="CJ20" s="9"/>
      <c r="CK20" s="15"/>
      <c r="CL20" s="9"/>
      <c r="CM20" s="15"/>
      <c r="CN20" s="9"/>
      <c r="CO20" s="15"/>
      <c r="CP20" s="9"/>
    </row>
    <row r="21" spans="1:94" x14ac:dyDescent="0.25">
      <c r="A21" s="41"/>
      <c r="B21" s="120"/>
      <c r="C21" s="120"/>
      <c r="D21" s="7"/>
      <c r="E21" s="26"/>
      <c r="F21" s="9"/>
      <c r="G21" s="26"/>
      <c r="H21" s="9">
        <v>1969.99</v>
      </c>
      <c r="I21" s="15" t="s">
        <v>7977</v>
      </c>
      <c r="J21" s="9">
        <v>7088.8</v>
      </c>
      <c r="K21" s="26" t="s">
        <v>8012</v>
      </c>
      <c r="L21" s="7">
        <v>1099.01</v>
      </c>
      <c r="M21" s="26" t="s">
        <v>8313</v>
      </c>
      <c r="N21" s="7">
        <v>1169</v>
      </c>
      <c r="O21" s="26" t="s">
        <v>8116</v>
      </c>
      <c r="P21" s="9">
        <v>723.57</v>
      </c>
      <c r="Q21" s="26" t="s">
        <v>8164</v>
      </c>
      <c r="R21" s="9"/>
      <c r="S21" s="15"/>
      <c r="T21" s="9">
        <v>3551.99</v>
      </c>
      <c r="U21" s="26" t="s">
        <v>8218</v>
      </c>
      <c r="V21" s="9">
        <v>3319.99</v>
      </c>
      <c r="W21" s="26" t="s">
        <v>8262</v>
      </c>
      <c r="X21" s="9">
        <v>958.68</v>
      </c>
      <c r="Y21" s="26" t="s">
        <v>8338</v>
      </c>
      <c r="Z21" s="9">
        <v>1169</v>
      </c>
      <c r="AA21" s="9" t="s">
        <v>8400</v>
      </c>
      <c r="AB21" s="9">
        <v>1169</v>
      </c>
      <c r="AC21" s="26" t="s">
        <v>8511</v>
      </c>
      <c r="AD21" s="72">
        <v>505.01</v>
      </c>
      <c r="AE21" s="86" t="s">
        <v>8453</v>
      </c>
      <c r="AF21" s="72"/>
      <c r="AG21" s="26"/>
      <c r="AH21" s="7">
        <v>1169</v>
      </c>
      <c r="AI21" s="26" t="s">
        <v>8540</v>
      </c>
      <c r="AJ21" s="87">
        <v>1169</v>
      </c>
      <c r="AK21" s="26" t="s">
        <v>8585</v>
      </c>
      <c r="AL21" s="9">
        <v>1168.56</v>
      </c>
      <c r="AM21" s="15" t="s">
        <v>8632</v>
      </c>
      <c r="AN21" s="9">
        <v>654.07000000000005</v>
      </c>
      <c r="AO21" s="26" t="s">
        <v>8711</v>
      </c>
      <c r="AP21" s="9">
        <v>254.92</v>
      </c>
      <c r="AQ21" s="26" t="s">
        <v>8747</v>
      </c>
      <c r="AR21" s="9">
        <v>3319.99</v>
      </c>
      <c r="AS21" s="15" t="s">
        <v>8815</v>
      </c>
      <c r="AT21" s="7">
        <v>556.29</v>
      </c>
      <c r="AU21" s="26" t="s">
        <v>8860</v>
      </c>
      <c r="AV21" s="9">
        <v>2040</v>
      </c>
      <c r="AW21" s="26" t="s">
        <v>8947</v>
      </c>
      <c r="AX21" s="112">
        <v>11301.8</v>
      </c>
      <c r="AY21" s="26" t="s">
        <v>8975</v>
      </c>
      <c r="AZ21" s="7">
        <v>1169</v>
      </c>
      <c r="BA21" s="26" t="s">
        <v>9074</v>
      </c>
      <c r="BB21" s="9"/>
      <c r="BC21" s="15"/>
      <c r="BD21" s="9">
        <v>1169</v>
      </c>
      <c r="BE21" s="26" t="s">
        <v>9116</v>
      </c>
      <c r="BF21" s="9"/>
      <c r="BG21" s="26"/>
      <c r="BH21" s="9"/>
      <c r="BI21" s="26"/>
      <c r="BJ21" s="9"/>
      <c r="BK21" s="15"/>
      <c r="BL21" s="11"/>
      <c r="BM21" s="13"/>
      <c r="BN21" s="9"/>
      <c r="BO21" s="15"/>
      <c r="BP21" s="9"/>
      <c r="BQ21" s="15"/>
      <c r="BR21" s="9"/>
      <c r="BS21" s="15"/>
      <c r="BT21" s="9"/>
      <c r="BU21" s="15"/>
      <c r="BV21" s="9"/>
      <c r="BW21" s="15"/>
      <c r="BX21" s="9"/>
      <c r="BY21" s="15"/>
      <c r="BZ21" s="9"/>
      <c r="CA21" s="15"/>
      <c r="CB21" s="9"/>
      <c r="CC21" s="15"/>
      <c r="CD21" s="9"/>
      <c r="CE21" s="15"/>
      <c r="CF21" s="9"/>
      <c r="CG21" s="15"/>
      <c r="CH21" s="9"/>
      <c r="CI21" s="15"/>
      <c r="CJ21" s="9"/>
      <c r="CK21" s="15"/>
      <c r="CL21" s="9"/>
      <c r="CM21" s="15"/>
      <c r="CN21" s="9"/>
      <c r="CO21" s="15"/>
      <c r="CP21" s="9"/>
    </row>
    <row r="22" spans="1:94" x14ac:dyDescent="0.25">
      <c r="A22" s="41"/>
      <c r="B22" s="120"/>
      <c r="C22" s="120"/>
      <c r="D22" s="7"/>
      <c r="E22" s="26"/>
      <c r="F22" s="9"/>
      <c r="G22" s="26"/>
      <c r="H22" s="9">
        <v>928</v>
      </c>
      <c r="I22" s="15" t="s">
        <v>7979</v>
      </c>
      <c r="J22" s="9">
        <v>158.08000000000001</v>
      </c>
      <c r="K22" s="26" t="s">
        <v>8019</v>
      </c>
      <c r="L22" s="7"/>
      <c r="M22" s="26"/>
      <c r="N22" s="7"/>
      <c r="O22" s="26"/>
      <c r="P22" s="9">
        <v>304.92</v>
      </c>
      <c r="Q22" s="15" t="s">
        <v>8165</v>
      </c>
      <c r="R22" s="9"/>
      <c r="S22" s="15"/>
      <c r="T22" s="9">
        <v>127.46</v>
      </c>
      <c r="U22" s="26" t="s">
        <v>8219</v>
      </c>
      <c r="V22" s="9">
        <v>10.44</v>
      </c>
      <c r="W22" s="26" t="s">
        <v>8263</v>
      </c>
      <c r="X22" s="9">
        <v>1360</v>
      </c>
      <c r="Y22" s="26" t="s">
        <v>8340</v>
      </c>
      <c r="Z22" s="9">
        <v>1199.8499999999999</v>
      </c>
      <c r="AA22" s="26" t="s">
        <v>8402</v>
      </c>
      <c r="AB22" s="9">
        <v>1084.31</v>
      </c>
      <c r="AC22" s="26" t="s">
        <v>8514</v>
      </c>
      <c r="AD22" s="72">
        <v>2040</v>
      </c>
      <c r="AE22" s="86" t="s">
        <v>8454</v>
      </c>
      <c r="AF22" s="9"/>
      <c r="AG22" s="86"/>
      <c r="AH22" s="7">
        <v>2039.99</v>
      </c>
      <c r="AI22" s="26" t="s">
        <v>8541</v>
      </c>
      <c r="AJ22" s="87">
        <v>1099.01</v>
      </c>
      <c r="AK22" s="26" t="s">
        <v>8591</v>
      </c>
      <c r="AL22" s="9">
        <v>1169</v>
      </c>
      <c r="AM22" s="15" t="s">
        <v>8638</v>
      </c>
      <c r="AN22" s="9">
        <v>746.94</v>
      </c>
      <c r="AO22" s="26" t="s">
        <v>8712</v>
      </c>
      <c r="AP22" s="9">
        <v>1169</v>
      </c>
      <c r="AQ22" s="26" t="s">
        <v>8749</v>
      </c>
      <c r="AR22" s="9">
        <v>1099.01</v>
      </c>
      <c r="AS22" s="15" t="s">
        <v>8816</v>
      </c>
      <c r="AT22" s="7">
        <v>1388.45</v>
      </c>
      <c r="AU22" s="26" t="s">
        <v>8861</v>
      </c>
      <c r="AV22" s="9">
        <v>1225.82</v>
      </c>
      <c r="AW22" s="26" t="s">
        <v>8950</v>
      </c>
      <c r="AX22" s="112">
        <v>1969.99</v>
      </c>
      <c r="AY22" s="26" t="s">
        <v>8976</v>
      </c>
      <c r="AZ22" s="7">
        <v>2419.9899999999998</v>
      </c>
      <c r="BA22" s="26" t="s">
        <v>9076</v>
      </c>
      <c r="BB22" s="9"/>
      <c r="BC22" s="15"/>
      <c r="BD22" s="9">
        <v>150</v>
      </c>
      <c r="BE22" s="26" t="s">
        <v>9119</v>
      </c>
      <c r="BF22" s="9"/>
      <c r="BG22" s="26"/>
      <c r="BH22" s="9"/>
      <c r="BI22" s="26"/>
      <c r="BJ22" s="9"/>
      <c r="BK22" s="15"/>
      <c r="BL22" s="11"/>
      <c r="BM22" s="13"/>
      <c r="BN22" s="9"/>
      <c r="BO22" s="15"/>
      <c r="BP22" s="9"/>
      <c r="BQ22" s="15"/>
      <c r="BR22" s="9"/>
      <c r="BS22" s="15"/>
      <c r="BT22" s="9"/>
      <c r="BU22" s="15"/>
      <c r="BV22" s="9"/>
      <c r="BW22" s="15"/>
      <c r="BX22" s="9"/>
      <c r="BY22" s="15"/>
      <c r="BZ22" s="9"/>
      <c r="CA22" s="15"/>
      <c r="CB22" s="9"/>
      <c r="CC22" s="15"/>
      <c r="CD22" s="9"/>
      <c r="CE22" s="15"/>
      <c r="CF22" s="9"/>
      <c r="CG22" s="15"/>
      <c r="CH22" s="9"/>
      <c r="CI22" s="15"/>
      <c r="CJ22" s="9"/>
      <c r="CK22" s="15"/>
      <c r="CL22" s="9"/>
      <c r="CM22" s="15"/>
      <c r="CN22" s="9"/>
      <c r="CO22" s="15"/>
      <c r="CP22" s="9"/>
    </row>
    <row r="23" spans="1:94" x14ac:dyDescent="0.25">
      <c r="A23" s="41"/>
      <c r="B23" s="120"/>
      <c r="C23" s="120"/>
      <c r="D23" s="7"/>
      <c r="E23" s="26"/>
      <c r="F23" s="9"/>
      <c r="G23" s="26"/>
      <c r="H23" s="9">
        <v>1169</v>
      </c>
      <c r="I23" s="15" t="s">
        <v>7980</v>
      </c>
      <c r="J23" s="9">
        <v>181.49</v>
      </c>
      <c r="K23" s="15" t="s">
        <v>8025</v>
      </c>
      <c r="L23" s="9"/>
      <c r="M23" s="15"/>
      <c r="N23" s="9"/>
      <c r="O23" s="15"/>
      <c r="P23" s="9">
        <v>835.81</v>
      </c>
      <c r="Q23" s="15" t="s">
        <v>8166</v>
      </c>
      <c r="R23" s="9"/>
      <c r="S23" s="15"/>
      <c r="T23" s="9">
        <v>293.12</v>
      </c>
      <c r="U23" s="15" t="s">
        <v>8221</v>
      </c>
      <c r="V23" s="9">
        <v>1489</v>
      </c>
      <c r="W23" s="15" t="s">
        <v>8266</v>
      </c>
      <c r="X23" s="9">
        <v>1099.01</v>
      </c>
      <c r="Y23" s="15" t="s">
        <v>8343</v>
      </c>
      <c r="Z23" s="9">
        <v>2040</v>
      </c>
      <c r="AA23" s="15" t="s">
        <v>8403</v>
      </c>
      <c r="AB23" s="9">
        <v>450.92</v>
      </c>
      <c r="AC23" s="15" t="s">
        <v>8515</v>
      </c>
      <c r="AD23" s="72">
        <v>1099.01</v>
      </c>
      <c r="AE23" s="86" t="s">
        <v>8460</v>
      </c>
      <c r="AF23" s="72"/>
      <c r="AG23" s="26"/>
      <c r="AH23" s="72">
        <f>3062.74-2230.68</f>
        <v>832.06</v>
      </c>
      <c r="AI23" s="24" t="s">
        <v>8546</v>
      </c>
      <c r="AJ23" s="87">
        <v>1099.01</v>
      </c>
      <c r="AK23" s="26" t="s">
        <v>8592</v>
      </c>
      <c r="AL23" s="9">
        <v>1169</v>
      </c>
      <c r="AM23" s="15" t="s">
        <v>8640</v>
      </c>
      <c r="AN23" s="9">
        <v>1362.25</v>
      </c>
      <c r="AO23" s="26" t="s">
        <v>8713</v>
      </c>
      <c r="AP23" s="9">
        <v>3250</v>
      </c>
      <c r="AQ23" s="26" t="s">
        <v>8753</v>
      </c>
      <c r="AR23" s="9"/>
      <c r="AS23" s="26"/>
      <c r="AT23" s="7"/>
      <c r="AU23" s="26"/>
      <c r="AV23" s="9">
        <v>928.7</v>
      </c>
      <c r="AW23" s="15" t="s">
        <v>8953</v>
      </c>
      <c r="AX23" s="112">
        <v>1169</v>
      </c>
      <c r="AY23" s="15" t="s">
        <v>8983</v>
      </c>
      <c r="AZ23" s="7">
        <v>2040</v>
      </c>
      <c r="BA23" s="26" t="s">
        <v>9078</v>
      </c>
      <c r="BB23" s="9"/>
      <c r="BC23" s="15"/>
      <c r="BD23" s="9">
        <v>150</v>
      </c>
      <c r="BE23" s="26" t="s">
        <v>9120</v>
      </c>
      <c r="BF23" s="9"/>
      <c r="BG23" s="26"/>
      <c r="BH23" s="9"/>
      <c r="BI23" s="26"/>
      <c r="BJ23" s="9"/>
      <c r="BK23" s="15"/>
      <c r="BL23" s="9"/>
      <c r="BM23" s="15"/>
      <c r="BN23" s="9"/>
      <c r="BO23" s="15"/>
      <c r="BP23" s="9"/>
      <c r="BQ23" s="15"/>
      <c r="BR23" s="9"/>
      <c r="BS23" s="15"/>
      <c r="BT23" s="9"/>
      <c r="BU23" s="15"/>
      <c r="BV23" s="9"/>
      <c r="BW23" s="15"/>
      <c r="BX23" s="9"/>
      <c r="BY23" s="15"/>
      <c r="BZ23" s="9"/>
      <c r="CA23" s="15"/>
      <c r="CB23" s="9"/>
      <c r="CC23" s="15"/>
      <c r="CD23" s="9"/>
      <c r="CE23" s="15"/>
      <c r="CF23" s="9"/>
      <c r="CG23" s="15"/>
      <c r="CH23" s="9"/>
      <c r="CI23" s="15"/>
      <c r="CJ23" s="9"/>
      <c r="CK23" s="15"/>
      <c r="CL23" s="9"/>
      <c r="CM23" s="15"/>
      <c r="CN23" s="9"/>
      <c r="CO23" s="15"/>
      <c r="CP23" s="9"/>
    </row>
    <row r="24" spans="1:94" x14ac:dyDescent="0.25">
      <c r="A24" s="41"/>
      <c r="B24" s="120"/>
      <c r="C24" s="120"/>
      <c r="D24" s="7"/>
      <c r="E24" s="26"/>
      <c r="F24" s="9"/>
      <c r="G24" s="26"/>
      <c r="H24" s="9">
        <v>92.87</v>
      </c>
      <c r="I24" s="15" t="s">
        <v>7982</v>
      </c>
      <c r="J24" s="9">
        <v>9653</v>
      </c>
      <c r="K24" s="15" t="s">
        <v>8028</v>
      </c>
      <c r="L24" s="9"/>
      <c r="M24" s="15"/>
      <c r="N24" s="9"/>
      <c r="O24" s="15"/>
      <c r="P24" s="9"/>
      <c r="Q24" s="15"/>
      <c r="R24" s="9"/>
      <c r="S24" s="15"/>
      <c r="T24" s="9">
        <v>1769.56</v>
      </c>
      <c r="U24" s="15" t="s">
        <v>8222</v>
      </c>
      <c r="V24" s="9">
        <v>2040</v>
      </c>
      <c r="W24" s="15" t="s">
        <v>8269</v>
      </c>
      <c r="X24" s="9">
        <v>1099.01</v>
      </c>
      <c r="Y24" s="15" t="s">
        <v>8345</v>
      </c>
      <c r="Z24" s="9">
        <f>3750-1360</f>
        <v>2390</v>
      </c>
      <c r="AA24" s="15" t="s">
        <v>8404</v>
      </c>
      <c r="AB24" s="9"/>
      <c r="AC24" s="15"/>
      <c r="AD24" s="72"/>
      <c r="AE24" s="86"/>
      <c r="AF24" s="9"/>
      <c r="AG24" s="15"/>
      <c r="AH24" s="7">
        <v>1099.01</v>
      </c>
      <c r="AI24" s="26" t="s">
        <v>8547</v>
      </c>
      <c r="AJ24" s="87">
        <v>2460</v>
      </c>
      <c r="AK24" s="26" t="s">
        <v>8593</v>
      </c>
      <c r="AL24" s="9">
        <v>116</v>
      </c>
      <c r="AM24" s="15" t="s">
        <v>8641</v>
      </c>
      <c r="AN24" s="9">
        <v>991.44</v>
      </c>
      <c r="AO24" s="26" t="s">
        <v>8715</v>
      </c>
      <c r="AP24" s="9">
        <v>1099.01</v>
      </c>
      <c r="AQ24" s="26" t="s">
        <v>8754</v>
      </c>
      <c r="AR24" s="9"/>
      <c r="AS24" s="26"/>
      <c r="AT24" s="7">
        <v>50000</v>
      </c>
      <c r="AU24" s="26" t="s">
        <v>8870</v>
      </c>
      <c r="AV24" s="72">
        <v>224.11</v>
      </c>
      <c r="AW24" s="15" t="s">
        <v>8952</v>
      </c>
      <c r="AX24" s="112">
        <v>1099.01</v>
      </c>
      <c r="AY24" s="15" t="s">
        <v>8984</v>
      </c>
      <c r="AZ24" s="7">
        <v>1169</v>
      </c>
      <c r="BA24" s="26" t="s">
        <v>9079</v>
      </c>
      <c r="BB24" s="9"/>
      <c r="BC24" s="15"/>
      <c r="BD24" s="9"/>
      <c r="BE24" s="15"/>
      <c r="BF24" s="9"/>
      <c r="BG24" s="26"/>
      <c r="BH24" s="9"/>
      <c r="BI24" s="26"/>
      <c r="BJ24" s="9"/>
      <c r="BK24" s="15"/>
      <c r="BL24" s="9"/>
      <c r="BM24" s="15"/>
      <c r="BN24" s="9"/>
      <c r="BO24" s="15"/>
      <c r="BP24" s="9"/>
      <c r="BQ24" s="15"/>
      <c r="BR24" s="9"/>
      <c r="BS24" s="15"/>
      <c r="BT24" s="9"/>
      <c r="BU24" s="15"/>
      <c r="BV24" s="9"/>
      <c r="BW24" s="15"/>
      <c r="BX24" s="9"/>
      <c r="BY24" s="15"/>
      <c r="BZ24" s="9"/>
      <c r="CA24" s="15"/>
      <c r="CB24" s="9"/>
      <c r="CC24" s="15"/>
      <c r="CD24" s="9"/>
      <c r="CE24" s="15"/>
      <c r="CF24" s="9"/>
      <c r="CG24" s="15"/>
      <c r="CH24" s="9"/>
      <c r="CI24" s="15"/>
      <c r="CJ24" s="9"/>
      <c r="CK24" s="15"/>
      <c r="CL24" s="9"/>
      <c r="CM24" s="15"/>
      <c r="CN24" s="9"/>
      <c r="CO24" s="15"/>
      <c r="CP24" s="9"/>
    </row>
    <row r="25" spans="1:94" x14ac:dyDescent="0.25">
      <c r="A25" s="41"/>
      <c r="B25" s="120"/>
      <c r="C25" s="120"/>
      <c r="D25" s="7"/>
      <c r="E25" s="26"/>
      <c r="F25" s="9"/>
      <c r="G25" s="26"/>
      <c r="H25" s="9">
        <v>357.37</v>
      </c>
      <c r="I25" s="9" t="s">
        <v>7983</v>
      </c>
      <c r="J25" s="9">
        <v>1099</v>
      </c>
      <c r="K25" s="15" t="s">
        <v>8030</v>
      </c>
      <c r="L25" s="9"/>
      <c r="M25" s="15"/>
      <c r="N25" s="9"/>
      <c r="O25" s="15"/>
      <c r="P25" s="9"/>
      <c r="Q25" s="15"/>
      <c r="R25" s="9"/>
      <c r="S25" s="15"/>
      <c r="T25" s="9">
        <v>848.84</v>
      </c>
      <c r="U25" s="15" t="s">
        <v>8223</v>
      </c>
      <c r="V25" s="9">
        <v>1969.99</v>
      </c>
      <c r="W25" s="15" t="s">
        <v>8272</v>
      </c>
      <c r="X25" s="9">
        <v>1563</v>
      </c>
      <c r="Y25" s="15" t="s">
        <v>8347</v>
      </c>
      <c r="Z25" s="9">
        <v>2250.0100000000002</v>
      </c>
      <c r="AA25" s="15" t="s">
        <v>8406</v>
      </c>
      <c r="AB25" s="9"/>
      <c r="AC25" s="15"/>
      <c r="AD25" s="72"/>
      <c r="AE25" s="86"/>
      <c r="AF25" s="9"/>
      <c r="AG25" s="26"/>
      <c r="AH25" s="7">
        <v>2040</v>
      </c>
      <c r="AI25" s="26" t="s">
        <v>8548</v>
      </c>
      <c r="AJ25" s="87">
        <v>1169</v>
      </c>
      <c r="AK25" s="26" t="s">
        <v>8594</v>
      </c>
      <c r="AL25" s="9">
        <v>1169</v>
      </c>
      <c r="AM25" s="15" t="s">
        <v>8643</v>
      </c>
      <c r="AN25" s="9"/>
      <c r="AO25" s="26"/>
      <c r="AP25" s="9">
        <v>4464.99</v>
      </c>
      <c r="AQ25" s="15" t="s">
        <v>8755</v>
      </c>
      <c r="AR25" s="9"/>
      <c r="AS25" s="26"/>
      <c r="AT25" s="7">
        <v>1169</v>
      </c>
      <c r="AU25" s="26" t="s">
        <v>8872</v>
      </c>
      <c r="AV25" s="9"/>
      <c r="AW25" s="15"/>
      <c r="AX25" s="112">
        <v>1169</v>
      </c>
      <c r="AY25" s="15" t="s">
        <v>8985</v>
      </c>
      <c r="AZ25" s="72">
        <v>1659.8</v>
      </c>
      <c r="BA25" s="15" t="s">
        <v>9081</v>
      </c>
      <c r="BB25" s="9"/>
      <c r="BC25" s="15"/>
      <c r="BD25" s="9"/>
      <c r="BE25" s="15"/>
      <c r="BF25" s="9"/>
      <c r="BG25" s="26"/>
      <c r="BH25" s="72"/>
      <c r="BI25" s="24"/>
      <c r="BJ25" s="9"/>
      <c r="BK25" s="15"/>
      <c r="BL25" s="9"/>
      <c r="BM25" s="15"/>
      <c r="BN25" s="9"/>
      <c r="BO25" s="15"/>
      <c r="BP25" s="9"/>
      <c r="BQ25" s="15"/>
      <c r="BR25" s="9"/>
      <c r="BS25" s="15"/>
      <c r="BT25" s="9"/>
      <c r="BU25" s="15"/>
      <c r="BV25" s="9"/>
      <c r="BW25" s="15"/>
      <c r="BX25" s="9"/>
      <c r="BY25" s="15"/>
      <c r="BZ25" s="9"/>
      <c r="CA25" s="15"/>
      <c r="CB25" s="9"/>
      <c r="CC25" s="15"/>
      <c r="CD25" s="9"/>
      <c r="CE25" s="15"/>
      <c r="CF25" s="9"/>
      <c r="CG25" s="15"/>
      <c r="CH25" s="9"/>
      <c r="CI25" s="15"/>
      <c r="CJ25" s="9"/>
      <c r="CK25" s="15"/>
      <c r="CL25" s="9"/>
      <c r="CM25" s="15"/>
      <c r="CN25" s="9"/>
      <c r="CO25" s="15"/>
      <c r="CP25" s="9"/>
    </row>
    <row r="26" spans="1:94" x14ac:dyDescent="0.25">
      <c r="A26" s="41"/>
      <c r="B26" s="120"/>
      <c r="C26" s="120"/>
      <c r="D26" s="7"/>
      <c r="E26" s="26"/>
      <c r="F26" s="9"/>
      <c r="G26" s="26"/>
      <c r="H26" s="9">
        <v>1284.3499999999999</v>
      </c>
      <c r="I26" s="15" t="s">
        <v>7984</v>
      </c>
      <c r="J26" s="9">
        <v>4238.99</v>
      </c>
      <c r="K26" s="15" t="s">
        <v>8031</v>
      </c>
      <c r="L26" s="9"/>
      <c r="M26" s="15"/>
      <c r="N26" s="9"/>
      <c r="O26" s="15"/>
      <c r="P26" s="7"/>
      <c r="Q26" s="26"/>
      <c r="R26" s="7"/>
      <c r="S26" s="26"/>
      <c r="T26" s="72">
        <f>1401-232</f>
        <v>1169</v>
      </c>
      <c r="U26" s="24" t="s">
        <v>8214</v>
      </c>
      <c r="V26" s="9">
        <v>80.239999999999995</v>
      </c>
      <c r="W26" s="15" t="s">
        <v>8277</v>
      </c>
      <c r="X26" s="9">
        <v>2370</v>
      </c>
      <c r="Y26" s="15" t="s">
        <v>8348</v>
      </c>
      <c r="Z26" s="9">
        <v>1169</v>
      </c>
      <c r="AA26" s="15" t="s">
        <v>8407</v>
      </c>
      <c r="AB26" s="9"/>
      <c r="AC26" s="15"/>
      <c r="AD26" s="228"/>
      <c r="AE26" s="86"/>
      <c r="AF26" s="87"/>
      <c r="AG26" s="26"/>
      <c r="AH26" s="7">
        <v>1169</v>
      </c>
      <c r="AI26" s="26" t="s">
        <v>8549</v>
      </c>
      <c r="AJ26" s="87"/>
      <c r="AK26" s="26"/>
      <c r="AL26" s="9">
        <v>185.74</v>
      </c>
      <c r="AM26" s="15" t="s">
        <v>8648</v>
      </c>
      <c r="AN26" s="9"/>
      <c r="AO26" s="26"/>
      <c r="AP26" s="9">
        <v>1169</v>
      </c>
      <c r="AQ26" s="15" t="s">
        <v>8760</v>
      </c>
      <c r="AR26" s="9"/>
      <c r="AS26" s="26"/>
      <c r="AT26" s="7">
        <v>3425.32</v>
      </c>
      <c r="AU26" s="26" t="s">
        <v>8873</v>
      </c>
      <c r="AV26" s="7"/>
      <c r="AW26" s="26"/>
      <c r="AX26" s="112">
        <v>2430</v>
      </c>
      <c r="AY26" s="26" t="s">
        <v>8987</v>
      </c>
      <c r="AZ26" s="9">
        <v>839.62</v>
      </c>
      <c r="BA26" s="15" t="s">
        <v>9082</v>
      </c>
      <c r="BB26" s="9"/>
      <c r="BC26" s="15"/>
      <c r="BD26" s="9"/>
      <c r="BE26" s="15"/>
      <c r="BF26" s="72"/>
      <c r="BG26" s="24"/>
      <c r="BH26" s="9"/>
      <c r="BI26" s="26"/>
      <c r="BJ26" s="9"/>
      <c r="BK26" s="15"/>
      <c r="BL26" s="9"/>
      <c r="BM26" s="15"/>
      <c r="BN26" s="9"/>
      <c r="BO26" s="15"/>
      <c r="BP26" s="9"/>
      <c r="BQ26" s="15"/>
      <c r="BR26" s="9"/>
      <c r="BS26" s="15"/>
      <c r="BT26" s="9"/>
      <c r="BU26" s="15"/>
      <c r="BV26" s="9"/>
      <c r="BW26" s="15"/>
      <c r="BX26" s="9"/>
      <c r="BY26" s="15"/>
      <c r="BZ26" s="9"/>
      <c r="CA26" s="15"/>
      <c r="CB26" s="9"/>
      <c r="CC26" s="15"/>
      <c r="CD26" s="9"/>
      <c r="CE26" s="15"/>
      <c r="CF26" s="9"/>
      <c r="CG26" s="15"/>
      <c r="CH26" s="9"/>
      <c r="CI26" s="15"/>
      <c r="CJ26" s="9"/>
      <c r="CK26" s="15"/>
      <c r="CL26" s="9"/>
      <c r="CM26" s="15"/>
      <c r="CN26" s="9"/>
      <c r="CO26" s="15"/>
      <c r="CP26" s="9"/>
    </row>
    <row r="27" spans="1:94" x14ac:dyDescent="0.25">
      <c r="A27" s="41"/>
      <c r="B27" s="120"/>
      <c r="C27" s="120"/>
      <c r="D27" s="7"/>
      <c r="E27" s="15"/>
      <c r="F27" s="7"/>
      <c r="G27" s="26"/>
      <c r="H27" s="9"/>
      <c r="I27" s="15"/>
      <c r="J27" s="9">
        <v>464</v>
      </c>
      <c r="K27" s="9" t="s">
        <v>8036</v>
      </c>
      <c r="L27" s="7"/>
      <c r="M27" s="26"/>
      <c r="N27" s="7"/>
      <c r="O27" s="26"/>
      <c r="P27" s="7"/>
      <c r="Q27" s="26"/>
      <c r="R27" s="7"/>
      <c r="S27" s="26"/>
      <c r="T27" s="9"/>
      <c r="U27" s="26"/>
      <c r="V27" s="7">
        <v>835.81</v>
      </c>
      <c r="W27" s="26" t="s">
        <v>8278</v>
      </c>
      <c r="X27" s="7">
        <v>2040</v>
      </c>
      <c r="Y27" s="26" t="s">
        <v>8354</v>
      </c>
      <c r="Z27" s="9">
        <v>1169</v>
      </c>
      <c r="AA27" s="26" t="s">
        <v>8408</v>
      </c>
      <c r="AB27" s="9"/>
      <c r="AC27" s="26"/>
      <c r="AD27" s="72"/>
      <c r="AE27" s="86"/>
      <c r="AF27" s="87"/>
      <c r="AG27" s="26"/>
      <c r="AH27" s="7">
        <v>1169</v>
      </c>
      <c r="AI27" s="26" t="s">
        <v>8551</v>
      </c>
      <c r="AJ27" s="87"/>
      <c r="AK27" s="26"/>
      <c r="AL27" s="9">
        <v>92.87</v>
      </c>
      <c r="AM27" s="15" t="s">
        <v>8649</v>
      </c>
      <c r="AN27" s="9"/>
      <c r="AO27" s="26"/>
      <c r="AP27" s="9">
        <v>2039.99</v>
      </c>
      <c r="AQ27" s="26" t="s">
        <v>8762</v>
      </c>
      <c r="AR27" s="7"/>
      <c r="AS27" s="26"/>
      <c r="AT27" s="7">
        <v>232</v>
      </c>
      <c r="AU27" s="26" t="s">
        <v>8877</v>
      </c>
      <c r="AV27" s="7"/>
      <c r="AW27" s="26"/>
      <c r="AX27" s="112">
        <v>506.46</v>
      </c>
      <c r="AY27" s="15" t="s">
        <v>8989</v>
      </c>
      <c r="AZ27" s="7"/>
      <c r="BA27" s="26"/>
      <c r="BB27" s="9"/>
      <c r="BC27" s="15"/>
      <c r="BD27" s="7"/>
      <c r="BE27" s="26"/>
      <c r="BF27" s="9"/>
      <c r="BG27" s="15"/>
      <c r="BH27" s="9"/>
      <c r="BI27" s="26"/>
      <c r="BJ27" s="9"/>
      <c r="BK27" s="15"/>
      <c r="BL27" s="9"/>
      <c r="BM27" s="15"/>
      <c r="BN27" s="9"/>
      <c r="BO27" s="15"/>
      <c r="BP27" s="9"/>
      <c r="BQ27" s="15"/>
      <c r="BR27" s="9"/>
      <c r="BS27" s="15"/>
      <c r="BT27" s="9"/>
      <c r="BU27" s="15"/>
      <c r="BV27" s="9"/>
      <c r="BW27" s="15"/>
      <c r="BX27" s="9"/>
      <c r="BY27" s="15"/>
      <c r="BZ27" s="9"/>
      <c r="CA27" s="15"/>
      <c r="CB27" s="9"/>
      <c r="CC27" s="15"/>
      <c r="CD27" s="9"/>
      <c r="CE27" s="15"/>
      <c r="CF27" s="9"/>
      <c r="CG27" s="15"/>
      <c r="CH27" s="9"/>
      <c r="CI27" s="15"/>
      <c r="CJ27" s="9"/>
      <c r="CK27" s="15"/>
      <c r="CL27" s="9"/>
      <c r="CM27" s="15"/>
      <c r="CN27" s="9"/>
      <c r="CO27" s="15"/>
      <c r="CP27" s="9"/>
    </row>
    <row r="28" spans="1:94" x14ac:dyDescent="0.25">
      <c r="A28" s="41"/>
      <c r="B28" s="7"/>
      <c r="C28" s="26"/>
      <c r="D28" s="7"/>
      <c r="E28" s="26"/>
      <c r="F28" s="7"/>
      <c r="G28" s="26"/>
      <c r="H28" s="9"/>
      <c r="I28" s="15"/>
      <c r="J28" s="9">
        <v>1519</v>
      </c>
      <c r="K28" s="9" t="s">
        <v>8038</v>
      </c>
      <c r="L28" s="7"/>
      <c r="M28" s="26"/>
      <c r="N28" s="7"/>
      <c r="O28" s="26"/>
      <c r="P28" s="7"/>
      <c r="Q28" s="26"/>
      <c r="R28" s="7"/>
      <c r="S28" s="26"/>
      <c r="T28" s="9"/>
      <c r="U28" s="26"/>
      <c r="V28" s="7"/>
      <c r="W28" s="26"/>
      <c r="X28" s="7">
        <v>1168.99</v>
      </c>
      <c r="Y28" s="26" t="s">
        <v>8357</v>
      </c>
      <c r="Z28" s="9">
        <v>1099.01</v>
      </c>
      <c r="AA28" s="26" t="s">
        <v>8409</v>
      </c>
      <c r="AB28" s="9"/>
      <c r="AC28" s="26"/>
      <c r="AD28" s="9"/>
      <c r="AE28" s="15"/>
      <c r="AF28" s="87"/>
      <c r="AG28" s="26"/>
      <c r="AH28" s="7">
        <v>2053</v>
      </c>
      <c r="AI28" s="26" t="s">
        <v>8554</v>
      </c>
      <c r="AJ28" s="87"/>
      <c r="AK28" s="15"/>
      <c r="AL28" s="9"/>
      <c r="AM28" s="15"/>
      <c r="AN28" s="9"/>
      <c r="AO28" s="26"/>
      <c r="AP28" s="7">
        <v>3319.99</v>
      </c>
      <c r="AQ28" s="26" t="s">
        <v>8763</v>
      </c>
      <c r="AR28" s="7"/>
      <c r="AS28" s="26"/>
      <c r="AT28" s="7">
        <v>4464.99</v>
      </c>
      <c r="AU28" s="26" t="s">
        <v>8880</v>
      </c>
      <c r="AV28" s="9"/>
      <c r="AW28" s="15"/>
      <c r="AX28" s="112">
        <v>236.34</v>
      </c>
      <c r="AY28" s="15" t="s">
        <v>8990</v>
      </c>
      <c r="AZ28" s="9"/>
      <c r="BA28" s="15"/>
      <c r="BB28" s="9"/>
      <c r="BC28" s="15"/>
      <c r="BD28" s="7"/>
      <c r="BE28" s="26"/>
      <c r="BF28" s="9"/>
      <c r="BG28" s="15"/>
      <c r="BH28" s="7"/>
      <c r="BI28" s="26"/>
      <c r="BJ28" s="9"/>
      <c r="BK28" s="15"/>
      <c r="BL28" s="9"/>
      <c r="BM28" s="15"/>
      <c r="BN28" s="9"/>
      <c r="BO28" s="15"/>
      <c r="BP28" s="9"/>
      <c r="BQ28" s="15"/>
      <c r="BR28" s="9"/>
      <c r="BS28" s="15"/>
      <c r="BT28" s="9"/>
      <c r="BU28" s="15"/>
      <c r="BV28" s="9"/>
      <c r="BW28" s="15"/>
      <c r="BX28" s="9"/>
      <c r="BY28" s="15"/>
      <c r="BZ28" s="9"/>
      <c r="CA28" s="15"/>
      <c r="CB28" s="9"/>
      <c r="CC28" s="15"/>
      <c r="CD28" s="9"/>
      <c r="CE28" s="15"/>
      <c r="CF28" s="9"/>
      <c r="CG28" s="15"/>
      <c r="CH28" s="9"/>
      <c r="CI28" s="15"/>
      <c r="CJ28" s="9"/>
      <c r="CK28" s="15"/>
      <c r="CL28" s="9"/>
      <c r="CM28" s="15"/>
      <c r="CN28" s="9"/>
      <c r="CO28" s="15"/>
      <c r="CP28" s="9"/>
    </row>
    <row r="29" spans="1:94" x14ac:dyDescent="0.25">
      <c r="A29" s="41"/>
      <c r="B29" s="7"/>
      <c r="C29" s="26"/>
      <c r="D29" s="7"/>
      <c r="E29" s="26"/>
      <c r="F29" s="7"/>
      <c r="G29" s="26"/>
      <c r="H29" s="9"/>
      <c r="I29" s="15"/>
      <c r="J29" s="9">
        <v>2213.1999999999998</v>
      </c>
      <c r="K29" s="26" t="s">
        <v>8039</v>
      </c>
      <c r="L29" s="7"/>
      <c r="M29" s="26"/>
      <c r="N29" s="7"/>
      <c r="O29" s="26"/>
      <c r="P29" s="7"/>
      <c r="Q29" s="26"/>
      <c r="R29" s="9"/>
      <c r="S29" s="15"/>
      <c r="T29" s="9"/>
      <c r="U29" s="26"/>
      <c r="V29" s="7"/>
      <c r="W29" s="26"/>
      <c r="X29" s="7">
        <v>9</v>
      </c>
      <c r="Y29" s="26" t="s">
        <v>8358</v>
      </c>
      <c r="Z29" s="9">
        <v>1169</v>
      </c>
      <c r="AA29" s="26" t="s">
        <v>8412</v>
      </c>
      <c r="AB29" s="9"/>
      <c r="AC29" s="26"/>
      <c r="AD29" s="7"/>
      <c r="AE29" s="26"/>
      <c r="AF29" s="7"/>
      <c r="AG29" s="26"/>
      <c r="AH29" s="7">
        <v>4464.99</v>
      </c>
      <c r="AI29" s="26" t="s">
        <v>8555</v>
      </c>
      <c r="AJ29" s="87"/>
      <c r="AK29" s="26"/>
      <c r="AL29" s="9"/>
      <c r="AM29" s="15"/>
      <c r="AN29" s="9"/>
      <c r="AO29" s="26"/>
      <c r="AP29" s="7">
        <v>3250</v>
      </c>
      <c r="AQ29" s="26" t="s">
        <v>8766</v>
      </c>
      <c r="AR29" s="7"/>
      <c r="AS29" s="26"/>
      <c r="AT29" s="7">
        <v>694.75</v>
      </c>
      <c r="AU29" s="26" t="s">
        <v>8883</v>
      </c>
      <c r="AV29" s="9"/>
      <c r="AW29" s="15"/>
      <c r="AX29" s="112">
        <v>1075.19</v>
      </c>
      <c r="AY29" s="15" t="s">
        <v>8991</v>
      </c>
      <c r="AZ29" s="7"/>
      <c r="BA29" s="26"/>
      <c r="BB29" s="9"/>
      <c r="BC29" s="15"/>
      <c r="BD29" s="7"/>
      <c r="BE29" s="26"/>
      <c r="BF29" s="7"/>
      <c r="BG29" s="26"/>
      <c r="BH29" s="7"/>
      <c r="BI29" s="26"/>
      <c r="BJ29" s="9"/>
      <c r="BK29" s="15"/>
      <c r="BL29" s="9"/>
      <c r="BM29" s="15"/>
      <c r="BN29" s="9"/>
      <c r="BO29" s="15"/>
      <c r="BP29" s="9"/>
      <c r="BQ29" s="15"/>
      <c r="BR29" s="9"/>
      <c r="BS29" s="15"/>
      <c r="BT29" s="9"/>
      <c r="BU29" s="15"/>
      <c r="BV29" s="9"/>
      <c r="BW29" s="15"/>
      <c r="BX29" s="9"/>
      <c r="BY29" s="15"/>
      <c r="BZ29" s="9"/>
      <c r="CA29" s="15"/>
      <c r="CB29" s="9"/>
      <c r="CC29" s="15"/>
      <c r="CD29" s="9"/>
      <c r="CE29" s="15"/>
      <c r="CF29" s="9"/>
      <c r="CG29" s="15"/>
      <c r="CH29" s="9"/>
      <c r="CI29" s="15"/>
      <c r="CJ29" s="9"/>
      <c r="CK29" s="15"/>
      <c r="CL29" s="9"/>
      <c r="CM29" s="15"/>
      <c r="CN29" s="9"/>
      <c r="CO29" s="15"/>
      <c r="CP29" s="9"/>
    </row>
    <row r="30" spans="1:94" x14ac:dyDescent="0.25">
      <c r="A30" s="41"/>
      <c r="B30" s="9"/>
      <c r="C30" s="15"/>
      <c r="D30" s="9"/>
      <c r="E30" s="15"/>
      <c r="F30" s="9"/>
      <c r="G30" s="15"/>
      <c r="H30" s="9"/>
      <c r="I30" s="15"/>
      <c r="J30" s="9">
        <v>3239</v>
      </c>
      <c r="K30" s="15" t="s">
        <v>8040</v>
      </c>
      <c r="L30" s="9"/>
      <c r="M30" s="15"/>
      <c r="N30" s="9"/>
      <c r="O30" s="15"/>
      <c r="P30" s="7"/>
      <c r="Q30" s="26"/>
      <c r="R30" s="10"/>
      <c r="S30" s="12"/>
      <c r="T30" s="9"/>
      <c r="U30" s="15"/>
      <c r="V30" s="9"/>
      <c r="W30" s="15"/>
      <c r="X30" s="9">
        <v>1168.99</v>
      </c>
      <c r="Y30" s="15" t="s">
        <v>8359</v>
      </c>
      <c r="Z30" s="9">
        <v>96.85</v>
      </c>
      <c r="AA30" s="15" t="s">
        <v>8419</v>
      </c>
      <c r="AB30" s="11"/>
      <c r="AC30" s="13"/>
      <c r="AD30" s="9"/>
      <c r="AE30" s="15"/>
      <c r="AF30" s="9"/>
      <c r="AG30" s="15"/>
      <c r="AH30" s="9">
        <v>127.46</v>
      </c>
      <c r="AI30" s="15" t="s">
        <v>8566</v>
      </c>
      <c r="AJ30" s="72"/>
      <c r="AK30" s="15"/>
      <c r="AL30" s="9"/>
      <c r="AM30" s="15"/>
      <c r="AN30" s="9"/>
      <c r="AO30" s="15"/>
      <c r="AP30" s="9">
        <v>6645</v>
      </c>
      <c r="AQ30" s="15" t="s">
        <v>8769</v>
      </c>
      <c r="AR30" s="9"/>
      <c r="AS30" s="15"/>
      <c r="AT30" s="9">
        <v>1954.54</v>
      </c>
      <c r="AU30" s="15" t="s">
        <v>8884</v>
      </c>
      <c r="AV30" s="9"/>
      <c r="AW30" s="15"/>
      <c r="AX30" s="113">
        <v>659.73</v>
      </c>
      <c r="AY30" s="12" t="s">
        <v>8993</v>
      </c>
      <c r="AZ30" s="9"/>
      <c r="BA30" s="15"/>
      <c r="BB30" s="11"/>
      <c r="BC30" s="13"/>
      <c r="BD30" s="9"/>
      <c r="BE30" s="15"/>
      <c r="BF30" s="9"/>
      <c r="BG30" s="15"/>
      <c r="BH30" s="9"/>
      <c r="BI30" s="15"/>
      <c r="BJ30" s="9"/>
      <c r="BK30" s="15"/>
      <c r="BL30" s="9"/>
      <c r="BM30" s="15"/>
      <c r="BN30" s="9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  <c r="CO30" s="15"/>
      <c r="CP30" s="9"/>
    </row>
    <row r="31" spans="1:94" x14ac:dyDescent="0.25">
      <c r="A31" s="43"/>
      <c r="B31" s="10"/>
      <c r="C31" s="12"/>
      <c r="D31" s="10"/>
      <c r="E31" s="12"/>
      <c r="F31" s="10"/>
      <c r="G31" s="12"/>
      <c r="H31" s="9"/>
      <c r="I31" s="15"/>
      <c r="J31" s="11">
        <v>1169</v>
      </c>
      <c r="K31" s="12" t="s">
        <v>8041</v>
      </c>
      <c r="L31" s="10"/>
      <c r="M31" s="12"/>
      <c r="N31" s="10"/>
      <c r="O31" s="12"/>
      <c r="P31" s="9"/>
      <c r="Q31" s="15"/>
      <c r="R31" s="7"/>
      <c r="S31" s="26"/>
      <c r="T31" s="11"/>
      <c r="U31" s="12"/>
      <c r="V31" s="10"/>
      <c r="W31" s="12"/>
      <c r="X31" s="10">
        <v>1099.01</v>
      </c>
      <c r="Y31" s="12" t="s">
        <v>8360</v>
      </c>
      <c r="Z31" s="11"/>
      <c r="AA31" s="12"/>
      <c r="AB31" s="10"/>
      <c r="AC31" s="12"/>
      <c r="AD31" s="10"/>
      <c r="AE31" s="12"/>
      <c r="AF31" s="10"/>
      <c r="AG31" s="12"/>
      <c r="AH31" s="10"/>
      <c r="AI31" s="12"/>
      <c r="AJ31" s="87"/>
      <c r="AK31" s="12"/>
      <c r="AL31" s="10"/>
      <c r="AM31" s="12"/>
      <c r="AN31" s="10"/>
      <c r="AO31" s="12"/>
      <c r="AP31" s="10">
        <v>2040</v>
      </c>
      <c r="AQ31" s="12" t="s">
        <v>8770</v>
      </c>
      <c r="AR31" s="10"/>
      <c r="AS31" s="12"/>
      <c r="AT31" s="10">
        <v>928</v>
      </c>
      <c r="AU31" s="12" t="s">
        <v>9003</v>
      </c>
      <c r="AV31" s="10"/>
      <c r="AW31" s="12"/>
      <c r="AX31" s="112">
        <v>1063.52</v>
      </c>
      <c r="AY31" s="26" t="s">
        <v>8994</v>
      </c>
      <c r="AZ31" s="10"/>
      <c r="BA31" s="12"/>
      <c r="BB31" s="9"/>
      <c r="BC31" s="15"/>
      <c r="BD31" s="10"/>
      <c r="BE31" s="12"/>
      <c r="BF31" s="10"/>
      <c r="BG31" s="12"/>
      <c r="BH31" s="10"/>
      <c r="BI31" s="12"/>
      <c r="BJ31" s="11"/>
      <c r="BK31" s="13"/>
      <c r="BL31" s="11"/>
      <c r="BM31" s="13"/>
      <c r="BN31" s="11"/>
      <c r="BO31" s="13"/>
      <c r="BP31" s="11"/>
      <c r="BQ31" s="13"/>
      <c r="BR31" s="11"/>
      <c r="BS31" s="13"/>
      <c r="BT31" s="11"/>
      <c r="BU31" s="13"/>
      <c r="BV31" s="11"/>
      <c r="BW31" s="13"/>
      <c r="BX31" s="11"/>
      <c r="BY31" s="13"/>
      <c r="BZ31" s="11"/>
      <c r="CA31" s="13"/>
      <c r="CB31" s="11"/>
      <c r="CC31" s="13"/>
      <c r="CD31" s="11"/>
      <c r="CE31" s="13"/>
      <c r="CF31" s="11"/>
      <c r="CG31" s="13"/>
      <c r="CH31" s="11"/>
      <c r="CI31" s="13"/>
      <c r="CJ31" s="11"/>
      <c r="CK31" s="13"/>
      <c r="CL31" s="11"/>
      <c r="CM31" s="13"/>
      <c r="CN31" s="11"/>
      <c r="CO31" s="13"/>
      <c r="CP31" s="11"/>
    </row>
    <row r="32" spans="1:94" x14ac:dyDescent="0.25">
      <c r="A32" s="41"/>
      <c r="B32" s="7"/>
      <c r="C32" s="26"/>
      <c r="D32" s="7"/>
      <c r="E32" s="26"/>
      <c r="F32" s="7"/>
      <c r="G32" s="26"/>
      <c r="H32" s="9"/>
      <c r="I32" s="15"/>
      <c r="J32" s="9">
        <v>4785.01</v>
      </c>
      <c r="K32" s="26" t="s">
        <v>8042</v>
      </c>
      <c r="L32" s="7"/>
      <c r="M32" s="26"/>
      <c r="N32" s="7"/>
      <c r="O32" s="26"/>
      <c r="P32" s="7"/>
      <c r="Q32" s="26"/>
      <c r="R32" s="7"/>
      <c r="S32" s="26"/>
      <c r="T32" s="9"/>
      <c r="U32" s="26"/>
      <c r="V32" s="7"/>
      <c r="W32" s="26"/>
      <c r="X32" s="7">
        <v>1169</v>
      </c>
      <c r="Y32" s="26" t="s">
        <v>8362</v>
      </c>
      <c r="Z32" s="9"/>
      <c r="AA32" s="26"/>
      <c r="AB32" s="7"/>
      <c r="AC32" s="26"/>
      <c r="AD32" s="7"/>
      <c r="AE32" s="26"/>
      <c r="AF32" s="7"/>
      <c r="AG32" s="26"/>
      <c r="AH32" s="7"/>
      <c r="AI32" s="26"/>
      <c r="AJ32" s="7"/>
      <c r="AK32" s="26"/>
      <c r="AL32" s="9"/>
      <c r="AM32" s="15"/>
      <c r="AN32" s="7"/>
      <c r="AO32" s="26"/>
      <c r="AP32" s="7">
        <v>1169</v>
      </c>
      <c r="AQ32" s="26" t="s">
        <v>8771</v>
      </c>
      <c r="AR32" s="7"/>
      <c r="AS32" s="26"/>
      <c r="AT32" s="7"/>
      <c r="AU32" s="26"/>
      <c r="AV32" s="7"/>
      <c r="AW32" s="26"/>
      <c r="AX32" s="7"/>
      <c r="AY32" s="26"/>
      <c r="AZ32" s="7"/>
      <c r="BA32" s="26"/>
      <c r="BB32" s="9"/>
      <c r="BC32" s="15"/>
      <c r="BD32" s="7"/>
      <c r="BE32" s="26"/>
      <c r="BF32" s="7"/>
      <c r="BG32" s="26"/>
      <c r="BH32" s="7"/>
      <c r="BI32" s="26"/>
      <c r="BJ32" s="9"/>
      <c r="BK32" s="15"/>
      <c r="BL32" s="9"/>
      <c r="BM32" s="15"/>
      <c r="BN32" s="9"/>
      <c r="BO32" s="15"/>
      <c r="BP32" s="9"/>
      <c r="BQ32" s="15"/>
      <c r="BR32" s="9"/>
      <c r="BS32" s="15"/>
      <c r="BT32" s="9"/>
      <c r="BU32" s="15"/>
      <c r="BV32" s="9"/>
      <c r="BW32" s="15"/>
      <c r="BX32" s="9"/>
      <c r="BY32" s="15"/>
      <c r="BZ32" s="9"/>
      <c r="CA32" s="15"/>
      <c r="CB32" s="9"/>
      <c r="CC32" s="15"/>
      <c r="CD32" s="9"/>
      <c r="CE32" s="15"/>
      <c r="CF32" s="9"/>
      <c r="CG32" s="15"/>
      <c r="CH32" s="9"/>
      <c r="CI32" s="15"/>
      <c r="CJ32" s="9"/>
      <c r="CK32" s="15"/>
      <c r="CL32" s="9"/>
      <c r="CM32" s="15"/>
      <c r="CN32" s="9"/>
      <c r="CO32" s="15"/>
      <c r="CP32" s="9"/>
    </row>
    <row r="33" spans="1:94" x14ac:dyDescent="0.25">
      <c r="A33" s="41"/>
      <c r="B33" s="7"/>
      <c r="C33" s="26"/>
      <c r="D33" s="7"/>
      <c r="E33" s="26"/>
      <c r="F33" s="7"/>
      <c r="G33" s="26"/>
      <c r="H33" s="9"/>
      <c r="I33" s="15"/>
      <c r="J33" s="9">
        <v>1169</v>
      </c>
      <c r="K33" s="26" t="s">
        <v>8043</v>
      </c>
      <c r="L33" s="7"/>
      <c r="M33" s="26"/>
      <c r="N33" s="7"/>
      <c r="O33" s="26"/>
      <c r="P33" s="7"/>
      <c r="Q33" s="26"/>
      <c r="R33" s="7"/>
      <c r="S33" s="26"/>
      <c r="T33" s="9"/>
      <c r="U33" s="26"/>
      <c r="V33" s="7"/>
      <c r="W33" s="26"/>
      <c r="X33" s="7">
        <v>1419.53</v>
      </c>
      <c r="Y33" s="26" t="s">
        <v>8364</v>
      </c>
      <c r="Z33" s="9"/>
      <c r="AA33" s="26"/>
      <c r="AB33" s="7"/>
      <c r="AC33" s="26"/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>
        <v>569.88</v>
      </c>
      <c r="AQ33" s="26" t="s">
        <v>8774</v>
      </c>
      <c r="AR33" s="7"/>
      <c r="AS33" s="26"/>
      <c r="AT33" s="7"/>
      <c r="AU33" s="26"/>
      <c r="AV33" s="7"/>
      <c r="AW33" s="26"/>
      <c r="AX33" s="7"/>
      <c r="AY33" s="26"/>
      <c r="AZ33" s="7"/>
      <c r="BA33" s="26"/>
      <c r="BB33" s="9"/>
      <c r="BC33" s="15"/>
      <c r="BD33" s="7"/>
      <c r="BE33" s="26"/>
      <c r="BF33" s="7"/>
      <c r="BG33" s="26"/>
      <c r="BH33" s="7"/>
      <c r="BI33" s="26"/>
      <c r="BJ33" s="9"/>
      <c r="BK33" s="15"/>
      <c r="BL33" s="9"/>
      <c r="BM33" s="15"/>
      <c r="BN33" s="9"/>
      <c r="BO33" s="15"/>
      <c r="BP33" s="9"/>
      <c r="BQ33" s="15"/>
      <c r="BR33" s="9"/>
      <c r="BS33" s="15"/>
      <c r="BT33" s="9"/>
      <c r="BU33" s="15"/>
      <c r="BV33" s="9"/>
      <c r="BW33" s="15"/>
      <c r="BX33" s="9"/>
      <c r="BY33" s="15"/>
      <c r="BZ33" s="9"/>
      <c r="CA33" s="15"/>
      <c r="CB33" s="9"/>
      <c r="CC33" s="15"/>
      <c r="CD33" s="9"/>
      <c r="CE33" s="15"/>
      <c r="CF33" s="9"/>
      <c r="CG33" s="15"/>
      <c r="CH33" s="9"/>
      <c r="CI33" s="15"/>
      <c r="CJ33" s="9"/>
      <c r="CK33" s="15"/>
      <c r="CL33" s="9"/>
      <c r="CM33" s="15"/>
      <c r="CN33" s="9"/>
      <c r="CO33" s="15"/>
      <c r="CP33" s="9"/>
    </row>
    <row r="34" spans="1:94" x14ac:dyDescent="0.25">
      <c r="A34" s="41"/>
      <c r="B34" s="7"/>
      <c r="C34" s="26"/>
      <c r="D34" s="7"/>
      <c r="E34" s="26"/>
      <c r="F34" s="7"/>
      <c r="G34" s="26"/>
      <c r="H34" s="9"/>
      <c r="I34" s="15"/>
      <c r="J34" s="9">
        <v>1099</v>
      </c>
      <c r="K34" s="26" t="s">
        <v>8045</v>
      </c>
      <c r="L34" s="7"/>
      <c r="M34" s="26"/>
      <c r="N34" s="7"/>
      <c r="O34" s="26"/>
      <c r="P34" s="7"/>
      <c r="Q34" s="26"/>
      <c r="R34" s="7"/>
      <c r="S34" s="26"/>
      <c r="T34" s="9"/>
      <c r="U34" s="26"/>
      <c r="V34" s="7"/>
      <c r="W34" s="26"/>
      <c r="X34" s="7">
        <v>159.69</v>
      </c>
      <c r="Y34" s="26" t="s">
        <v>8365</v>
      </c>
      <c r="Z34" s="9"/>
      <c r="AA34" s="26"/>
      <c r="AB34" s="7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>
        <v>2716.13</v>
      </c>
      <c r="AQ34" s="26" t="s">
        <v>8775</v>
      </c>
      <c r="AR34" s="7"/>
      <c r="AS34" s="26"/>
      <c r="AT34" s="7"/>
      <c r="AU34" s="26"/>
      <c r="AV34" s="7"/>
      <c r="AW34" s="26"/>
      <c r="AX34" s="7"/>
      <c r="AY34" s="26"/>
      <c r="AZ34" s="7"/>
      <c r="BA34" s="26"/>
      <c r="BB34" s="9"/>
      <c r="BC34" s="15"/>
      <c r="BD34" s="7"/>
      <c r="BE34" s="26"/>
      <c r="BF34" s="7"/>
      <c r="BG34" s="26"/>
      <c r="BH34" s="7"/>
      <c r="BI34" s="26"/>
      <c r="BJ34" s="9"/>
      <c r="BK34" s="15"/>
      <c r="BL34" s="9"/>
      <c r="BM34" s="15"/>
      <c r="BN34" s="9"/>
      <c r="BO34" s="15"/>
      <c r="BP34" s="9"/>
      <c r="BQ34" s="15"/>
      <c r="BR34" s="9"/>
      <c r="BS34" s="15"/>
      <c r="BT34" s="9"/>
      <c r="BU34" s="15"/>
      <c r="BV34" s="9"/>
      <c r="BW34" s="15"/>
      <c r="BX34" s="9"/>
      <c r="BY34" s="15"/>
      <c r="BZ34" s="9"/>
      <c r="CA34" s="15"/>
      <c r="CB34" s="9"/>
      <c r="CC34" s="15"/>
      <c r="CD34" s="9"/>
      <c r="CE34" s="15"/>
      <c r="CF34" s="9"/>
      <c r="CG34" s="15"/>
      <c r="CH34" s="9"/>
      <c r="CI34" s="15"/>
      <c r="CJ34" s="9"/>
      <c r="CK34" s="15"/>
      <c r="CL34" s="9"/>
      <c r="CM34" s="15"/>
      <c r="CN34" s="9"/>
      <c r="CO34" s="15"/>
      <c r="CP34" s="9"/>
    </row>
    <row r="35" spans="1:94" x14ac:dyDescent="0.25">
      <c r="A35" s="41"/>
      <c r="B35" s="7"/>
      <c r="C35" s="26"/>
      <c r="D35" s="7"/>
      <c r="E35" s="26"/>
      <c r="F35" s="7"/>
      <c r="G35" s="26"/>
      <c r="H35" s="9"/>
      <c r="I35" s="15"/>
      <c r="J35" s="9">
        <v>1392</v>
      </c>
      <c r="K35" s="26" t="s">
        <v>8046</v>
      </c>
      <c r="L35" s="7"/>
      <c r="M35" s="26"/>
      <c r="N35" s="7"/>
      <c r="O35" s="26"/>
      <c r="P35" s="7"/>
      <c r="Q35" s="26"/>
      <c r="R35" s="7"/>
      <c r="S35" s="26"/>
      <c r="T35" s="9"/>
      <c r="U35" s="26"/>
      <c r="V35" s="7"/>
      <c r="W35" s="26"/>
      <c r="X35" s="7">
        <v>636.65</v>
      </c>
      <c r="Y35" s="26" t="s">
        <v>8366</v>
      </c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>
        <v>2000</v>
      </c>
      <c r="AQ35" s="26" t="s">
        <v>8776</v>
      </c>
      <c r="AR35" s="7"/>
      <c r="AS35" s="26"/>
      <c r="AT35" s="7"/>
      <c r="AU35" s="26"/>
      <c r="AV35" s="7"/>
      <c r="AW35" s="26"/>
      <c r="AX35" s="7"/>
      <c r="AY35" s="26"/>
      <c r="AZ35" s="7"/>
      <c r="BA35" s="26"/>
      <c r="BB35" s="9"/>
      <c r="BC35" s="15"/>
      <c r="BD35" s="7"/>
      <c r="BE35" s="26"/>
      <c r="BF35" s="7"/>
      <c r="BG35" s="26"/>
      <c r="BH35" s="7"/>
      <c r="BI35" s="26"/>
      <c r="BJ35" s="9"/>
      <c r="BK35" s="15"/>
      <c r="BL35" s="9"/>
      <c r="BM35" s="15"/>
      <c r="BN35" s="9"/>
      <c r="BO35" s="15"/>
      <c r="BP35" s="9"/>
      <c r="BQ35" s="15"/>
      <c r="BR35" s="9"/>
      <c r="BS35" s="15"/>
      <c r="BT35" s="9"/>
      <c r="BU35" s="15"/>
      <c r="BV35" s="9"/>
      <c r="BW35" s="15"/>
      <c r="BX35" s="9"/>
      <c r="BY35" s="15"/>
      <c r="BZ35" s="9"/>
      <c r="CA35" s="15"/>
      <c r="CB35" s="9"/>
      <c r="CC35" s="15"/>
      <c r="CD35" s="9"/>
      <c r="CE35" s="15"/>
      <c r="CF35" s="9"/>
      <c r="CG35" s="15"/>
      <c r="CH35" s="9"/>
      <c r="CI35" s="15"/>
      <c r="CJ35" s="9"/>
      <c r="CK35" s="15"/>
      <c r="CL35" s="9"/>
      <c r="CM35" s="15"/>
      <c r="CN35" s="9"/>
      <c r="CO35" s="15"/>
      <c r="CP35" s="9"/>
    </row>
    <row r="36" spans="1:94" x14ac:dyDescent="0.25">
      <c r="A36" s="41"/>
      <c r="B36" s="7"/>
      <c r="C36" s="26"/>
      <c r="D36" s="7"/>
      <c r="E36" s="26"/>
      <c r="F36" s="7"/>
      <c r="G36" s="26"/>
      <c r="H36" s="9"/>
      <c r="I36" s="15"/>
      <c r="J36" s="9">
        <v>1518.99</v>
      </c>
      <c r="K36" s="26" t="s">
        <v>8047</v>
      </c>
      <c r="L36" s="7"/>
      <c r="M36" s="26"/>
      <c r="N36" s="7"/>
      <c r="O36" s="26"/>
      <c r="P36" s="7"/>
      <c r="Q36" s="26"/>
      <c r="R36" s="7"/>
      <c r="S36" s="26"/>
      <c r="T36" s="9"/>
      <c r="U36" s="26"/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/>
      <c r="AU36" s="26"/>
      <c r="AV36" s="7"/>
      <c r="AW36" s="26"/>
      <c r="AX36" s="7"/>
      <c r="AY36" s="26"/>
      <c r="AZ36" s="7"/>
      <c r="BA36" s="26"/>
      <c r="BB36" s="9"/>
      <c r="BC36" s="15"/>
      <c r="BD36" s="7"/>
      <c r="BE36" s="26"/>
      <c r="BF36" s="7"/>
      <c r="BG36" s="26"/>
      <c r="BH36" s="7"/>
      <c r="BI36" s="26"/>
      <c r="BJ36" s="9"/>
      <c r="BK36" s="15"/>
      <c r="BL36" s="9"/>
      <c r="BM36" s="15"/>
      <c r="BN36" s="9"/>
      <c r="BO36" s="15"/>
      <c r="BP36" s="9"/>
      <c r="BQ36" s="15"/>
      <c r="BR36" s="9"/>
      <c r="BS36" s="15"/>
      <c r="BT36" s="9"/>
      <c r="BU36" s="15"/>
      <c r="BV36" s="9"/>
      <c r="BW36" s="15"/>
      <c r="BX36" s="9"/>
      <c r="BY36" s="15"/>
      <c r="BZ36" s="9"/>
      <c r="CA36" s="15"/>
      <c r="CB36" s="9"/>
      <c r="CC36" s="15"/>
      <c r="CD36" s="9"/>
      <c r="CE36" s="15"/>
      <c r="CF36" s="9"/>
      <c r="CG36" s="15"/>
      <c r="CH36" s="9"/>
      <c r="CI36" s="15"/>
      <c r="CJ36" s="9"/>
      <c r="CK36" s="15"/>
      <c r="CL36" s="9"/>
      <c r="CM36" s="15"/>
      <c r="CN36" s="9"/>
      <c r="CO36" s="15"/>
      <c r="CP36" s="9"/>
    </row>
    <row r="37" spans="1:94" x14ac:dyDescent="0.25">
      <c r="A37" s="41"/>
      <c r="B37" s="7"/>
      <c r="C37" s="26"/>
      <c r="D37" s="7"/>
      <c r="E37" s="26"/>
      <c r="F37" s="7"/>
      <c r="G37" s="26"/>
      <c r="H37" s="72"/>
      <c r="I37" s="24"/>
      <c r="J37" s="9">
        <v>1169</v>
      </c>
      <c r="K37" s="26" t="s">
        <v>8048</v>
      </c>
      <c r="L37" s="7"/>
      <c r="M37" s="26"/>
      <c r="N37" s="7"/>
      <c r="O37" s="26"/>
      <c r="P37" s="7"/>
      <c r="Q37" s="26"/>
      <c r="R37" s="7"/>
      <c r="S37" s="26"/>
      <c r="T37" s="9"/>
      <c r="U37" s="26"/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/>
      <c r="AU37" s="26"/>
      <c r="AV37" s="7"/>
      <c r="AW37" s="26"/>
      <c r="AX37" s="7"/>
      <c r="AY37" s="26"/>
      <c r="AZ37" s="7"/>
      <c r="BA37" s="26"/>
      <c r="BB37" s="9"/>
      <c r="BC37" s="15"/>
      <c r="BD37" s="7"/>
      <c r="BE37" s="26"/>
      <c r="BF37" s="7"/>
      <c r="BG37" s="26"/>
      <c r="BH37" s="7"/>
      <c r="BI37" s="26"/>
      <c r="BJ37" s="9"/>
      <c r="BK37" s="15"/>
      <c r="BL37" s="9"/>
      <c r="BM37" s="15"/>
      <c r="BN37" s="9"/>
      <c r="BO37" s="15"/>
      <c r="BP37" s="9"/>
      <c r="BQ37" s="15"/>
      <c r="BR37" s="9"/>
      <c r="BS37" s="15"/>
      <c r="BT37" s="9"/>
      <c r="BU37" s="15"/>
      <c r="BV37" s="9"/>
      <c r="BW37" s="15"/>
      <c r="BX37" s="9"/>
      <c r="BY37" s="15"/>
      <c r="BZ37" s="9"/>
      <c r="CA37" s="15"/>
      <c r="CB37" s="9"/>
      <c r="CC37" s="15"/>
      <c r="CD37" s="9"/>
      <c r="CE37" s="15"/>
      <c r="CF37" s="9"/>
      <c r="CG37" s="15"/>
      <c r="CH37" s="9"/>
      <c r="CI37" s="15"/>
      <c r="CJ37" s="9"/>
      <c r="CK37" s="15"/>
      <c r="CL37" s="9"/>
      <c r="CM37" s="15"/>
      <c r="CN37" s="9"/>
      <c r="CO37" s="15"/>
      <c r="CP37" s="9"/>
    </row>
    <row r="38" spans="1:94" x14ac:dyDescent="0.25">
      <c r="A38" s="41"/>
      <c r="B38" s="7"/>
      <c r="C38" s="26"/>
      <c r="D38" s="7"/>
      <c r="E38" s="26"/>
      <c r="F38" s="7"/>
      <c r="G38" s="26"/>
      <c r="H38" s="9"/>
      <c r="I38" s="15"/>
      <c r="J38" s="9">
        <v>130.47999999999999</v>
      </c>
      <c r="K38" s="26" t="s">
        <v>8050</v>
      </c>
      <c r="L38" s="7"/>
      <c r="M38" s="26"/>
      <c r="N38" s="7"/>
      <c r="O38" s="26"/>
      <c r="P38" s="7"/>
      <c r="Q38" s="26"/>
      <c r="R38" s="7"/>
      <c r="S38" s="26"/>
      <c r="T38" s="9"/>
      <c r="U38" s="26"/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7"/>
      <c r="BA38" s="26"/>
      <c r="BB38" s="9"/>
      <c r="BC38" s="15"/>
      <c r="BD38" s="7"/>
      <c r="BE38" s="26"/>
      <c r="BF38" s="7"/>
      <c r="BG38" s="26"/>
      <c r="BH38" s="7"/>
      <c r="BI38" s="26"/>
      <c r="BJ38" s="9"/>
      <c r="BK38" s="15"/>
      <c r="BL38" s="9"/>
      <c r="BM38" s="15"/>
      <c r="BN38" s="9"/>
      <c r="BO38" s="15"/>
      <c r="BP38" s="9"/>
      <c r="BQ38" s="15"/>
      <c r="BR38" s="9"/>
      <c r="BS38" s="15"/>
      <c r="BT38" s="9"/>
      <c r="BU38" s="15"/>
      <c r="BV38" s="9"/>
      <c r="BW38" s="15"/>
      <c r="BX38" s="9"/>
      <c r="BY38" s="15"/>
      <c r="BZ38" s="9"/>
      <c r="CA38" s="15"/>
      <c r="CB38" s="9"/>
      <c r="CC38" s="15"/>
      <c r="CD38" s="9"/>
      <c r="CE38" s="15"/>
      <c r="CF38" s="9"/>
      <c r="CG38" s="15"/>
      <c r="CH38" s="9"/>
      <c r="CI38" s="15"/>
      <c r="CJ38" s="9"/>
      <c r="CK38" s="15"/>
      <c r="CL38" s="9"/>
      <c r="CM38" s="15"/>
      <c r="CN38" s="9"/>
      <c r="CO38" s="15"/>
      <c r="CP38" s="9"/>
    </row>
    <row r="39" spans="1:94" x14ac:dyDescent="0.25">
      <c r="A39" s="41"/>
      <c r="B39" s="7"/>
      <c r="C39" s="26"/>
      <c r="D39" s="7"/>
      <c r="E39" s="26"/>
      <c r="F39" s="7"/>
      <c r="G39" s="26"/>
      <c r="H39" s="9"/>
      <c r="I39" s="15"/>
      <c r="J39" s="9">
        <v>1908.66</v>
      </c>
      <c r="K39" s="26" t="s">
        <v>8051</v>
      </c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7"/>
      <c r="BA39" s="26"/>
      <c r="BB39" s="9"/>
      <c r="BC39" s="15"/>
      <c r="BD39" s="7"/>
      <c r="BE39" s="26"/>
      <c r="BF39" s="7"/>
      <c r="BG39" s="26"/>
      <c r="BH39" s="7"/>
      <c r="BI39" s="26"/>
      <c r="BJ39" s="9"/>
      <c r="BK39" s="15"/>
      <c r="BL39" s="9"/>
      <c r="BM39" s="15"/>
      <c r="BN39" s="9"/>
      <c r="BO39" s="15"/>
      <c r="BP39" s="9"/>
      <c r="BQ39" s="15"/>
      <c r="BR39" s="9"/>
      <c r="BS39" s="15"/>
      <c r="BT39" s="9"/>
      <c r="BU39" s="15"/>
      <c r="BV39" s="9"/>
      <c r="BW39" s="15"/>
      <c r="BX39" s="9"/>
      <c r="BY39" s="15"/>
      <c r="BZ39" s="9"/>
      <c r="CA39" s="15"/>
      <c r="CB39" s="9"/>
      <c r="CC39" s="15"/>
      <c r="CD39" s="9"/>
      <c r="CE39" s="15"/>
      <c r="CF39" s="9"/>
      <c r="CG39" s="15"/>
      <c r="CH39" s="9"/>
      <c r="CI39" s="15"/>
      <c r="CJ39" s="9"/>
      <c r="CK39" s="15"/>
      <c r="CL39" s="9"/>
      <c r="CM39" s="15"/>
      <c r="CN39" s="9"/>
      <c r="CO39" s="15"/>
      <c r="CP39" s="9"/>
    </row>
    <row r="40" spans="1:94" x14ac:dyDescent="0.25">
      <c r="A40" s="41"/>
      <c r="B40" s="7"/>
      <c r="C40" s="26"/>
      <c r="D40" s="7"/>
      <c r="E40" s="26"/>
      <c r="F40" s="7"/>
      <c r="G40" s="26"/>
      <c r="H40" s="9"/>
      <c r="I40" s="15"/>
      <c r="J40" s="9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7"/>
      <c r="BA40" s="26"/>
      <c r="BB40" s="9"/>
      <c r="BC40" s="15"/>
      <c r="BD40" s="7"/>
      <c r="BE40" s="26"/>
      <c r="BF40" s="7"/>
      <c r="BG40" s="26"/>
      <c r="BH40" s="7"/>
      <c r="BI40" s="26"/>
      <c r="BJ40" s="9"/>
      <c r="BK40" s="15"/>
      <c r="BL40" s="9"/>
      <c r="BM40" s="15"/>
      <c r="BN40" s="9"/>
      <c r="BO40" s="15"/>
      <c r="BP40" s="9"/>
      <c r="BQ40" s="15"/>
      <c r="BR40" s="9"/>
      <c r="BS40" s="15"/>
      <c r="BT40" s="9"/>
      <c r="BU40" s="15"/>
      <c r="BV40" s="9"/>
      <c r="BW40" s="15"/>
      <c r="BX40" s="9"/>
      <c r="BY40" s="15"/>
      <c r="BZ40" s="9"/>
      <c r="CA40" s="15"/>
      <c r="CB40" s="9"/>
      <c r="CC40" s="15"/>
      <c r="CD40" s="9"/>
      <c r="CE40" s="15"/>
      <c r="CF40" s="9"/>
      <c r="CG40" s="15"/>
      <c r="CH40" s="9"/>
      <c r="CI40" s="15"/>
      <c r="CJ40" s="9"/>
      <c r="CK40" s="15"/>
      <c r="CL40" s="9"/>
      <c r="CM40" s="15"/>
      <c r="CN40" s="9"/>
      <c r="CO40" s="15"/>
      <c r="CP40" s="9"/>
    </row>
    <row r="41" spans="1:94" x14ac:dyDescent="0.25">
      <c r="A41" s="41"/>
      <c r="B41" s="7"/>
      <c r="C41" s="26"/>
      <c r="D41" s="7"/>
      <c r="E41" s="26"/>
      <c r="F41" s="7"/>
      <c r="G41" s="26"/>
      <c r="H41" s="9"/>
      <c r="I41" s="15"/>
      <c r="J41" s="9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7"/>
      <c r="AE41" s="26"/>
      <c r="AF41" s="19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7"/>
      <c r="BA41" s="26"/>
      <c r="BB41" s="9"/>
      <c r="BC41" s="15"/>
      <c r="BD41" s="7"/>
      <c r="BE41" s="26"/>
      <c r="BF41" s="7"/>
      <c r="BG41" s="26"/>
      <c r="BH41" s="7"/>
      <c r="BI41" s="26"/>
      <c r="BJ41" s="9"/>
      <c r="BK41" s="15"/>
      <c r="BL41" s="9"/>
      <c r="BM41" s="15"/>
      <c r="BN41" s="9"/>
      <c r="BO41" s="15"/>
      <c r="BP41" s="9"/>
      <c r="BQ41" s="15"/>
      <c r="BR41" s="9"/>
      <c r="BS41" s="15"/>
      <c r="BT41" s="9"/>
      <c r="BU41" s="15"/>
      <c r="BV41" s="9"/>
      <c r="BW41" s="15"/>
      <c r="BX41" s="9"/>
      <c r="BY41" s="15"/>
      <c r="BZ41" s="9"/>
      <c r="CA41" s="15"/>
      <c r="CB41" s="9"/>
      <c r="CC41" s="15"/>
      <c r="CD41" s="9"/>
      <c r="CE41" s="15"/>
      <c r="CF41" s="9"/>
      <c r="CG41" s="15"/>
      <c r="CH41" s="9"/>
      <c r="CI41" s="15"/>
      <c r="CJ41" s="9"/>
      <c r="CK41" s="15"/>
      <c r="CL41" s="9"/>
      <c r="CM41" s="15"/>
      <c r="CN41" s="9"/>
      <c r="CO41" s="15"/>
      <c r="CP41" s="9"/>
    </row>
    <row r="42" spans="1:94" x14ac:dyDescent="0.25">
      <c r="A42" s="41"/>
      <c r="B42" s="7"/>
      <c r="C42" s="26"/>
      <c r="D42" s="7"/>
      <c r="E42" s="26"/>
      <c r="F42" s="7"/>
      <c r="G42" s="26"/>
      <c r="H42" s="9"/>
      <c r="I42" s="15"/>
      <c r="J42" s="9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7"/>
      <c r="BA42" s="26"/>
      <c r="BB42" s="9"/>
      <c r="BC42" s="15"/>
      <c r="BD42" s="7"/>
      <c r="BE42" s="26"/>
      <c r="BF42" s="7"/>
      <c r="BG42" s="26"/>
      <c r="BH42" s="7"/>
      <c r="BI42" s="26"/>
      <c r="BJ42" s="9"/>
      <c r="BK42" s="15"/>
      <c r="BL42" s="9"/>
      <c r="BM42" s="15"/>
      <c r="BN42" s="9"/>
      <c r="BO42" s="15"/>
      <c r="BP42" s="9"/>
      <c r="BQ42" s="15"/>
      <c r="BR42" s="9"/>
      <c r="BS42" s="15"/>
      <c r="BT42" s="9"/>
      <c r="BU42" s="15"/>
      <c r="BV42" s="9"/>
      <c r="BW42" s="15"/>
      <c r="BX42" s="9"/>
      <c r="BY42" s="15"/>
      <c r="BZ42" s="9"/>
      <c r="CA42" s="15"/>
      <c r="CB42" s="9"/>
      <c r="CC42" s="15"/>
      <c r="CD42" s="9"/>
      <c r="CE42" s="15"/>
      <c r="CF42" s="9"/>
      <c r="CG42" s="15"/>
      <c r="CH42" s="9"/>
      <c r="CI42" s="15"/>
      <c r="CJ42" s="9"/>
      <c r="CK42" s="15"/>
      <c r="CL42" s="9"/>
      <c r="CM42" s="15"/>
      <c r="CN42" s="9"/>
      <c r="CO42" s="15"/>
      <c r="CP42" s="9"/>
    </row>
    <row r="43" spans="1:94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7"/>
      <c r="BA43" s="26"/>
      <c r="BB43" s="9"/>
      <c r="BC43" s="15"/>
      <c r="BD43" s="7"/>
      <c r="BE43" s="26"/>
      <c r="BF43" s="7"/>
      <c r="BG43" s="26"/>
      <c r="BH43" s="7"/>
      <c r="BI43" s="26"/>
      <c r="BJ43" s="9"/>
      <c r="BK43" s="15"/>
      <c r="BL43" s="9"/>
      <c r="BM43" s="15"/>
      <c r="BN43" s="9"/>
      <c r="BO43" s="15"/>
      <c r="BP43" s="9"/>
      <c r="BQ43" s="15"/>
      <c r="BR43" s="9"/>
      <c r="BS43" s="15"/>
      <c r="BT43" s="9"/>
      <c r="BU43" s="15"/>
      <c r="BV43" s="9"/>
      <c r="BW43" s="15"/>
      <c r="BX43" s="9"/>
      <c r="BY43" s="15"/>
      <c r="BZ43" s="9"/>
      <c r="CA43" s="15"/>
      <c r="CB43" s="9"/>
      <c r="CC43" s="15"/>
      <c r="CD43" s="9"/>
      <c r="CE43" s="15"/>
      <c r="CF43" s="9"/>
      <c r="CG43" s="15"/>
      <c r="CH43" s="9"/>
      <c r="CI43" s="15"/>
      <c r="CJ43" s="9"/>
      <c r="CK43" s="15"/>
      <c r="CL43" s="9"/>
      <c r="CM43" s="15"/>
      <c r="CN43" s="9"/>
      <c r="CO43" s="15"/>
      <c r="CP43" s="9"/>
    </row>
    <row r="44" spans="1:94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7"/>
      <c r="BA44" s="26"/>
      <c r="BB44" s="9"/>
      <c r="BC44" s="15"/>
      <c r="BD44" s="7"/>
      <c r="BE44" s="26"/>
      <c r="BF44" s="7"/>
      <c r="BG44" s="26"/>
      <c r="BH44" s="7"/>
      <c r="BI44" s="26"/>
      <c r="BJ44" s="9"/>
      <c r="BK44" s="15"/>
      <c r="BL44" s="9"/>
      <c r="BM44" s="15"/>
      <c r="BN44" s="9"/>
      <c r="BO44" s="15"/>
      <c r="BP44" s="9"/>
      <c r="BQ44" s="15"/>
      <c r="BR44" s="9"/>
      <c r="BS44" s="15"/>
      <c r="BT44" s="9"/>
      <c r="BU44" s="15"/>
      <c r="BV44" s="9"/>
      <c r="BW44" s="15"/>
      <c r="BX44" s="9"/>
      <c r="BY44" s="15"/>
      <c r="BZ44" s="9"/>
      <c r="CA44" s="15"/>
      <c r="CB44" s="9"/>
      <c r="CC44" s="15"/>
      <c r="CD44" s="9"/>
      <c r="CE44" s="15"/>
      <c r="CF44" s="9"/>
      <c r="CG44" s="15"/>
      <c r="CH44" s="9"/>
      <c r="CI44" s="15"/>
      <c r="CJ44" s="9"/>
      <c r="CK44" s="15"/>
      <c r="CL44" s="9"/>
      <c r="CM44" s="15"/>
      <c r="CN44" s="9"/>
      <c r="CO44" s="15"/>
      <c r="CP44" s="9"/>
    </row>
    <row r="45" spans="1:94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7"/>
      <c r="BA45" s="26"/>
      <c r="BB45" s="9"/>
      <c r="BC45" s="15"/>
      <c r="BD45" s="7"/>
      <c r="BE45" s="26"/>
      <c r="BF45" s="7"/>
      <c r="BG45" s="26"/>
      <c r="BH45" s="7"/>
      <c r="BI45" s="26"/>
      <c r="BJ45" s="9"/>
      <c r="BK45" s="15"/>
      <c r="BL45" s="9"/>
      <c r="BM45" s="15"/>
      <c r="BN45" s="9"/>
      <c r="BO45" s="15"/>
      <c r="BP45" s="9"/>
      <c r="BQ45" s="15"/>
      <c r="BR45" s="9"/>
      <c r="BS45" s="15"/>
      <c r="BT45" s="9"/>
      <c r="BU45" s="15"/>
      <c r="BV45" s="9"/>
      <c r="BW45" s="15"/>
      <c r="BX45" s="9"/>
      <c r="BY45" s="15"/>
      <c r="BZ45" s="9"/>
      <c r="CA45" s="15"/>
      <c r="CB45" s="9"/>
      <c r="CC45" s="15"/>
      <c r="CD45" s="9"/>
      <c r="CE45" s="15"/>
      <c r="CF45" s="9"/>
      <c r="CG45" s="15"/>
      <c r="CH45" s="9"/>
      <c r="CI45" s="15"/>
      <c r="CJ45" s="9"/>
      <c r="CK45" s="15"/>
      <c r="CL45" s="9"/>
      <c r="CM45" s="15"/>
      <c r="CN45" s="9"/>
      <c r="CO45" s="15"/>
      <c r="CP45" s="9"/>
    </row>
    <row r="46" spans="1:94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7"/>
      <c r="BA46" s="26"/>
      <c r="BB46" s="9"/>
      <c r="BC46" s="15"/>
      <c r="BD46" s="7"/>
      <c r="BE46" s="26"/>
      <c r="BF46" s="7"/>
      <c r="BG46" s="26"/>
      <c r="BH46" s="7"/>
      <c r="BI46" s="26"/>
      <c r="BJ46" s="9"/>
      <c r="BK46" s="15"/>
      <c r="BL46" s="9"/>
      <c r="BM46" s="15"/>
      <c r="BN46" s="9"/>
      <c r="BO46" s="15"/>
      <c r="BP46" s="9"/>
      <c r="BQ46" s="15"/>
      <c r="BR46" s="9"/>
      <c r="BS46" s="15"/>
      <c r="BT46" s="9"/>
      <c r="BU46" s="15"/>
      <c r="BV46" s="9"/>
      <c r="BW46" s="15"/>
      <c r="BX46" s="9"/>
      <c r="BY46" s="15"/>
      <c r="BZ46" s="9"/>
      <c r="CA46" s="15"/>
      <c r="CB46" s="9"/>
      <c r="CC46" s="15"/>
      <c r="CD46" s="9"/>
      <c r="CE46" s="15"/>
      <c r="CF46" s="9"/>
      <c r="CG46" s="15"/>
      <c r="CH46" s="9"/>
      <c r="CI46" s="15"/>
      <c r="CJ46" s="9"/>
      <c r="CK46" s="15"/>
      <c r="CL46" s="9"/>
      <c r="CM46" s="15"/>
      <c r="CN46" s="9"/>
      <c r="CO46" s="15"/>
      <c r="CP46" s="9"/>
    </row>
    <row r="47" spans="1:94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7"/>
      <c r="BA47" s="26"/>
      <c r="BB47" s="9"/>
      <c r="BC47" s="15"/>
      <c r="BD47" s="7"/>
      <c r="BE47" s="26"/>
      <c r="BF47" s="7"/>
      <c r="BG47" s="26"/>
      <c r="BH47" s="7"/>
      <c r="BI47" s="26"/>
      <c r="BJ47" s="9"/>
      <c r="BK47" s="15"/>
      <c r="BL47" s="9"/>
      <c r="BM47" s="15"/>
      <c r="BN47" s="9"/>
      <c r="BO47" s="15"/>
      <c r="BP47" s="9"/>
      <c r="BQ47" s="15"/>
      <c r="BR47" s="9"/>
      <c r="BS47" s="15"/>
      <c r="BT47" s="9"/>
      <c r="BU47" s="15"/>
      <c r="BV47" s="9"/>
      <c r="BW47" s="15"/>
      <c r="BX47" s="9"/>
      <c r="BY47" s="15"/>
      <c r="BZ47" s="9"/>
      <c r="CA47" s="15"/>
      <c r="CB47" s="9"/>
      <c r="CC47" s="15"/>
      <c r="CD47" s="9"/>
      <c r="CE47" s="15"/>
      <c r="CF47" s="9"/>
      <c r="CG47" s="15"/>
      <c r="CH47" s="9"/>
      <c r="CI47" s="15"/>
      <c r="CJ47" s="9"/>
      <c r="CK47" s="15"/>
      <c r="CL47" s="9"/>
      <c r="CM47" s="15"/>
      <c r="CN47" s="9"/>
      <c r="CO47" s="15"/>
      <c r="CP47" s="9"/>
    </row>
    <row r="48" spans="1:94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7"/>
      <c r="BA48" s="26"/>
      <c r="BB48" s="9"/>
      <c r="BC48" s="15"/>
      <c r="BD48" s="7"/>
      <c r="BE48" s="26"/>
      <c r="BF48" s="7"/>
      <c r="BG48" s="26"/>
      <c r="BH48" s="7"/>
      <c r="BI48" s="26"/>
      <c r="BJ48" s="9"/>
      <c r="BK48" s="15"/>
      <c r="BL48" s="9"/>
      <c r="BM48" s="15"/>
      <c r="BN48" s="9"/>
      <c r="BO48" s="15"/>
      <c r="BP48" s="9"/>
      <c r="BQ48" s="15"/>
      <c r="BR48" s="9"/>
      <c r="BS48" s="15"/>
      <c r="BT48" s="9"/>
      <c r="BU48" s="15"/>
      <c r="BV48" s="9"/>
      <c r="BW48" s="15"/>
      <c r="BX48" s="9"/>
      <c r="BY48" s="15"/>
      <c r="BZ48" s="9"/>
      <c r="CA48" s="15"/>
      <c r="CB48" s="9"/>
      <c r="CC48" s="15"/>
      <c r="CD48" s="9"/>
      <c r="CE48" s="15"/>
      <c r="CF48" s="9"/>
      <c r="CG48" s="15"/>
      <c r="CH48" s="9"/>
      <c r="CI48" s="15"/>
      <c r="CJ48" s="9"/>
      <c r="CK48" s="15"/>
      <c r="CL48" s="9"/>
      <c r="CM48" s="15"/>
      <c r="CN48" s="9"/>
      <c r="CO48" s="15"/>
      <c r="CP48" s="9"/>
    </row>
    <row r="49" spans="1:94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7"/>
      <c r="BA49" s="26"/>
      <c r="BB49" s="9"/>
      <c r="BC49" s="15"/>
      <c r="BD49" s="7"/>
      <c r="BE49" s="26"/>
      <c r="BF49" s="7"/>
      <c r="BG49" s="26"/>
      <c r="BH49" s="7"/>
      <c r="BI49" s="26"/>
      <c r="BJ49" s="9"/>
      <c r="BK49" s="15"/>
      <c r="BL49" s="9"/>
      <c r="BM49" s="15"/>
      <c r="BN49" s="9"/>
      <c r="BO49" s="15"/>
      <c r="BP49" s="9"/>
      <c r="BQ49" s="15"/>
      <c r="BR49" s="9"/>
      <c r="BS49" s="15"/>
      <c r="BT49" s="9"/>
      <c r="BU49" s="15"/>
      <c r="BV49" s="9"/>
      <c r="BW49" s="15"/>
      <c r="BX49" s="9"/>
      <c r="BY49" s="15"/>
      <c r="BZ49" s="9"/>
      <c r="CA49" s="15"/>
      <c r="CB49" s="9"/>
      <c r="CC49" s="15"/>
      <c r="CD49" s="9"/>
      <c r="CE49" s="15"/>
      <c r="CF49" s="9"/>
      <c r="CG49" s="15"/>
      <c r="CH49" s="9"/>
      <c r="CI49" s="15"/>
      <c r="CJ49" s="9"/>
      <c r="CK49" s="15"/>
      <c r="CL49" s="9"/>
      <c r="CM49" s="15"/>
      <c r="CN49" s="9"/>
      <c r="CO49" s="15"/>
      <c r="CP49" s="9"/>
    </row>
    <row r="50" spans="1:94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7"/>
      <c r="BA50" s="26"/>
      <c r="BB50" s="9"/>
      <c r="BC50" s="15"/>
      <c r="BD50" s="7"/>
      <c r="BE50" s="26"/>
      <c r="BF50" s="7"/>
      <c r="BG50" s="26"/>
      <c r="BH50" s="7"/>
      <c r="BI50" s="26"/>
      <c r="BJ50" s="9"/>
      <c r="BK50" s="15"/>
      <c r="BL50" s="9"/>
      <c r="BM50" s="15"/>
      <c r="BN50" s="9"/>
      <c r="BO50" s="15"/>
      <c r="BP50" s="9"/>
      <c r="BQ50" s="15"/>
      <c r="BR50" s="9"/>
      <c r="BS50" s="15"/>
      <c r="BT50" s="9"/>
      <c r="BU50" s="15"/>
      <c r="BV50" s="9"/>
      <c r="BW50" s="15"/>
      <c r="BX50" s="9"/>
      <c r="BY50" s="15"/>
      <c r="BZ50" s="9"/>
      <c r="CA50" s="15"/>
      <c r="CB50" s="9"/>
      <c r="CC50" s="15"/>
      <c r="CD50" s="9"/>
      <c r="CE50" s="15"/>
      <c r="CF50" s="9"/>
      <c r="CG50" s="15"/>
      <c r="CH50" s="9"/>
      <c r="CI50" s="15"/>
      <c r="CJ50" s="9"/>
      <c r="CK50" s="15"/>
      <c r="CL50" s="9"/>
      <c r="CM50" s="15"/>
      <c r="CN50" s="9"/>
      <c r="CO50" s="15"/>
      <c r="CP50" s="9"/>
    </row>
    <row r="51" spans="1:94" x14ac:dyDescent="0.25">
      <c r="A51" s="39" t="s">
        <v>1</v>
      </c>
      <c r="B51" s="7">
        <f>+B3+B4</f>
        <v>28840.13</v>
      </c>
      <c r="C51" s="26"/>
      <c r="D51" s="7">
        <f>+D3+D4</f>
        <v>3000</v>
      </c>
      <c r="E51" s="26"/>
      <c r="F51" s="7">
        <f>+F3+F4</f>
        <v>103455.27</v>
      </c>
      <c r="G51" s="26"/>
      <c r="H51" s="7">
        <f>+H3+H4</f>
        <v>123801.23</v>
      </c>
      <c r="I51" s="26"/>
      <c r="J51" s="7">
        <f>+J3+J4</f>
        <v>238631.67999999999</v>
      </c>
      <c r="K51" s="26"/>
      <c r="L51" s="7">
        <f>+L3+L4</f>
        <v>30808.07</v>
      </c>
      <c r="M51" s="26"/>
      <c r="N51" s="7">
        <f>+N3+N4</f>
        <v>120424.88</v>
      </c>
      <c r="O51" s="26"/>
      <c r="P51" s="7">
        <f>+P3+P4</f>
        <v>177874.85</v>
      </c>
      <c r="Q51" s="26"/>
      <c r="R51" s="7">
        <f>+R3+R4</f>
        <v>5000</v>
      </c>
      <c r="S51" s="26"/>
      <c r="T51" s="7">
        <f>+T3+T4</f>
        <v>139666.87</v>
      </c>
      <c r="U51" s="26"/>
      <c r="V51" s="7">
        <f>+V3+V4</f>
        <v>84201.09</v>
      </c>
      <c r="W51" s="26"/>
      <c r="X51" s="7">
        <f>+X3+X4</f>
        <v>51027.14</v>
      </c>
      <c r="Y51" s="26"/>
      <c r="Z51" s="7">
        <f>+Z3+Z4</f>
        <v>141077.4</v>
      </c>
      <c r="AA51" s="26"/>
      <c r="AB51" s="7">
        <f>+AB3+AB4</f>
        <v>335934.5</v>
      </c>
      <c r="AC51" s="26"/>
      <c r="AD51" s="7">
        <f>+AD3+AD4</f>
        <v>100507.73</v>
      </c>
      <c r="AE51" s="26"/>
      <c r="AF51" s="7">
        <f>+AF3+AF4</f>
        <v>7000</v>
      </c>
      <c r="AG51" s="26"/>
      <c r="AH51" s="7">
        <f>+AH3+AH4</f>
        <v>85292.7</v>
      </c>
      <c r="AI51" s="26"/>
      <c r="AJ51" s="7">
        <f>+AJ3+AJ4</f>
        <v>190449.97999999998</v>
      </c>
      <c r="AK51" s="26"/>
      <c r="AL51" s="7">
        <f>+AL3+AL4</f>
        <v>84528.040000000008</v>
      </c>
      <c r="AM51" s="26"/>
      <c r="AN51" s="7">
        <f>+AN3+AN4</f>
        <v>62517.42</v>
      </c>
      <c r="AO51" s="26"/>
      <c r="AP51" s="7">
        <f>+AP3+AP4</f>
        <v>251232.91</v>
      </c>
      <c r="AQ51" s="26"/>
      <c r="AR51" s="7">
        <f>+AR3+AR4</f>
        <v>61393.38</v>
      </c>
      <c r="AS51" s="26"/>
      <c r="AT51" s="7">
        <f>+AT3+AT4</f>
        <v>233161.54</v>
      </c>
      <c r="AU51" s="26"/>
      <c r="AV51" s="7">
        <f>+AV3+AV4</f>
        <v>202459.69</v>
      </c>
      <c r="AW51" s="26"/>
      <c r="AX51" s="7">
        <f>+AX3+AX4</f>
        <v>44866.380000000005</v>
      </c>
      <c r="AY51" s="26"/>
      <c r="AZ51" s="7">
        <f>+AZ3+AZ4</f>
        <v>57557.08</v>
      </c>
      <c r="BA51" s="26"/>
      <c r="BB51" s="7">
        <f>+BB3+BB4</f>
        <v>29740.43</v>
      </c>
      <c r="BC51" s="15"/>
      <c r="BD51" s="7">
        <f>+BD3+BD4</f>
        <v>46709.99</v>
      </c>
      <c r="BE51" s="26"/>
      <c r="BF51" s="7">
        <f>+BF3+BF4</f>
        <v>33019.68</v>
      </c>
      <c r="BG51" s="26"/>
      <c r="BH51" s="7"/>
      <c r="BI51" s="26"/>
      <c r="BJ51" s="9"/>
      <c r="BK51" s="15"/>
      <c r="BL51" s="9"/>
      <c r="BM51" s="15"/>
      <c r="BN51" s="9"/>
      <c r="BO51" s="15"/>
      <c r="BP51" s="9"/>
      <c r="BQ51" s="15"/>
      <c r="BR51" s="9"/>
      <c r="BS51" s="15"/>
      <c r="BT51" s="9"/>
      <c r="BU51" s="15"/>
      <c r="BV51" s="9"/>
      <c r="BW51" s="15"/>
      <c r="BX51" s="9"/>
      <c r="BY51" s="15"/>
      <c r="BZ51" s="9"/>
      <c r="CA51" s="15"/>
      <c r="CB51" s="9"/>
      <c r="CC51" s="15"/>
      <c r="CD51" s="9"/>
      <c r="CE51" s="15"/>
      <c r="CF51" s="66"/>
      <c r="CG51" s="60"/>
      <c r="CH51" s="66"/>
      <c r="CI51" s="60"/>
      <c r="CJ51" s="66"/>
      <c r="CK51" s="60"/>
      <c r="CL51" s="66"/>
      <c r="CM51" s="60"/>
      <c r="CN51" s="66"/>
      <c r="CO51" s="60"/>
      <c r="CP51" s="66"/>
    </row>
    <row r="52" spans="1:94" x14ac:dyDescent="0.25">
      <c r="A52" s="39" t="s">
        <v>2</v>
      </c>
      <c r="B52" s="26">
        <f>+SUM(B5:B48)</f>
        <v>28840.109999999993</v>
      </c>
      <c r="C52" s="26"/>
      <c r="D52" s="26">
        <f>+SUM(D5:D48)</f>
        <v>3000</v>
      </c>
      <c r="E52" s="26"/>
      <c r="F52" s="26">
        <f>+SUM(F5:F48)</f>
        <v>103455.27</v>
      </c>
      <c r="G52" s="26"/>
      <c r="H52" s="26">
        <f>+SUM(H5:H48)</f>
        <v>123288.16</v>
      </c>
      <c r="I52" s="26"/>
      <c r="J52" s="26">
        <f>+SUM(J5:J48)</f>
        <v>238631.69999999998</v>
      </c>
      <c r="K52" s="26"/>
      <c r="L52" s="26">
        <f>+SUM(L5:L48)</f>
        <v>30808.07</v>
      </c>
      <c r="M52" s="26"/>
      <c r="N52" s="26">
        <f>+SUM(N5:N48)</f>
        <v>120424.88</v>
      </c>
      <c r="O52" s="26"/>
      <c r="P52" s="26">
        <f>+SUM(P5:P48)</f>
        <v>178179.77000000002</v>
      </c>
      <c r="Q52" s="26"/>
      <c r="R52" s="26">
        <f>+SUM(R5:R48)</f>
        <v>5000</v>
      </c>
      <c r="S52" s="26"/>
      <c r="T52" s="26">
        <f>+SUM(T5:T48)</f>
        <v>139666.86999999997</v>
      </c>
      <c r="U52" s="26"/>
      <c r="V52" s="26">
        <f>+SUM(V5:V48)</f>
        <v>84201.090000000011</v>
      </c>
      <c r="W52" s="26"/>
      <c r="X52" s="26">
        <f>+SUM(X5:X48)</f>
        <v>51027.140000000007</v>
      </c>
      <c r="Y52" s="26"/>
      <c r="Z52" s="26">
        <f>+SUM(Z5:Z48)</f>
        <v>141077.40000000005</v>
      </c>
      <c r="AA52" s="26"/>
      <c r="AB52" s="26">
        <f>+SUM(AB5:AB48)</f>
        <v>335934.5</v>
      </c>
      <c r="AC52" s="26"/>
      <c r="AD52" s="26">
        <f>+SUM(AD5:AD48)</f>
        <v>100507.73000000001</v>
      </c>
      <c r="AE52" s="26"/>
      <c r="AF52" s="26">
        <f>+SUM(AF5:AF48)</f>
        <v>7000</v>
      </c>
      <c r="AG52" s="26"/>
      <c r="AH52" s="26">
        <f>+SUM(AH5:AH48)</f>
        <v>85292.760000000009</v>
      </c>
      <c r="AI52" s="26"/>
      <c r="AJ52" s="26">
        <f>+SUM(AJ5:AJ48)</f>
        <v>190449.98</v>
      </c>
      <c r="AK52" s="26"/>
      <c r="AL52" s="26">
        <f>+SUM(AL5:AL48)</f>
        <v>84527.62000000001</v>
      </c>
      <c r="AM52" s="26"/>
      <c r="AN52" s="26">
        <f>+SUM(AN5:AN48)</f>
        <v>62517.420000000013</v>
      </c>
      <c r="AO52" s="26"/>
      <c r="AP52" s="26">
        <f>+SUM(AP5:AP48)</f>
        <v>251232.91</v>
      </c>
      <c r="AQ52" s="26"/>
      <c r="AR52" s="26">
        <f>+SUM(AR5:AR48)</f>
        <v>61393.38</v>
      </c>
      <c r="AS52" s="26"/>
      <c r="AT52" s="26">
        <f>+SUM(AT5:AT48)</f>
        <v>233161.54</v>
      </c>
      <c r="AU52" s="26"/>
      <c r="AV52" s="26">
        <f>+SUM(AV5:AV48)</f>
        <v>202459.68999999997</v>
      </c>
      <c r="AW52" s="26"/>
      <c r="AX52" s="26">
        <f>+SUM(AX5:AX48)</f>
        <v>44866.38</v>
      </c>
      <c r="AY52" s="26"/>
      <c r="AZ52" s="26">
        <f>+SUM(AZ5:AZ48)</f>
        <v>57560.08</v>
      </c>
      <c r="BA52" s="26"/>
      <c r="BB52" s="26">
        <f>+SUM(BB5:BB48)</f>
        <v>29740.43</v>
      </c>
      <c r="BC52" s="15"/>
      <c r="BD52" s="26">
        <f>+SUM(BD5:BD48)</f>
        <v>46709.99</v>
      </c>
      <c r="BE52" s="26"/>
      <c r="BF52" s="26">
        <f>+SUM(BF5:BF48)</f>
        <v>33019.679999999993</v>
      </c>
      <c r="BG52" s="26"/>
      <c r="BH52" s="26"/>
      <c r="BI52" s="26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</row>
    <row r="53" spans="1:94" x14ac:dyDescent="0.25">
      <c r="A53" s="39" t="s">
        <v>3</v>
      </c>
      <c r="B53" s="117">
        <f>+B51-B52</f>
        <v>2.0000000007712515E-2</v>
      </c>
      <c r="C53" s="117"/>
      <c r="D53" s="117">
        <f>+D51-D52</f>
        <v>0</v>
      </c>
      <c r="E53" s="117"/>
      <c r="F53" s="117">
        <f>+F51-F52</f>
        <v>0</v>
      </c>
      <c r="G53" s="117"/>
      <c r="H53" s="117">
        <f>+H51-H52</f>
        <v>513.06999999999243</v>
      </c>
      <c r="I53" s="117"/>
      <c r="J53" s="117">
        <f>+J51-J52</f>
        <v>-1.9999999989522621E-2</v>
      </c>
      <c r="K53" s="117"/>
      <c r="L53" s="117">
        <f>+L51-L52</f>
        <v>0</v>
      </c>
      <c r="M53" s="117"/>
      <c r="N53" s="117">
        <f>+N51-N52</f>
        <v>0</v>
      </c>
      <c r="O53" s="117"/>
      <c r="P53" s="117">
        <f>+P51-P52</f>
        <v>-304.92000000001281</v>
      </c>
      <c r="Q53" s="117"/>
      <c r="R53" s="117">
        <f>+R51-R52</f>
        <v>0</v>
      </c>
      <c r="S53" s="117"/>
      <c r="T53" s="117">
        <f>+T51-T52</f>
        <v>0</v>
      </c>
      <c r="U53" s="117"/>
      <c r="V53" s="117">
        <f>+V51-V52</f>
        <v>0</v>
      </c>
      <c r="W53" s="117"/>
      <c r="X53" s="117">
        <f>+X51-X52</f>
        <v>0</v>
      </c>
      <c r="Y53" s="117"/>
      <c r="Z53" s="117">
        <f>+Z51-Z52</f>
        <v>0</v>
      </c>
      <c r="AA53" s="117"/>
      <c r="AB53" s="117">
        <f>+AB51-AB52</f>
        <v>0</v>
      </c>
      <c r="AC53" s="117"/>
      <c r="AD53" s="117">
        <f>+AD51-AD52</f>
        <v>0</v>
      </c>
      <c r="AE53" s="117"/>
      <c r="AF53" s="117">
        <f>+AF51-AF52</f>
        <v>0</v>
      </c>
      <c r="AG53" s="117"/>
      <c r="AH53" s="117">
        <f>+AH51-AH52</f>
        <v>-6.0000000012223609E-2</v>
      </c>
      <c r="AI53" s="117"/>
      <c r="AJ53" s="117">
        <f>+AJ51-AJ52</f>
        <v>0</v>
      </c>
      <c r="AK53" s="117"/>
      <c r="AL53" s="117">
        <f>+AL51-AL52</f>
        <v>0.41999999999825377</v>
      </c>
      <c r="AM53" s="117"/>
      <c r="AN53" s="117">
        <f>+AN51-AN52</f>
        <v>0</v>
      </c>
      <c r="AO53" s="117"/>
      <c r="AP53" s="117">
        <f>+AP51-AP52</f>
        <v>0</v>
      </c>
      <c r="AQ53" s="117"/>
      <c r="AR53" s="117">
        <f>+AR51-AR52</f>
        <v>0</v>
      </c>
      <c r="AS53" s="117"/>
      <c r="AT53" s="117">
        <f>+AT51-AT52</f>
        <v>0</v>
      </c>
      <c r="AU53" s="117"/>
      <c r="AV53" s="117">
        <f>+AV51-AV52</f>
        <v>0</v>
      </c>
      <c r="AW53" s="117"/>
      <c r="AX53" s="117">
        <f>+AX51-AX52</f>
        <v>0</v>
      </c>
      <c r="AY53" s="117"/>
      <c r="AZ53" s="117">
        <f>+AZ51-AZ52</f>
        <v>-3</v>
      </c>
      <c r="BA53" s="117"/>
      <c r="BB53" s="117">
        <f>+BB51-BB52</f>
        <v>0</v>
      </c>
      <c r="BC53" s="134"/>
      <c r="BD53" s="117">
        <f>+BD51-BD52</f>
        <v>0</v>
      </c>
      <c r="BE53" s="117"/>
      <c r="BF53" s="117">
        <f>+BF51-BF52</f>
        <v>0</v>
      </c>
      <c r="BG53" s="117"/>
      <c r="BH53" s="117"/>
      <c r="BI53" s="117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</row>
    <row r="54" spans="1:94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18"/>
      <c r="AA54" s="59"/>
      <c r="AB54" s="18"/>
      <c r="AC54" s="59"/>
      <c r="AD54" s="18"/>
      <c r="AE54" s="59"/>
      <c r="AF54" s="18"/>
      <c r="AG54" s="59"/>
      <c r="AH54" s="18"/>
      <c r="AI54" s="59"/>
      <c r="AJ54" s="18"/>
      <c r="AK54" s="59"/>
      <c r="AL54" s="18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59"/>
      <c r="AX54" s="18"/>
      <c r="AY54" s="59"/>
      <c r="AZ54" s="18"/>
      <c r="BA54" s="59"/>
      <c r="BB54" s="18"/>
      <c r="BC54" s="25"/>
      <c r="BD54" s="18"/>
      <c r="BE54" s="59"/>
      <c r="BF54" s="18"/>
      <c r="BG54" s="59"/>
      <c r="BH54" s="18"/>
      <c r="BI54" s="59"/>
      <c r="BJ54" s="75"/>
      <c r="BK54" s="25"/>
      <c r="BL54" s="75"/>
      <c r="BM54" s="25"/>
      <c r="BN54" s="75"/>
      <c r="BO54" s="25"/>
      <c r="BP54" s="75"/>
      <c r="BQ54" s="25"/>
      <c r="BR54" s="75"/>
      <c r="BS54" s="25"/>
      <c r="BT54" s="75"/>
      <c r="BU54" s="25"/>
      <c r="BV54" s="75"/>
      <c r="BW54" s="25"/>
      <c r="BX54" s="75"/>
      <c r="BY54" s="25"/>
      <c r="BZ54" s="75"/>
      <c r="CA54" s="25"/>
      <c r="CB54" s="75"/>
      <c r="CC54" s="25"/>
      <c r="CD54" s="75"/>
      <c r="CE54" s="25"/>
      <c r="CF54" s="76"/>
      <c r="CG54" s="234"/>
      <c r="CH54" s="76"/>
      <c r="CI54" s="234"/>
      <c r="CJ54" s="76"/>
      <c r="CK54" s="234"/>
      <c r="CL54" s="76"/>
      <c r="CM54" s="234"/>
      <c r="CN54" s="76"/>
      <c r="CO54" s="234"/>
      <c r="CP54" s="76"/>
    </row>
    <row r="55" spans="1:94" x14ac:dyDescent="0.25">
      <c r="A55" s="48"/>
      <c r="B55" s="163"/>
      <c r="C55" s="59"/>
      <c r="D55" s="163"/>
      <c r="E55" s="59"/>
      <c r="F55" s="163"/>
      <c r="G55" s="59"/>
      <c r="H55" s="163"/>
      <c r="I55" s="59"/>
      <c r="J55" s="163"/>
      <c r="K55" s="59"/>
      <c r="L55" s="163"/>
      <c r="M55" s="59"/>
      <c r="N55" s="163"/>
      <c r="O55" s="59"/>
      <c r="P55" s="163"/>
      <c r="Q55" s="59"/>
      <c r="R55" s="18"/>
      <c r="S55" s="59"/>
      <c r="T55" s="141"/>
      <c r="U55" s="59"/>
      <c r="V55" s="141"/>
      <c r="W55" s="59"/>
      <c r="X55" s="141"/>
      <c r="Y55" s="59"/>
      <c r="Z55" s="163"/>
      <c r="AA55" s="59"/>
      <c r="AB55" s="18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59"/>
      <c r="AX55" s="18"/>
      <c r="AY55" s="59"/>
      <c r="AZ55" s="18"/>
      <c r="BA55" s="59"/>
      <c r="BB55" s="75"/>
      <c r="BC55" s="25"/>
      <c r="BD55" s="18"/>
      <c r="BE55" s="59"/>
      <c r="BF55" s="18"/>
      <c r="BG55" s="59"/>
      <c r="BH55" s="18"/>
      <c r="BI55" s="59"/>
      <c r="BJ55" s="75"/>
      <c r="BK55" s="25"/>
      <c r="BL55" s="75"/>
      <c r="BM55" s="25"/>
      <c r="BN55" s="75"/>
      <c r="BO55" s="25"/>
      <c r="BP55" s="75"/>
      <c r="BQ55" s="25"/>
      <c r="BR55" s="75"/>
      <c r="BS55" s="25"/>
      <c r="BT55" s="75"/>
      <c r="BU55" s="25"/>
      <c r="BV55" s="75"/>
      <c r="BW55" s="25"/>
      <c r="BX55" s="75"/>
      <c r="BY55" s="25"/>
      <c r="BZ55" s="75"/>
      <c r="CA55" s="25"/>
      <c r="CB55" s="75"/>
      <c r="CC55" s="25"/>
      <c r="CD55" s="75"/>
      <c r="CE55" s="25"/>
      <c r="CF55" s="76"/>
      <c r="CG55" s="234"/>
      <c r="CH55" s="76"/>
      <c r="CI55" s="234"/>
      <c r="CJ55" s="76"/>
      <c r="CK55" s="234"/>
      <c r="CL55" s="76"/>
      <c r="CM55" s="234"/>
      <c r="CN55" s="76"/>
      <c r="CO55" s="234"/>
      <c r="CP55" s="76"/>
    </row>
    <row r="56" spans="1:94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0"/>
      <c r="BA56" s="12"/>
      <c r="BB56" s="11"/>
      <c r="BC56" s="13"/>
      <c r="BD56" s="10"/>
      <c r="BE56" s="12"/>
      <c r="BF56" s="10"/>
      <c r="BG56" s="12"/>
      <c r="BH56" s="10"/>
      <c r="BI56" s="12"/>
      <c r="BJ56" s="11"/>
      <c r="BK56" s="13"/>
      <c r="BL56" s="11"/>
      <c r="BM56" s="13"/>
      <c r="BN56" s="11"/>
      <c r="BO56" s="13"/>
      <c r="BP56" s="11"/>
      <c r="BQ56" s="13"/>
      <c r="BR56" s="11"/>
      <c r="BS56" s="13"/>
      <c r="BT56" s="11"/>
      <c r="BU56" s="13"/>
      <c r="BV56" s="11"/>
      <c r="BW56" s="13"/>
      <c r="BX56" s="11"/>
      <c r="BY56" s="13"/>
      <c r="BZ56" s="11"/>
      <c r="CA56" s="13"/>
      <c r="CB56" s="11"/>
      <c r="CC56" s="13"/>
      <c r="CD56" s="11"/>
      <c r="CE56" s="13"/>
      <c r="CF56" s="11"/>
      <c r="CG56" s="13"/>
      <c r="CH56" s="11"/>
      <c r="CI56" s="13"/>
      <c r="CJ56" s="11"/>
      <c r="CK56" s="13"/>
      <c r="CL56" s="11"/>
      <c r="CM56" s="13"/>
      <c r="CN56" s="11"/>
      <c r="CO56" s="13"/>
      <c r="CP56" s="11"/>
    </row>
    <row r="57" spans="1:94" x14ac:dyDescent="0.25">
      <c r="A57" s="40" t="s">
        <v>4</v>
      </c>
      <c r="B57" s="20">
        <v>42917</v>
      </c>
      <c r="C57" s="20"/>
      <c r="D57" s="20">
        <v>42918</v>
      </c>
      <c r="E57" s="20"/>
      <c r="F57" s="20">
        <v>42919</v>
      </c>
      <c r="G57" s="20"/>
      <c r="H57" s="20">
        <v>42920</v>
      </c>
      <c r="I57" s="20"/>
      <c r="J57" s="20">
        <v>42921</v>
      </c>
      <c r="K57" s="20"/>
      <c r="L57" s="20">
        <v>42922</v>
      </c>
      <c r="M57" s="20"/>
      <c r="N57" s="20">
        <v>42923</v>
      </c>
      <c r="O57" s="20"/>
      <c r="P57" s="20">
        <v>42924</v>
      </c>
      <c r="Q57" s="20"/>
      <c r="R57" s="20">
        <v>42925</v>
      </c>
      <c r="S57" s="20"/>
      <c r="T57" s="20">
        <v>42926</v>
      </c>
      <c r="U57" s="20"/>
      <c r="V57" s="20">
        <v>42927</v>
      </c>
      <c r="W57" s="20"/>
      <c r="X57" s="20">
        <v>42928</v>
      </c>
      <c r="Y57" s="20"/>
      <c r="Z57" s="20">
        <v>42929</v>
      </c>
      <c r="AA57" s="20"/>
      <c r="AB57" s="20">
        <v>42930</v>
      </c>
      <c r="AC57" s="20"/>
      <c r="AD57" s="20">
        <v>42870</v>
      </c>
      <c r="AE57" s="20"/>
      <c r="AF57" s="20">
        <v>42932</v>
      </c>
      <c r="AG57" s="20"/>
      <c r="AH57" s="20">
        <v>42933</v>
      </c>
      <c r="AI57" s="20"/>
      <c r="AJ57" s="20">
        <v>42934</v>
      </c>
      <c r="AK57" s="20"/>
      <c r="AL57" s="20">
        <v>42935</v>
      </c>
      <c r="AM57" s="20"/>
      <c r="AN57" s="20">
        <v>42936</v>
      </c>
      <c r="AO57" s="20"/>
      <c r="AP57" s="20">
        <v>42937</v>
      </c>
      <c r="AQ57" s="20"/>
      <c r="AR57" s="20">
        <v>42938</v>
      </c>
      <c r="AS57" s="20"/>
      <c r="AT57" s="20">
        <v>42940</v>
      </c>
      <c r="AU57" s="20"/>
      <c r="AV57" s="20">
        <v>42941</v>
      </c>
      <c r="AW57" s="20"/>
      <c r="AX57" s="20">
        <v>42942</v>
      </c>
      <c r="AY57" s="20"/>
      <c r="AZ57" s="20">
        <v>42943</v>
      </c>
      <c r="BA57" s="20"/>
      <c r="BB57" s="20">
        <v>42944</v>
      </c>
      <c r="BC57" s="20"/>
      <c r="BD57" s="20">
        <v>42945</v>
      </c>
      <c r="BE57" s="20"/>
      <c r="BF57" s="20">
        <v>42947</v>
      </c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</row>
    <row r="58" spans="1:94" x14ac:dyDescent="0.25">
      <c r="A58" s="49"/>
      <c r="B58" s="19"/>
      <c r="C58" s="21"/>
      <c r="D58" s="19"/>
      <c r="E58" s="21"/>
      <c r="F58" s="19"/>
      <c r="G58" s="21"/>
      <c r="H58" s="19"/>
      <c r="I58" s="21"/>
      <c r="J58" s="19"/>
      <c r="K58" s="21"/>
      <c r="L58" s="19"/>
      <c r="M58" s="21"/>
      <c r="N58" s="19"/>
      <c r="O58" s="21"/>
      <c r="P58" s="19"/>
      <c r="Q58" s="21"/>
      <c r="R58" s="19"/>
      <c r="S58" s="21"/>
      <c r="T58" s="19"/>
      <c r="U58" s="21"/>
      <c r="V58" s="19"/>
      <c r="W58" s="21"/>
      <c r="X58" s="19"/>
      <c r="Y58" s="21"/>
      <c r="Z58" s="68"/>
      <c r="AA58" s="21"/>
      <c r="AB58" s="19"/>
      <c r="AC58" s="21"/>
      <c r="AD58" s="19"/>
      <c r="AE58" s="21"/>
      <c r="AF58" s="19"/>
      <c r="AG58" s="21"/>
      <c r="AH58" s="19"/>
      <c r="AI58" s="21"/>
      <c r="AJ58" s="19"/>
      <c r="AK58" s="21"/>
      <c r="AL58" s="19"/>
      <c r="AM58" s="21"/>
      <c r="AN58" s="19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19"/>
      <c r="BA58" s="21"/>
      <c r="BB58" s="68"/>
      <c r="BC58" s="135"/>
      <c r="BD58" s="19"/>
      <c r="BE58" s="21"/>
      <c r="BF58" s="19"/>
      <c r="BG58" s="21"/>
      <c r="BH58" s="19"/>
      <c r="BI58" s="21"/>
      <c r="BJ58" s="68"/>
      <c r="BK58" s="135"/>
      <c r="BL58" s="68"/>
      <c r="BM58" s="135"/>
      <c r="BN58" s="68"/>
      <c r="BO58" s="135"/>
      <c r="BP58" s="68"/>
      <c r="BQ58" s="135"/>
      <c r="BR58" s="68"/>
      <c r="BS58" s="135"/>
      <c r="BT58" s="68"/>
      <c r="BU58" s="135"/>
      <c r="BV58" s="68"/>
      <c r="BW58" s="135"/>
      <c r="BX58" s="68"/>
      <c r="BY58" s="135"/>
      <c r="BZ58" s="68"/>
      <c r="CA58" s="135"/>
      <c r="CB58" s="68"/>
      <c r="CC58" s="135"/>
      <c r="CD58" s="68"/>
      <c r="CE58" s="135"/>
      <c r="CF58" s="68"/>
      <c r="CG58" s="135"/>
      <c r="CH58" s="68"/>
      <c r="CI58" s="135"/>
      <c r="CJ58" s="68"/>
      <c r="CK58" s="135"/>
      <c r="CL58" s="68"/>
      <c r="CM58" s="135"/>
      <c r="CN58" s="68"/>
      <c r="CO58" s="135"/>
      <c r="CP58" s="68"/>
    </row>
    <row r="59" spans="1:94" x14ac:dyDescent="0.25">
      <c r="A59" s="41" t="s">
        <v>5</v>
      </c>
      <c r="B59" s="9">
        <v>1099</v>
      </c>
      <c r="C59" s="15" t="s">
        <v>7865</v>
      </c>
      <c r="D59" s="9"/>
      <c r="E59" s="15"/>
      <c r="F59" s="9">
        <v>884.44</v>
      </c>
      <c r="G59" s="15" t="s">
        <v>7908</v>
      </c>
      <c r="H59" s="112">
        <v>2474.23</v>
      </c>
      <c r="I59" s="15" t="s">
        <v>7949</v>
      </c>
      <c r="J59" s="9">
        <v>20000</v>
      </c>
      <c r="K59" s="15" t="s">
        <v>7987</v>
      </c>
      <c r="L59" s="9">
        <v>5000</v>
      </c>
      <c r="M59" s="15" t="s">
        <v>8055</v>
      </c>
      <c r="N59" s="9">
        <v>5651.32</v>
      </c>
      <c r="O59" s="15" t="s">
        <v>8074</v>
      </c>
      <c r="P59" s="9">
        <v>7531.96</v>
      </c>
      <c r="Q59" s="15" t="s">
        <v>8122</v>
      </c>
      <c r="R59" s="9"/>
      <c r="S59" s="15"/>
      <c r="T59" s="9">
        <v>4096.05</v>
      </c>
      <c r="U59" s="15" t="s">
        <v>8171</v>
      </c>
      <c r="V59" s="9">
        <v>243.52</v>
      </c>
      <c r="W59" s="15" t="s">
        <v>8225</v>
      </c>
      <c r="X59" s="9">
        <v>1169</v>
      </c>
      <c r="Y59" s="15" t="s">
        <v>8315</v>
      </c>
      <c r="Z59" s="9">
        <v>2369.0100000000002</v>
      </c>
      <c r="AA59" s="15" t="s">
        <v>8375</v>
      </c>
      <c r="AB59" s="9">
        <v>3637.02</v>
      </c>
      <c r="AC59" s="15" t="s">
        <v>8464</v>
      </c>
      <c r="AD59" s="9">
        <v>1587.01</v>
      </c>
      <c r="AE59" s="15" t="s">
        <v>8421</v>
      </c>
      <c r="AF59" s="15"/>
      <c r="AG59" s="15"/>
      <c r="AH59" s="9">
        <v>20000</v>
      </c>
      <c r="AI59" s="15" t="s">
        <v>8498</v>
      </c>
      <c r="AJ59" s="9">
        <v>5344.28</v>
      </c>
      <c r="AK59" s="15" t="s">
        <v>8560</v>
      </c>
      <c r="AL59" s="9">
        <v>6693.98</v>
      </c>
      <c r="AM59" s="15" t="s">
        <v>8599</v>
      </c>
      <c r="AN59" s="9">
        <v>20000</v>
      </c>
      <c r="AO59" s="15" t="s">
        <v>8650</v>
      </c>
      <c r="AP59" s="9">
        <v>4218.8999999999996</v>
      </c>
      <c r="AQ59" s="15" t="s">
        <v>8717</v>
      </c>
      <c r="AR59" s="9">
        <v>4465</v>
      </c>
      <c r="AS59" s="15" t="s">
        <v>8783</v>
      </c>
      <c r="AT59" s="9">
        <v>5800</v>
      </c>
      <c r="AU59" s="15" t="s">
        <v>8820</v>
      </c>
      <c r="AV59" s="9">
        <v>3250</v>
      </c>
      <c r="AW59" s="15" t="s">
        <v>8898</v>
      </c>
      <c r="AX59" s="9">
        <v>3238.99</v>
      </c>
      <c r="AY59" s="15" t="s">
        <v>8917</v>
      </c>
      <c r="AZ59" s="9">
        <v>12404.27</v>
      </c>
      <c r="BA59" s="15" t="s">
        <v>8998</v>
      </c>
      <c r="BB59" s="10">
        <v>3521.76</v>
      </c>
      <c r="BC59" s="12" t="s">
        <v>9008</v>
      </c>
      <c r="BD59" s="9">
        <v>20000</v>
      </c>
      <c r="BE59" s="15" t="s">
        <v>9085</v>
      </c>
      <c r="BF59" s="9">
        <v>1169</v>
      </c>
      <c r="BG59" s="15" t="s">
        <v>9151</v>
      </c>
      <c r="BH59" s="120"/>
      <c r="BI59" s="120"/>
      <c r="BJ59" s="9"/>
      <c r="BK59" s="9"/>
      <c r="BL59" s="9"/>
      <c r="BM59" s="15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  <c r="CO59" s="15"/>
      <c r="CP59" s="9"/>
    </row>
    <row r="60" spans="1:94" x14ac:dyDescent="0.25">
      <c r="A60" s="41"/>
      <c r="B60" s="9">
        <v>2040</v>
      </c>
      <c r="C60" s="15" t="s">
        <v>7866</v>
      </c>
      <c r="D60" s="9"/>
      <c r="E60" s="15"/>
      <c r="F60" s="9">
        <v>1169</v>
      </c>
      <c r="G60" s="15" t="s">
        <v>7911</v>
      </c>
      <c r="H60" s="11">
        <v>1519</v>
      </c>
      <c r="I60" s="13" t="s">
        <v>7953</v>
      </c>
      <c r="J60" s="72">
        <v>696</v>
      </c>
      <c r="K60" s="24" t="s">
        <v>7988</v>
      </c>
      <c r="L60" s="9">
        <v>3346.44</v>
      </c>
      <c r="M60" s="15" t="s">
        <v>8056</v>
      </c>
      <c r="N60" s="9">
        <v>15124.76</v>
      </c>
      <c r="O60" s="15" t="s">
        <v>8079</v>
      </c>
      <c r="P60" s="9">
        <v>5000</v>
      </c>
      <c r="Q60" s="15" t="s">
        <v>8125</v>
      </c>
      <c r="R60" s="9"/>
      <c r="S60" s="15"/>
      <c r="T60" s="9">
        <v>3649</v>
      </c>
      <c r="U60" s="15" t="s">
        <v>8175</v>
      </c>
      <c r="V60" s="9">
        <v>1000</v>
      </c>
      <c r="W60" s="15" t="s">
        <v>8231</v>
      </c>
      <c r="X60" s="9">
        <v>175</v>
      </c>
      <c r="Y60" s="15" t="s">
        <v>8316</v>
      </c>
      <c r="Z60" s="9">
        <v>3319.99</v>
      </c>
      <c r="AA60" s="15" t="s">
        <v>8380</v>
      </c>
      <c r="AB60" s="9">
        <v>505</v>
      </c>
      <c r="AC60" s="15" t="s">
        <v>8470</v>
      </c>
      <c r="AD60" s="72">
        <v>17106.150000000001</v>
      </c>
      <c r="AE60" s="15" t="s">
        <v>8425</v>
      </c>
      <c r="AF60" s="72"/>
      <c r="AG60" s="26"/>
      <c r="AH60" s="9"/>
      <c r="AI60" s="15"/>
      <c r="AJ60" s="72"/>
      <c r="AK60" s="15"/>
      <c r="AL60" s="9">
        <v>608.70000000000005</v>
      </c>
      <c r="AM60" s="15" t="s">
        <v>8601</v>
      </c>
      <c r="AN60" s="9">
        <v>304.92</v>
      </c>
      <c r="AO60" s="15" t="s">
        <v>8651</v>
      </c>
      <c r="AP60" s="9">
        <v>4464.5600000000004</v>
      </c>
      <c r="AQ60" s="15" t="s">
        <v>8726</v>
      </c>
      <c r="AR60" s="9">
        <v>2777</v>
      </c>
      <c r="AS60" s="15" t="s">
        <v>8784</v>
      </c>
      <c r="AT60" s="9"/>
      <c r="AU60" s="15"/>
      <c r="AV60" s="9">
        <v>1169</v>
      </c>
      <c r="AW60" s="15" t="s">
        <v>8902</v>
      </c>
      <c r="AX60" s="9"/>
      <c r="AY60" s="15"/>
      <c r="AZ60" s="9"/>
      <c r="BA60" s="15"/>
      <c r="BB60" s="26">
        <v>6235.12</v>
      </c>
      <c r="BC60" s="26" t="s">
        <v>9018</v>
      </c>
      <c r="BD60" s="72">
        <v>9538.6</v>
      </c>
      <c r="BE60" s="24" t="s">
        <v>9089</v>
      </c>
      <c r="BF60" s="9">
        <v>1114.99</v>
      </c>
      <c r="BG60" s="15" t="s">
        <v>9153</v>
      </c>
      <c r="BH60" s="120"/>
      <c r="BI60" s="120"/>
      <c r="BJ60" s="9"/>
      <c r="BK60" s="15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  <c r="CO60" s="15"/>
      <c r="CP60" s="9"/>
    </row>
    <row r="61" spans="1:94" x14ac:dyDescent="0.25">
      <c r="A61" s="43"/>
      <c r="B61" s="9">
        <v>1083.3499999999999</v>
      </c>
      <c r="C61" s="15" t="s">
        <v>7867</v>
      </c>
      <c r="D61" s="10"/>
      <c r="E61" s="12"/>
      <c r="F61" s="192">
        <v>2040</v>
      </c>
      <c r="G61" s="12" t="s">
        <v>7912</v>
      </c>
      <c r="H61" s="9">
        <v>1169</v>
      </c>
      <c r="I61" s="15" t="s">
        <v>7954</v>
      </c>
      <c r="J61" s="72">
        <v>2711.76</v>
      </c>
      <c r="K61" s="24" t="s">
        <v>7989</v>
      </c>
      <c r="L61" s="11">
        <v>4703</v>
      </c>
      <c r="M61" s="12" t="s">
        <v>8060</v>
      </c>
      <c r="N61" s="10">
        <v>9434.1299999999992</v>
      </c>
      <c r="O61" s="12" t="s">
        <v>8082</v>
      </c>
      <c r="P61" s="11">
        <v>487.04</v>
      </c>
      <c r="Q61" s="12" t="s">
        <v>8126</v>
      </c>
      <c r="R61" s="23"/>
      <c r="S61" s="12"/>
      <c r="T61" s="11">
        <v>5374.99</v>
      </c>
      <c r="U61" s="12" t="s">
        <v>8176</v>
      </c>
      <c r="V61" s="10">
        <v>1169</v>
      </c>
      <c r="W61" s="12" t="s">
        <v>8232</v>
      </c>
      <c r="X61" s="10">
        <v>152.46</v>
      </c>
      <c r="Y61" s="12" t="s">
        <v>8318</v>
      </c>
      <c r="Z61" s="111">
        <f>+Z59+Z60</f>
        <v>5689</v>
      </c>
      <c r="AA61" s="13"/>
      <c r="AB61" s="11">
        <v>498.94</v>
      </c>
      <c r="AC61" s="12" t="s">
        <v>8473</v>
      </c>
      <c r="AD61" s="127">
        <v>9360</v>
      </c>
      <c r="AE61" s="120" t="s">
        <v>8426</v>
      </c>
      <c r="AF61" s="11"/>
      <c r="AG61" s="12"/>
      <c r="AH61" s="9">
        <f>8946.77-4246.77</f>
        <v>4700</v>
      </c>
      <c r="AI61" s="15" t="s">
        <v>8518</v>
      </c>
      <c r="AJ61" s="87">
        <v>3010.11</v>
      </c>
      <c r="AK61" s="12" t="s">
        <v>8567</v>
      </c>
      <c r="AL61" s="192">
        <v>4464.99</v>
      </c>
      <c r="AM61" s="12" t="s">
        <v>8606</v>
      </c>
      <c r="AN61" s="9">
        <v>5000</v>
      </c>
      <c r="AO61" s="15" t="s">
        <v>8656</v>
      </c>
      <c r="AP61" s="9">
        <v>3319.99</v>
      </c>
      <c r="AQ61" s="15" t="s">
        <v>8728</v>
      </c>
      <c r="AR61" s="10">
        <v>2480</v>
      </c>
      <c r="AS61" s="12" t="s">
        <v>8785</v>
      </c>
      <c r="AT61" s="7">
        <v>233.32</v>
      </c>
      <c r="AU61" s="26" t="s">
        <v>8862</v>
      </c>
      <c r="AV61" s="14"/>
      <c r="AW61" s="12"/>
      <c r="AX61" s="9">
        <v>3441.96</v>
      </c>
      <c r="AY61" s="15" t="s">
        <v>8959</v>
      </c>
      <c r="AZ61" s="11">
        <v>21218.41</v>
      </c>
      <c r="BA61" s="12" t="s">
        <v>9041</v>
      </c>
      <c r="BB61" s="9">
        <v>2040</v>
      </c>
      <c r="BC61" s="15" t="s">
        <v>9020</v>
      </c>
      <c r="BD61" s="10">
        <v>2000</v>
      </c>
      <c r="BE61" s="12" t="s">
        <v>9093</v>
      </c>
      <c r="BF61" s="10">
        <v>1169</v>
      </c>
      <c r="BG61" s="12" t="s">
        <v>9155</v>
      </c>
      <c r="BH61" s="15"/>
      <c r="BI61" s="15"/>
      <c r="BJ61" s="11"/>
      <c r="BK61" s="13"/>
      <c r="BL61" s="23"/>
      <c r="BM61" s="13"/>
      <c r="BN61" s="11"/>
      <c r="BO61" s="13"/>
      <c r="BP61" s="11"/>
      <c r="BQ61" s="13"/>
      <c r="BR61" s="11"/>
      <c r="BS61" s="13"/>
      <c r="BT61" s="11"/>
      <c r="BU61" s="13"/>
      <c r="BV61" s="11"/>
      <c r="BW61" s="13"/>
      <c r="BX61" s="11"/>
      <c r="BY61" s="13"/>
      <c r="BZ61" s="11"/>
      <c r="CA61" s="13"/>
      <c r="CB61" s="11"/>
      <c r="CC61" s="13"/>
      <c r="CD61" s="11"/>
      <c r="CE61" s="13"/>
      <c r="CF61" s="11"/>
      <c r="CG61" s="13"/>
      <c r="CH61" s="11"/>
      <c r="CI61" s="13"/>
      <c r="CJ61" s="11"/>
      <c r="CK61" s="13"/>
      <c r="CL61" s="11"/>
      <c r="CM61" s="13"/>
      <c r="CN61" s="11"/>
      <c r="CO61" s="13"/>
      <c r="CP61" s="11"/>
    </row>
    <row r="62" spans="1:94" x14ac:dyDescent="0.25">
      <c r="A62" s="41"/>
      <c r="B62" s="9">
        <v>7544.36</v>
      </c>
      <c r="C62" s="26" t="s">
        <v>7871</v>
      </c>
      <c r="D62" s="121"/>
      <c r="E62" s="15"/>
      <c r="F62" s="95">
        <f>+SUM(F59:F61)</f>
        <v>4093.44</v>
      </c>
      <c r="G62" s="15"/>
      <c r="H62" s="9">
        <v>1539.01</v>
      </c>
      <c r="I62" s="15" t="s">
        <v>7956</v>
      </c>
      <c r="J62" s="9">
        <v>1169</v>
      </c>
      <c r="K62" s="15" t="s">
        <v>7999</v>
      </c>
      <c r="L62" s="9">
        <v>1168.99</v>
      </c>
      <c r="M62" s="15" t="s">
        <v>8062</v>
      </c>
      <c r="N62" s="7">
        <v>512.74</v>
      </c>
      <c r="O62" s="26" t="s">
        <v>8086</v>
      </c>
      <c r="P62" s="9">
        <v>3554.17</v>
      </c>
      <c r="Q62" s="26" t="s">
        <v>8127</v>
      </c>
      <c r="R62" s="9"/>
      <c r="S62" s="26"/>
      <c r="T62" s="95">
        <f>+SUM(T59:T61)</f>
        <v>13120.04</v>
      </c>
      <c r="U62" s="15"/>
      <c r="V62" s="9">
        <v>4464.99</v>
      </c>
      <c r="W62" s="15" t="s">
        <v>8233</v>
      </c>
      <c r="X62" s="9">
        <v>835.2</v>
      </c>
      <c r="Y62" s="15" t="s">
        <v>8328</v>
      </c>
      <c r="Z62" s="9"/>
      <c r="AA62" s="15"/>
      <c r="AB62" s="9">
        <v>1169</v>
      </c>
      <c r="AC62" s="26" t="s">
        <v>8476</v>
      </c>
      <c r="AD62" s="24">
        <v>749.58</v>
      </c>
      <c r="AE62" s="15" t="s">
        <v>8427</v>
      </c>
      <c r="AF62" s="9"/>
      <c r="AG62" s="15"/>
      <c r="AH62" s="9">
        <v>4531.07</v>
      </c>
      <c r="AI62" s="15" t="s">
        <v>8521</v>
      </c>
      <c r="AJ62" s="72">
        <v>1804.07</v>
      </c>
      <c r="AK62" s="15" t="s">
        <v>8572</v>
      </c>
      <c r="AL62" s="95">
        <f>+SUM(AL59:AL61)</f>
        <v>11767.669999999998</v>
      </c>
      <c r="AM62" s="15"/>
      <c r="AN62" s="11">
        <v>36880</v>
      </c>
      <c r="AO62" s="13" t="s">
        <v>8657</v>
      </c>
      <c r="AP62" s="9">
        <v>953</v>
      </c>
      <c r="AQ62" s="15" t="s">
        <v>8731</v>
      </c>
      <c r="AR62" s="9">
        <v>35000</v>
      </c>
      <c r="AS62" s="15" t="s">
        <v>8786</v>
      </c>
      <c r="AT62" s="9">
        <v>5000</v>
      </c>
      <c r="AU62" s="15" t="s">
        <v>8865</v>
      </c>
      <c r="AV62" s="95">
        <f>+SUM(AV59:AV61)</f>
        <v>4419</v>
      </c>
      <c r="AW62" s="15"/>
      <c r="AX62" s="9">
        <v>4439</v>
      </c>
      <c r="AY62" s="15" t="s">
        <v>8977</v>
      </c>
      <c r="AZ62" s="15">
        <v>636.54999999999995</v>
      </c>
      <c r="BA62" s="26" t="s">
        <v>9042</v>
      </c>
      <c r="BB62" s="9">
        <v>1169</v>
      </c>
      <c r="BC62" s="15" t="s">
        <v>9022</v>
      </c>
      <c r="BD62" s="9">
        <v>1169</v>
      </c>
      <c r="BE62" s="15" t="s">
        <v>9095</v>
      </c>
      <c r="BF62" s="9">
        <v>2027.02</v>
      </c>
      <c r="BG62" s="15" t="s">
        <v>9146</v>
      </c>
      <c r="BH62" s="7"/>
      <c r="BI62" s="26"/>
      <c r="BJ62" s="9"/>
      <c r="BK62" s="15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  <c r="CO62" s="15"/>
      <c r="CP62" s="9"/>
    </row>
    <row r="63" spans="1:94" x14ac:dyDescent="0.25">
      <c r="A63" s="41"/>
      <c r="B63" s="9">
        <v>2420</v>
      </c>
      <c r="C63" s="15" t="s">
        <v>7878</v>
      </c>
      <c r="D63" s="7"/>
      <c r="E63" s="26"/>
      <c r="F63" s="7"/>
      <c r="G63" s="26"/>
      <c r="H63" s="9">
        <v>3250</v>
      </c>
      <c r="I63" s="15" t="s">
        <v>7957</v>
      </c>
      <c r="J63" s="9">
        <v>2064</v>
      </c>
      <c r="K63" s="26" t="s">
        <v>8000</v>
      </c>
      <c r="L63" s="9">
        <v>2039.99</v>
      </c>
      <c r="M63" s="26" t="s">
        <v>8063</v>
      </c>
      <c r="N63" s="9">
        <v>8419.01</v>
      </c>
      <c r="O63" s="15" t="s">
        <v>8091</v>
      </c>
      <c r="P63" s="9">
        <v>1311.8</v>
      </c>
      <c r="Q63" s="15" t="s">
        <v>8128</v>
      </c>
      <c r="R63" s="9"/>
      <c r="S63" s="26"/>
      <c r="T63" s="9"/>
      <c r="U63" s="26"/>
      <c r="V63" s="95">
        <f>+SUM(V59:V62)</f>
        <v>6877.51</v>
      </c>
      <c r="W63" s="15"/>
      <c r="X63" s="9">
        <v>1169</v>
      </c>
      <c r="Y63" s="15" t="s">
        <v>8329</v>
      </c>
      <c r="Z63" s="9">
        <f>6918.33-3554.17</f>
        <v>3364.16</v>
      </c>
      <c r="AA63" s="15" t="s">
        <v>8397</v>
      </c>
      <c r="AB63" s="15">
        <v>2040</v>
      </c>
      <c r="AC63" s="26" t="s">
        <v>8480</v>
      </c>
      <c r="AD63" s="72">
        <v>5000</v>
      </c>
      <c r="AE63" s="26" t="s">
        <v>8428</v>
      </c>
      <c r="AF63" s="15"/>
      <c r="AG63" s="26"/>
      <c r="AH63" s="9">
        <v>175</v>
      </c>
      <c r="AI63" s="15" t="s">
        <v>8533</v>
      </c>
      <c r="AJ63" s="87">
        <v>1293.08</v>
      </c>
      <c r="AK63" s="26" t="s">
        <v>8577</v>
      </c>
      <c r="AL63" s="26"/>
      <c r="AM63" s="26"/>
      <c r="AN63" s="9">
        <v>1087.94</v>
      </c>
      <c r="AO63" s="26" t="s">
        <v>8660</v>
      </c>
      <c r="AP63" s="95">
        <f>+SUM(AP59:AP62)</f>
        <v>12956.449999999999</v>
      </c>
      <c r="AQ63" s="15"/>
      <c r="AR63" s="7">
        <v>625.52</v>
      </c>
      <c r="AS63" s="26" t="s">
        <v>8790</v>
      </c>
      <c r="AT63" s="9">
        <v>8423.2000000000007</v>
      </c>
      <c r="AU63" s="15" t="s">
        <v>8871</v>
      </c>
      <c r="AV63" s="9"/>
      <c r="AW63" s="15"/>
      <c r="AX63" s="95">
        <f>+AX61+AX62</f>
        <v>7880.96</v>
      </c>
      <c r="AY63" s="15"/>
      <c r="AZ63" s="9">
        <v>35000</v>
      </c>
      <c r="BA63" s="15" t="s">
        <v>9043</v>
      </c>
      <c r="BB63" s="9">
        <v>1401</v>
      </c>
      <c r="BC63" s="15" t="s">
        <v>9026</v>
      </c>
      <c r="BD63" s="7">
        <v>2065</v>
      </c>
      <c r="BE63" s="26" t="s">
        <v>9098</v>
      </c>
      <c r="BF63" s="95">
        <f>+SUM(BF59:BF62)</f>
        <v>5480.01</v>
      </c>
      <c r="BG63" s="15"/>
      <c r="BH63" s="9"/>
      <c r="BI63" s="15"/>
      <c r="BJ63" s="15"/>
      <c r="BK63" s="15"/>
      <c r="BL63" s="9"/>
      <c r="BM63" s="15"/>
      <c r="BN63" s="9"/>
      <c r="BO63" s="15"/>
      <c r="BP63" s="9"/>
      <c r="BQ63" s="15"/>
      <c r="BR63" s="9"/>
      <c r="BS63" s="15"/>
      <c r="BT63" s="9"/>
      <c r="BU63" s="15"/>
      <c r="BV63" s="9"/>
      <c r="BW63" s="15"/>
      <c r="BX63" s="9"/>
      <c r="BY63" s="15"/>
      <c r="BZ63" s="9"/>
      <c r="CA63" s="15"/>
      <c r="CB63" s="9"/>
      <c r="CC63" s="15"/>
      <c r="CD63" s="9"/>
      <c r="CE63" s="15"/>
      <c r="CF63" s="9"/>
      <c r="CG63" s="15"/>
      <c r="CH63" s="9"/>
      <c r="CI63" s="15"/>
      <c r="CJ63" s="9"/>
      <c r="CK63" s="15"/>
      <c r="CL63" s="9"/>
      <c r="CM63" s="15"/>
      <c r="CN63" s="9"/>
      <c r="CO63" s="15"/>
      <c r="CP63" s="9"/>
    </row>
    <row r="64" spans="1:94" x14ac:dyDescent="0.25">
      <c r="A64" s="41"/>
      <c r="B64" s="15">
        <v>2039</v>
      </c>
      <c r="C64" s="15" t="s">
        <v>7879</v>
      </c>
      <c r="D64" s="9"/>
      <c r="E64" s="15"/>
      <c r="F64" s="9">
        <v>5000</v>
      </c>
      <c r="G64" s="15" t="s">
        <v>7915</v>
      </c>
      <c r="H64" s="9">
        <v>1099.01</v>
      </c>
      <c r="I64" s="15" t="s">
        <v>7961</v>
      </c>
      <c r="J64" s="91">
        <f>+SUM(J59:J63)</f>
        <v>26640.760000000002</v>
      </c>
      <c r="K64" s="15"/>
      <c r="L64" s="9">
        <v>1500</v>
      </c>
      <c r="M64" s="15" t="s">
        <v>8067</v>
      </c>
      <c r="N64" s="9">
        <v>8653</v>
      </c>
      <c r="O64" s="15" t="s">
        <v>8093</v>
      </c>
      <c r="P64" s="9">
        <v>4000</v>
      </c>
      <c r="Q64" s="15" t="s">
        <v>8130</v>
      </c>
      <c r="R64" s="9"/>
      <c r="S64" s="15"/>
      <c r="T64" s="9">
        <v>278.33999999999997</v>
      </c>
      <c r="U64" s="15" t="s">
        <v>8178</v>
      </c>
      <c r="V64" s="9"/>
      <c r="W64" s="15"/>
      <c r="X64" s="9">
        <v>336.57</v>
      </c>
      <c r="Y64" s="15" t="s">
        <v>8330</v>
      </c>
      <c r="Z64" s="9">
        <v>998.01</v>
      </c>
      <c r="AA64" s="15" t="s">
        <v>8399</v>
      </c>
      <c r="AB64" s="9">
        <v>1099.01</v>
      </c>
      <c r="AC64" s="15" t="s">
        <v>8481</v>
      </c>
      <c r="AD64" s="72">
        <v>803</v>
      </c>
      <c r="AE64" s="15" t="s">
        <v>8431</v>
      </c>
      <c r="AF64" s="15"/>
      <c r="AG64" s="15"/>
      <c r="AH64" s="9">
        <f>818.4-600</f>
        <v>218.39999999999998</v>
      </c>
      <c r="AI64" s="15" t="s">
        <v>8535</v>
      </c>
      <c r="AJ64" s="72">
        <v>1169</v>
      </c>
      <c r="AK64" s="15" t="s">
        <v>8582</v>
      </c>
      <c r="AL64" s="9">
        <v>5000</v>
      </c>
      <c r="AM64" s="15" t="s">
        <v>8609</v>
      </c>
      <c r="AN64" s="9">
        <v>1168.99</v>
      </c>
      <c r="AO64" s="15" t="s">
        <v>8662</v>
      </c>
      <c r="AP64" s="9"/>
      <c r="AQ64" s="15"/>
      <c r="AR64" s="9">
        <v>20000</v>
      </c>
      <c r="AS64" s="15" t="s">
        <v>8793</v>
      </c>
      <c r="AT64" s="193">
        <v>1814.99</v>
      </c>
      <c r="AU64" s="15" t="s">
        <v>8876</v>
      </c>
      <c r="AV64" s="11">
        <v>5000</v>
      </c>
      <c r="AW64" s="13" t="s">
        <v>8934</v>
      </c>
      <c r="AX64" s="11"/>
      <c r="AY64" s="13"/>
      <c r="AZ64" s="9">
        <v>1050</v>
      </c>
      <c r="BA64" s="15" t="s">
        <v>9044</v>
      </c>
      <c r="BB64" s="11">
        <v>1970</v>
      </c>
      <c r="BC64" s="13" t="s">
        <v>9035</v>
      </c>
      <c r="BD64" s="9">
        <f>9233-8700</f>
        <v>533</v>
      </c>
      <c r="BE64" s="15" t="s">
        <v>9099</v>
      </c>
      <c r="BF64" s="9"/>
      <c r="BG64" s="15"/>
      <c r="BH64" s="15"/>
      <c r="BI64" s="15"/>
      <c r="BJ64" s="9"/>
      <c r="BK64" s="15"/>
      <c r="BL64" s="9"/>
      <c r="BM64" s="15"/>
      <c r="BN64" s="15"/>
      <c r="BO64" s="15"/>
      <c r="BP64" s="9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</row>
    <row r="65" spans="1:94" x14ac:dyDescent="0.25">
      <c r="A65" s="41"/>
      <c r="B65" s="9">
        <v>1099.01</v>
      </c>
      <c r="C65" s="15" t="s">
        <v>7884</v>
      </c>
      <c r="D65" s="15"/>
      <c r="E65" s="15"/>
      <c r="F65" s="9">
        <v>15200</v>
      </c>
      <c r="G65" s="15" t="s">
        <v>7928</v>
      </c>
      <c r="H65" s="11">
        <v>1099.01</v>
      </c>
      <c r="I65" s="13" t="s">
        <v>7962</v>
      </c>
      <c r="J65" s="72"/>
      <c r="K65" s="24"/>
      <c r="L65" s="9">
        <v>561.20000000000005</v>
      </c>
      <c r="M65" s="15" t="s">
        <v>8069</v>
      </c>
      <c r="N65" s="23">
        <v>3559</v>
      </c>
      <c r="O65" s="13" t="s">
        <v>8096</v>
      </c>
      <c r="P65" s="9">
        <v>1589</v>
      </c>
      <c r="Q65" s="15" t="s">
        <v>8131</v>
      </c>
      <c r="R65" s="9"/>
      <c r="S65" s="15"/>
      <c r="T65" s="9">
        <v>696</v>
      </c>
      <c r="U65" s="15" t="s">
        <v>8185</v>
      </c>
      <c r="V65" s="7">
        <v>11800</v>
      </c>
      <c r="W65" s="26" t="s">
        <v>8245</v>
      </c>
      <c r="X65" s="7">
        <v>4500</v>
      </c>
      <c r="Y65" s="26" t="s">
        <v>8331</v>
      </c>
      <c r="Z65" s="11">
        <v>2460</v>
      </c>
      <c r="AA65" s="13" t="s">
        <v>8410</v>
      </c>
      <c r="AB65" s="9">
        <v>2040</v>
      </c>
      <c r="AC65" s="26" t="s">
        <v>8482</v>
      </c>
      <c r="AD65" s="72">
        <v>5000</v>
      </c>
      <c r="AE65" s="15" t="s">
        <v>8433</v>
      </c>
      <c r="AF65" s="9"/>
      <c r="AG65" s="15"/>
      <c r="AH65" s="9">
        <v>3239</v>
      </c>
      <c r="AI65" s="15" t="s">
        <v>8543</v>
      </c>
      <c r="AJ65" s="72">
        <v>4146.01</v>
      </c>
      <c r="AK65" s="15" t="s">
        <v>8584</v>
      </c>
      <c r="AL65" s="9">
        <v>4465</v>
      </c>
      <c r="AM65" s="15" t="s">
        <v>8626</v>
      </c>
      <c r="AN65" s="9">
        <v>2040</v>
      </c>
      <c r="AO65" s="15" t="s">
        <v>8669</v>
      </c>
      <c r="AP65" s="9">
        <v>2670.4</v>
      </c>
      <c r="AQ65" s="15" t="s">
        <v>8765</v>
      </c>
      <c r="AR65" s="9">
        <v>626.72</v>
      </c>
      <c r="AS65" s="15" t="s">
        <v>8796</v>
      </c>
      <c r="AT65" s="9">
        <v>2250.0100000000002</v>
      </c>
      <c r="AU65" s="15" t="s">
        <v>8882</v>
      </c>
      <c r="AV65" s="9">
        <v>3250.01</v>
      </c>
      <c r="AW65" s="26" t="s">
        <v>8940</v>
      </c>
      <c r="AX65" s="9"/>
      <c r="AY65" s="26"/>
      <c r="AZ65" s="11">
        <v>260.33</v>
      </c>
      <c r="BA65" s="13" t="s">
        <v>9050</v>
      </c>
      <c r="BB65" s="194">
        <f>+SUM(BB59:BB64)</f>
        <v>16336.880000000001</v>
      </c>
      <c r="BC65" s="13"/>
      <c r="BD65" s="9">
        <v>568.45000000000005</v>
      </c>
      <c r="BE65" s="15" t="s">
        <v>9100</v>
      </c>
      <c r="BF65" s="9"/>
      <c r="BG65" s="15"/>
      <c r="BH65" s="9"/>
      <c r="BI65" s="15"/>
      <c r="BJ65" s="9"/>
      <c r="BK65" s="15"/>
      <c r="BL65" s="9"/>
      <c r="BM65" s="15"/>
      <c r="BN65" s="15"/>
      <c r="BO65" s="15"/>
      <c r="BP65" s="9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  <c r="CO65" s="15"/>
      <c r="CP65" s="9"/>
    </row>
    <row r="66" spans="1:94" x14ac:dyDescent="0.25">
      <c r="A66" s="41"/>
      <c r="B66" s="9">
        <v>1169</v>
      </c>
      <c r="C66" s="15" t="s">
        <v>7891</v>
      </c>
      <c r="D66" s="9"/>
      <c r="E66" s="15"/>
      <c r="F66" s="9">
        <v>4395.0200000000004</v>
      </c>
      <c r="G66" s="15" t="s">
        <v>7929</v>
      </c>
      <c r="H66" s="9">
        <v>1169</v>
      </c>
      <c r="I66" s="15" t="s">
        <v>7963</v>
      </c>
      <c r="J66" s="9">
        <v>138.47999999999999</v>
      </c>
      <c r="K66" s="15" t="s">
        <v>8015</v>
      </c>
      <c r="L66" s="111">
        <f>+SUM(L59:L65)</f>
        <v>18319.62</v>
      </c>
      <c r="M66" s="13"/>
      <c r="N66" s="7">
        <v>3239.01</v>
      </c>
      <c r="O66" s="26" t="s">
        <v>8097</v>
      </c>
      <c r="P66" s="11">
        <v>1168.99</v>
      </c>
      <c r="Q66" s="13" t="s">
        <v>8132</v>
      </c>
      <c r="R66" s="193"/>
      <c r="S66" s="15"/>
      <c r="T66" s="9">
        <v>1083.3499999999999</v>
      </c>
      <c r="U66" s="15" t="s">
        <v>8186</v>
      </c>
      <c r="V66" s="9">
        <v>2377.37</v>
      </c>
      <c r="W66" s="15" t="s">
        <v>8254</v>
      </c>
      <c r="X66" s="95">
        <f>+SUM(X59:X65)</f>
        <v>8337.23</v>
      </c>
      <c r="Y66" s="15"/>
      <c r="Z66" s="9">
        <v>1169</v>
      </c>
      <c r="AA66" s="15" t="s">
        <v>8413</v>
      </c>
      <c r="AB66" s="9">
        <v>464</v>
      </c>
      <c r="AC66" s="26" t="s">
        <v>8485</v>
      </c>
      <c r="AD66" s="72">
        <v>1169</v>
      </c>
      <c r="AE66" s="15" t="s">
        <v>8440</v>
      </c>
      <c r="AF66" s="9"/>
      <c r="AG66" s="15"/>
      <c r="AH66" s="9">
        <v>3319.99</v>
      </c>
      <c r="AI66" s="15" t="s">
        <v>8553</v>
      </c>
      <c r="AJ66" s="72">
        <v>2736</v>
      </c>
      <c r="AK66" s="15" t="s">
        <v>8587</v>
      </c>
      <c r="AL66" s="9">
        <v>3250.01</v>
      </c>
      <c r="AM66" s="15" t="s">
        <v>8628</v>
      </c>
      <c r="AN66" s="9">
        <v>3663.56</v>
      </c>
      <c r="AO66" s="15" t="s">
        <v>8670</v>
      </c>
      <c r="AP66" s="9">
        <v>2039.99</v>
      </c>
      <c r="AQ66" s="15" t="s">
        <v>8767</v>
      </c>
      <c r="AR66" s="9">
        <v>1970</v>
      </c>
      <c r="AS66" s="15" t="s">
        <v>4867</v>
      </c>
      <c r="AT66" s="95">
        <f>+SUM(AT61:AT65)</f>
        <v>17721.52</v>
      </c>
      <c r="AU66" s="15"/>
      <c r="AV66" s="9">
        <v>11152.88</v>
      </c>
      <c r="AW66" s="26" t="s">
        <v>8948</v>
      </c>
      <c r="AX66" s="9"/>
      <c r="AY66" s="26"/>
      <c r="AZ66" s="9">
        <v>9258.77</v>
      </c>
      <c r="BA66" s="26" t="s">
        <v>9051</v>
      </c>
      <c r="BB66" s="9"/>
      <c r="BC66" s="15"/>
      <c r="BD66" s="9">
        <v>3619</v>
      </c>
      <c r="BE66" s="15" t="s">
        <v>9102</v>
      </c>
      <c r="BF66" s="23"/>
      <c r="BG66" s="13"/>
      <c r="BH66" s="15"/>
      <c r="BI66" s="13"/>
      <c r="BJ66" s="11"/>
      <c r="BK66" s="13"/>
      <c r="BL66" s="9"/>
      <c r="BM66" s="15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  <c r="CO66" s="15"/>
      <c r="CP66" s="9"/>
    </row>
    <row r="67" spans="1:94" x14ac:dyDescent="0.25">
      <c r="A67" s="43"/>
      <c r="B67" s="9">
        <v>9490.51</v>
      </c>
      <c r="C67" s="15" t="s">
        <v>7892</v>
      </c>
      <c r="D67" s="11"/>
      <c r="E67" s="13"/>
      <c r="F67" s="11">
        <v>3320</v>
      </c>
      <c r="G67" s="13" t="s">
        <v>7930</v>
      </c>
      <c r="H67" s="9">
        <v>419.36</v>
      </c>
      <c r="I67" s="15" t="s">
        <v>7966</v>
      </c>
      <c r="J67" s="9">
        <v>706.45</v>
      </c>
      <c r="K67" s="13" t="s">
        <v>8018</v>
      </c>
      <c r="L67" s="9"/>
      <c r="M67" s="26"/>
      <c r="N67" s="9">
        <v>2039.99</v>
      </c>
      <c r="O67" s="15" t="s">
        <v>8099</v>
      </c>
      <c r="P67" s="9">
        <v>4464.99</v>
      </c>
      <c r="Q67" s="15" t="s">
        <v>8133</v>
      </c>
      <c r="R67" s="11"/>
      <c r="S67" s="13"/>
      <c r="T67" s="11">
        <v>8018.01</v>
      </c>
      <c r="U67" s="13" t="s">
        <v>8187</v>
      </c>
      <c r="V67" s="9">
        <v>4789.25</v>
      </c>
      <c r="W67" s="15" t="s">
        <v>8257</v>
      </c>
      <c r="X67" s="9"/>
      <c r="Y67" s="15"/>
      <c r="Z67" s="9">
        <v>1169</v>
      </c>
      <c r="AA67" s="15" t="s">
        <v>8415</v>
      </c>
      <c r="AB67" s="11">
        <v>2040</v>
      </c>
      <c r="AC67" s="13" t="s">
        <v>8488</v>
      </c>
      <c r="AD67" s="72">
        <v>755</v>
      </c>
      <c r="AE67" s="13" t="s">
        <v>8445</v>
      </c>
      <c r="AF67" s="72"/>
      <c r="AG67" s="13"/>
      <c r="AH67" s="111">
        <f>+SUM(AH61:AH66)</f>
        <v>16183.46</v>
      </c>
      <c r="AI67" s="13"/>
      <c r="AJ67" s="72">
        <v>2900.51</v>
      </c>
      <c r="AK67" s="13" t="s">
        <v>8595</v>
      </c>
      <c r="AL67" s="11">
        <v>1168.99</v>
      </c>
      <c r="AM67" s="13" t="s">
        <v>8629</v>
      </c>
      <c r="AN67" s="95">
        <f>+SUM(AN59:AN66)</f>
        <v>70145.41</v>
      </c>
      <c r="AO67" s="15"/>
      <c r="AP67" s="111">
        <f>+AP66+AP65</f>
        <v>4710.3900000000003</v>
      </c>
      <c r="AQ67" s="13"/>
      <c r="AR67" s="9">
        <v>1169</v>
      </c>
      <c r="AS67" s="15" t="s">
        <v>8805</v>
      </c>
      <c r="AT67" s="11"/>
      <c r="AU67" s="13"/>
      <c r="AV67" s="9">
        <v>150</v>
      </c>
      <c r="AW67" s="15" t="s">
        <v>8951</v>
      </c>
      <c r="AX67" s="9"/>
      <c r="AY67" s="15"/>
      <c r="AZ67" s="9">
        <v>486.25</v>
      </c>
      <c r="BA67" s="15" t="s">
        <v>9052</v>
      </c>
      <c r="BB67" s="9">
        <v>5000</v>
      </c>
      <c r="BC67" s="15" t="s">
        <v>9124</v>
      </c>
      <c r="BD67" s="11">
        <v>3319.99</v>
      </c>
      <c r="BE67" s="13" t="s">
        <v>9109</v>
      </c>
      <c r="BF67" s="7"/>
      <c r="BG67" s="26"/>
      <c r="BH67" s="9"/>
      <c r="BI67" s="26"/>
      <c r="BJ67" s="9"/>
      <c r="BK67" s="15"/>
      <c r="BL67" s="9"/>
      <c r="BM67" s="15"/>
      <c r="BN67" s="11"/>
      <c r="BO67" s="13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  <c r="CO67" s="13"/>
      <c r="CP67" s="11"/>
    </row>
    <row r="68" spans="1:94" x14ac:dyDescent="0.25">
      <c r="A68" s="41"/>
      <c r="B68" s="9">
        <v>1099</v>
      </c>
      <c r="C68" s="15" t="s">
        <v>7897</v>
      </c>
      <c r="D68" s="72"/>
      <c r="E68" s="15"/>
      <c r="F68" s="7">
        <f>4558.99-58.32-364.49</f>
        <v>4136.18</v>
      </c>
      <c r="G68" s="26" t="s">
        <v>7933</v>
      </c>
      <c r="H68" s="9">
        <v>943.76</v>
      </c>
      <c r="I68" s="15" t="s">
        <v>7951</v>
      </c>
      <c r="J68" s="9">
        <v>2203.5700000000002</v>
      </c>
      <c r="K68" s="15" t="s">
        <v>8022</v>
      </c>
      <c r="L68" s="9">
        <v>3832.12</v>
      </c>
      <c r="M68" s="15" t="s">
        <v>8281</v>
      </c>
      <c r="N68" s="9">
        <v>1423.33</v>
      </c>
      <c r="O68" s="15" t="s">
        <v>8100</v>
      </c>
      <c r="P68" s="72">
        <v>1829.01</v>
      </c>
      <c r="Q68" s="15" t="s">
        <v>8134</v>
      </c>
      <c r="R68" s="9"/>
      <c r="S68" s="26"/>
      <c r="T68" s="9">
        <v>4000</v>
      </c>
      <c r="U68" s="26" t="s">
        <v>8192</v>
      </c>
      <c r="V68" s="9">
        <v>12031.59</v>
      </c>
      <c r="W68" s="15" t="s">
        <v>8258</v>
      </c>
      <c r="X68" s="9">
        <v>2676.14</v>
      </c>
      <c r="Y68" s="15" t="s">
        <v>8341</v>
      </c>
      <c r="Z68" s="9">
        <f>2227.51-1000</f>
        <v>1227.5100000000002</v>
      </c>
      <c r="AA68" s="15" t="s">
        <v>8418</v>
      </c>
      <c r="AB68" s="9">
        <v>1169</v>
      </c>
      <c r="AC68" s="26" t="s">
        <v>8489</v>
      </c>
      <c r="AD68" s="72">
        <v>8820</v>
      </c>
      <c r="AE68" s="26" t="s">
        <v>8455</v>
      </c>
      <c r="AF68" s="9"/>
      <c r="AG68" s="26"/>
      <c r="AH68" s="9"/>
      <c r="AI68" s="15"/>
      <c r="AJ68" s="99">
        <f>+SUM(AJ61:AJ67)</f>
        <v>17058.78</v>
      </c>
      <c r="AK68" s="85"/>
      <c r="AL68" s="9">
        <v>3619</v>
      </c>
      <c r="AM68" s="26" t="s">
        <v>8633</v>
      </c>
      <c r="AN68" s="9"/>
      <c r="AO68" s="15"/>
      <c r="AP68" s="9"/>
      <c r="AQ68" s="26"/>
      <c r="AR68" s="7">
        <v>1394.01</v>
      </c>
      <c r="AS68" s="26" t="s">
        <v>8806</v>
      </c>
      <c r="AT68" s="9"/>
      <c r="AU68" s="15"/>
      <c r="AV68" s="99">
        <f>+SUM(AV64:AV67)</f>
        <v>19552.89</v>
      </c>
      <c r="AW68" s="15"/>
      <c r="AX68" s="9"/>
      <c r="AY68" s="15"/>
      <c r="AZ68" s="9">
        <v>1099.01</v>
      </c>
      <c r="BA68" s="15" t="s">
        <v>9059</v>
      </c>
      <c r="BB68" s="9">
        <v>2519.98</v>
      </c>
      <c r="BC68" s="15" t="s">
        <v>9127</v>
      </c>
      <c r="BD68" s="7">
        <v>1717.35</v>
      </c>
      <c r="BE68" s="26" t="s">
        <v>9118</v>
      </c>
      <c r="BF68" s="9"/>
      <c r="BG68" s="15"/>
      <c r="BH68" s="9"/>
      <c r="BI68" s="15"/>
      <c r="BJ68" s="9"/>
      <c r="BK68" s="15"/>
      <c r="BL68" s="9"/>
      <c r="BM68" s="15"/>
      <c r="BN68" s="9"/>
      <c r="BO68" s="15"/>
      <c r="BP68" s="9"/>
      <c r="BQ68" s="15"/>
      <c r="BR68" s="9"/>
      <c r="BS68" s="15"/>
      <c r="BT68" s="9"/>
      <c r="BU68" s="15"/>
      <c r="BV68" s="9"/>
      <c r="BW68" s="15"/>
      <c r="BX68" s="9"/>
      <c r="BY68" s="15"/>
      <c r="BZ68" s="9"/>
      <c r="CA68" s="15"/>
      <c r="CB68" s="9"/>
      <c r="CC68" s="15"/>
      <c r="CD68" s="9"/>
      <c r="CE68" s="15"/>
      <c r="CF68" s="9"/>
      <c r="CG68" s="15"/>
      <c r="CH68" s="9"/>
      <c r="CI68" s="15"/>
      <c r="CJ68" s="9"/>
      <c r="CK68" s="15"/>
      <c r="CL68" s="9"/>
      <c r="CM68" s="15"/>
      <c r="CN68" s="9"/>
      <c r="CO68" s="15"/>
      <c r="CP68" s="9"/>
    </row>
    <row r="69" spans="1:94" x14ac:dyDescent="0.25">
      <c r="A69" s="41"/>
      <c r="B69" s="9">
        <v>1169</v>
      </c>
      <c r="C69" s="15" t="s">
        <v>7899</v>
      </c>
      <c r="D69" s="9"/>
      <c r="E69" s="15"/>
      <c r="F69" s="9">
        <v>1168.99</v>
      </c>
      <c r="G69" s="15" t="s">
        <v>7934</v>
      </c>
      <c r="H69" s="15">
        <v>1000</v>
      </c>
      <c r="I69" s="15" t="s">
        <v>8502</v>
      </c>
      <c r="J69" s="9">
        <v>23548.65</v>
      </c>
      <c r="K69" s="15" t="s">
        <v>8023</v>
      </c>
      <c r="L69" s="9">
        <v>3500</v>
      </c>
      <c r="M69" s="15" t="s">
        <v>8286</v>
      </c>
      <c r="N69" s="9">
        <v>1344.99</v>
      </c>
      <c r="O69" s="15" t="s">
        <v>8102</v>
      </c>
      <c r="P69" s="72">
        <v>4238.99</v>
      </c>
      <c r="Q69" s="15" t="s">
        <v>8135</v>
      </c>
      <c r="R69" s="9"/>
      <c r="S69" s="26"/>
      <c r="T69" s="9">
        <v>156.6</v>
      </c>
      <c r="U69" s="15" t="s">
        <v>8195</v>
      </c>
      <c r="V69" s="9">
        <v>3819</v>
      </c>
      <c r="W69" s="15" t="s">
        <v>8267</v>
      </c>
      <c r="X69" s="9">
        <v>8321.85</v>
      </c>
      <c r="Y69" s="15" t="s">
        <v>8342</v>
      </c>
      <c r="Z69" s="95">
        <f>+SUM(Z63:Z68)</f>
        <v>10387.68</v>
      </c>
      <c r="AA69" s="15"/>
      <c r="AB69" s="9">
        <v>1409.01</v>
      </c>
      <c r="AC69" s="15" t="s">
        <v>8491</v>
      </c>
      <c r="AD69" s="72">
        <v>3169</v>
      </c>
      <c r="AE69" s="15" t="s">
        <v>8456</v>
      </c>
      <c r="AF69" s="9"/>
      <c r="AG69" s="15"/>
      <c r="AH69" s="9"/>
      <c r="AI69" s="15"/>
      <c r="AJ69" s="24"/>
      <c r="AK69" s="15"/>
      <c r="AL69" s="9">
        <v>2984.99</v>
      </c>
      <c r="AM69" s="15" t="s">
        <v>8634</v>
      </c>
      <c r="AN69" s="9">
        <v>2325.96</v>
      </c>
      <c r="AO69" s="15" t="s">
        <v>8675</v>
      </c>
      <c r="AP69" s="15"/>
      <c r="AQ69" s="15"/>
      <c r="AR69" s="9">
        <v>1169</v>
      </c>
      <c r="AS69" s="15" t="s">
        <v>8807</v>
      </c>
      <c r="AT69" s="9"/>
      <c r="AU69" s="15"/>
      <c r="AV69" s="9"/>
      <c r="AW69" s="15"/>
      <c r="AX69" s="9"/>
      <c r="AY69" s="15"/>
      <c r="AZ69" s="9">
        <v>2040</v>
      </c>
      <c r="BA69" s="15" t="s">
        <v>9066</v>
      </c>
      <c r="BB69" s="95">
        <f>+BB68+BB67</f>
        <v>7519.98</v>
      </c>
      <c r="BC69" s="15"/>
      <c r="BD69" s="51">
        <f>+SUM(BD59:BD68)</f>
        <v>44530.389999999992</v>
      </c>
      <c r="BE69" s="15"/>
      <c r="BF69" s="9"/>
      <c r="BG69" s="15"/>
      <c r="BH69" s="9"/>
      <c r="BI69" s="15"/>
      <c r="BJ69" s="9"/>
      <c r="BK69" s="15"/>
      <c r="BL69" s="9"/>
      <c r="BM69" s="15"/>
      <c r="BN69" s="15"/>
      <c r="BO69" s="15"/>
      <c r="BP69" s="9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</row>
    <row r="70" spans="1:94" x14ac:dyDescent="0.25">
      <c r="A70" s="41"/>
      <c r="B70" s="9">
        <v>533.99</v>
      </c>
      <c r="C70" s="15" t="s">
        <v>7900</v>
      </c>
      <c r="D70" s="9"/>
      <c r="E70" s="15"/>
      <c r="F70" s="9">
        <v>1169</v>
      </c>
      <c r="G70" s="15" t="s">
        <v>7935</v>
      </c>
      <c r="H70" s="95">
        <f>+SUM(H59:H69)</f>
        <v>15681.380000000001</v>
      </c>
      <c r="I70" s="15"/>
      <c r="J70" s="9">
        <v>20000</v>
      </c>
      <c r="K70" s="15" t="s">
        <v>8024</v>
      </c>
      <c r="L70" s="9">
        <v>464</v>
      </c>
      <c r="M70" s="15" t="s">
        <v>8291</v>
      </c>
      <c r="N70" s="72">
        <v>1169</v>
      </c>
      <c r="O70" s="15" t="s">
        <v>8103</v>
      </c>
      <c r="P70" s="9">
        <v>4464.99</v>
      </c>
      <c r="Q70" s="15" t="s">
        <v>8136</v>
      </c>
      <c r="R70" s="9"/>
      <c r="S70" s="26"/>
      <c r="T70" s="9">
        <v>8231.66</v>
      </c>
      <c r="U70" s="15" t="s">
        <v>8196</v>
      </c>
      <c r="V70" s="9">
        <v>1099.01</v>
      </c>
      <c r="W70" s="15" t="s">
        <v>8268</v>
      </c>
      <c r="X70" s="9">
        <v>232</v>
      </c>
      <c r="Y70" s="15" t="s">
        <v>8344</v>
      </c>
      <c r="Z70" s="9"/>
      <c r="AA70" s="15"/>
      <c r="AB70" s="95">
        <f>+SUM(AB59:AB69)</f>
        <v>16070.98</v>
      </c>
      <c r="AC70" s="15"/>
      <c r="AD70" s="72">
        <v>3319.99</v>
      </c>
      <c r="AE70" s="85" t="s">
        <v>8459</v>
      </c>
      <c r="AF70" s="9"/>
      <c r="AG70" s="15"/>
      <c r="AH70" s="72"/>
      <c r="AI70" s="24"/>
      <c r="AJ70" s="9"/>
      <c r="AK70" s="15"/>
      <c r="AL70" s="9">
        <v>2065</v>
      </c>
      <c r="AM70" s="15" t="s">
        <v>8644</v>
      </c>
      <c r="AN70" s="9">
        <v>7251</v>
      </c>
      <c r="AO70" s="15" t="s">
        <v>8677</v>
      </c>
      <c r="AP70" s="9"/>
      <c r="AQ70" s="15"/>
      <c r="AR70" s="7">
        <v>4464.99</v>
      </c>
      <c r="AS70" s="26" t="s">
        <v>8808</v>
      </c>
      <c r="AT70" s="9"/>
      <c r="AU70" s="15"/>
      <c r="AV70" s="72"/>
      <c r="AW70" s="15"/>
      <c r="AX70" s="72"/>
      <c r="AY70" s="15"/>
      <c r="AZ70" s="9">
        <v>474.73</v>
      </c>
      <c r="BA70" s="15" t="s">
        <v>9080</v>
      </c>
      <c r="BB70" s="9"/>
      <c r="BC70" s="15"/>
      <c r="BD70" s="9"/>
      <c r="BE70" s="15"/>
      <c r="BF70" s="9"/>
      <c r="BG70" s="15"/>
      <c r="BH70" s="72"/>
      <c r="BI70" s="15"/>
      <c r="BJ70" s="9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  <c r="CO70" s="15"/>
      <c r="CP70" s="9"/>
    </row>
    <row r="71" spans="1:94" x14ac:dyDescent="0.25">
      <c r="A71" s="41"/>
      <c r="B71" s="9">
        <v>364.38</v>
      </c>
      <c r="C71" s="15" t="s">
        <v>7903</v>
      </c>
      <c r="D71" s="9"/>
      <c r="E71" s="15"/>
      <c r="F71" s="9">
        <v>1168.99</v>
      </c>
      <c r="G71" s="15" t="s">
        <v>7936</v>
      </c>
      <c r="H71" s="15"/>
      <c r="I71" s="15"/>
      <c r="J71" s="15">
        <v>4248</v>
      </c>
      <c r="K71" s="15" t="s">
        <v>8026</v>
      </c>
      <c r="L71" s="72">
        <v>4282.91</v>
      </c>
      <c r="M71" s="15" t="s">
        <v>8292</v>
      </c>
      <c r="N71" s="72">
        <v>1169</v>
      </c>
      <c r="O71" s="15" t="s">
        <v>8104</v>
      </c>
      <c r="P71" s="9">
        <v>2019</v>
      </c>
      <c r="Q71" s="15" t="s">
        <v>8137</v>
      </c>
      <c r="R71" s="15"/>
      <c r="S71" s="15"/>
      <c r="T71" s="9">
        <v>5680</v>
      </c>
      <c r="U71" s="15" t="s">
        <v>8197</v>
      </c>
      <c r="V71" s="9">
        <v>4146</v>
      </c>
      <c r="W71" s="15" t="s">
        <v>8270</v>
      </c>
      <c r="X71" s="9">
        <v>9597.26</v>
      </c>
      <c r="Y71" s="15" t="s">
        <v>8346</v>
      </c>
      <c r="Z71" s="9"/>
      <c r="AA71" s="9"/>
      <c r="AB71" s="9"/>
      <c r="AC71" s="15"/>
      <c r="AD71" s="72">
        <v>4465</v>
      </c>
      <c r="AE71" s="15" t="s">
        <v>8461</v>
      </c>
      <c r="AF71" s="9"/>
      <c r="AG71" s="15"/>
      <c r="AH71" s="15"/>
      <c r="AI71" s="15"/>
      <c r="AJ71" s="72"/>
      <c r="AK71" s="15"/>
      <c r="AL71" s="9">
        <v>3319.99</v>
      </c>
      <c r="AM71" s="15" t="s">
        <v>8645</v>
      </c>
      <c r="AN71" s="72">
        <v>6518.7</v>
      </c>
      <c r="AO71" s="15" t="s">
        <v>8678</v>
      </c>
      <c r="AP71" s="9"/>
      <c r="AQ71" s="15"/>
      <c r="AR71" s="9">
        <v>1169</v>
      </c>
      <c r="AS71" s="15" t="s">
        <v>8811</v>
      </c>
      <c r="AT71" s="9"/>
      <c r="AU71" s="15"/>
      <c r="AV71" s="9"/>
      <c r="AW71" s="15"/>
      <c r="AX71" s="9"/>
      <c r="AY71" s="15"/>
      <c r="AZ71" s="9">
        <v>2480</v>
      </c>
      <c r="BA71" s="15" t="s">
        <v>9077</v>
      </c>
      <c r="BB71" s="9"/>
      <c r="BC71" s="15"/>
      <c r="BD71" s="137"/>
      <c r="BE71" s="15"/>
      <c r="BF71" s="9"/>
      <c r="BG71" s="15"/>
      <c r="BH71" s="72"/>
      <c r="BI71" s="15"/>
      <c r="BJ71" s="9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  <c r="CO71" s="15"/>
      <c r="CP71" s="9"/>
    </row>
    <row r="72" spans="1:94" x14ac:dyDescent="0.25">
      <c r="A72" s="41"/>
      <c r="B72" s="132">
        <f>+SUM(B59:B71)</f>
        <v>31150.6</v>
      </c>
      <c r="C72" s="120"/>
      <c r="D72" s="15"/>
      <c r="E72" s="15"/>
      <c r="F72" s="9">
        <v>1169</v>
      </c>
      <c r="G72" s="15" t="s">
        <v>7937</v>
      </c>
      <c r="H72" s="15">
        <v>175</v>
      </c>
      <c r="I72" s="15" t="s">
        <v>7970</v>
      </c>
      <c r="J72" s="9">
        <v>4146</v>
      </c>
      <c r="K72" s="15" t="s">
        <v>8027</v>
      </c>
      <c r="L72" s="9">
        <v>1805.7</v>
      </c>
      <c r="M72" s="15" t="s">
        <v>8293</v>
      </c>
      <c r="N72" s="72">
        <v>1099.01</v>
      </c>
      <c r="O72" s="15" t="s">
        <v>8106</v>
      </c>
      <c r="P72" s="9">
        <v>1169</v>
      </c>
      <c r="Q72" s="15" t="s">
        <v>8141</v>
      </c>
      <c r="R72" s="9"/>
      <c r="S72" s="15"/>
      <c r="T72" s="15">
        <v>1899</v>
      </c>
      <c r="U72" s="15" t="s">
        <v>8200</v>
      </c>
      <c r="V72" s="9">
        <v>3169</v>
      </c>
      <c r="W72" s="15" t="s">
        <v>8271</v>
      </c>
      <c r="X72" s="9">
        <v>1169</v>
      </c>
      <c r="Y72" s="15" t="s">
        <v>8349</v>
      </c>
      <c r="Z72" s="9"/>
      <c r="AA72" s="15"/>
      <c r="AB72" s="9">
        <v>219.91</v>
      </c>
      <c r="AC72" s="15" t="s">
        <v>8503</v>
      </c>
      <c r="AD72" s="9">
        <v>4395.01</v>
      </c>
      <c r="AE72" s="15" t="s">
        <v>8451</v>
      </c>
      <c r="AF72" s="9"/>
      <c r="AG72" s="15"/>
      <c r="AH72" s="9"/>
      <c r="AI72" s="15"/>
      <c r="AJ72" s="72"/>
      <c r="AK72" s="15"/>
      <c r="AL72" s="95">
        <f>+SUM(AL64:AL71)</f>
        <v>25872.979999999996</v>
      </c>
      <c r="AM72" s="15"/>
      <c r="AN72" s="9">
        <v>4900</v>
      </c>
      <c r="AO72" s="15" t="s">
        <v>8681</v>
      </c>
      <c r="AP72" s="9"/>
      <c r="AQ72" s="15"/>
      <c r="AR72" s="95">
        <f>+SUM(AR59:AR71)</f>
        <v>77310.239999999991</v>
      </c>
      <c r="AS72" s="15"/>
      <c r="AT72" s="9"/>
      <c r="AU72" s="15"/>
      <c r="AV72" s="9"/>
      <c r="AW72" s="15"/>
      <c r="AX72" s="9"/>
      <c r="AY72" s="15"/>
      <c r="AZ72" s="95">
        <f>+SUM(AZ61:AZ71)</f>
        <v>74004.049999999988</v>
      </c>
      <c r="BA72" s="15"/>
      <c r="BB72" s="9"/>
      <c r="BC72" s="15"/>
      <c r="BD72" s="137"/>
      <c r="BE72" s="15"/>
      <c r="BF72" s="9"/>
      <c r="BG72" s="15"/>
      <c r="BH72" s="9"/>
      <c r="BI72" s="15"/>
      <c r="BJ72" s="9"/>
      <c r="BK72" s="15"/>
      <c r="BL72" s="9"/>
      <c r="BM72" s="15"/>
      <c r="BN72" s="15"/>
      <c r="BO72" s="15"/>
      <c r="BP72" s="9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</row>
    <row r="73" spans="1:94" x14ac:dyDescent="0.25">
      <c r="A73" s="41"/>
      <c r="B73" s="120"/>
      <c r="C73" s="120"/>
      <c r="D73" s="9"/>
      <c r="E73" s="15"/>
      <c r="F73" s="9">
        <v>1099</v>
      </c>
      <c r="G73" s="15" t="s">
        <v>7938</v>
      </c>
      <c r="H73" s="9"/>
      <c r="I73" s="15"/>
      <c r="J73" s="9">
        <v>2968.95</v>
      </c>
      <c r="K73" s="15" t="s">
        <v>8029</v>
      </c>
      <c r="L73" s="9">
        <v>1169</v>
      </c>
      <c r="M73" s="15" t="s">
        <v>8296</v>
      </c>
      <c r="N73" s="95">
        <f>+SUM(N58:N72)</f>
        <v>62838.29</v>
      </c>
      <c r="O73" s="15"/>
      <c r="P73" s="9">
        <v>1169</v>
      </c>
      <c r="Q73" s="15" t="s">
        <v>8146</v>
      </c>
      <c r="R73" s="9"/>
      <c r="S73" s="15"/>
      <c r="T73" s="9">
        <v>150</v>
      </c>
      <c r="U73" s="15" t="s">
        <v>8202</v>
      </c>
      <c r="V73" s="9">
        <v>4239</v>
      </c>
      <c r="W73" s="15" t="s">
        <v>8273</v>
      </c>
      <c r="X73" s="9">
        <v>2040</v>
      </c>
      <c r="Y73" s="15" t="s">
        <v>8350</v>
      </c>
      <c r="Z73" s="9"/>
      <c r="AA73" s="15"/>
      <c r="AB73" s="9">
        <v>1169</v>
      </c>
      <c r="AC73" s="15" t="s">
        <v>8506</v>
      </c>
      <c r="AD73" s="95">
        <f>+SUM(AD59:AD72)</f>
        <v>65698.740000000005</v>
      </c>
      <c r="AE73" s="15"/>
      <c r="AF73" s="9"/>
      <c r="AG73" s="15"/>
      <c r="AH73" s="15"/>
      <c r="AI73" s="15"/>
      <c r="AJ73" s="15"/>
      <c r="AK73" s="15"/>
      <c r="AL73" s="15"/>
      <c r="AM73" s="15"/>
      <c r="AN73" s="15">
        <v>5709.98</v>
      </c>
      <c r="AO73" s="15" t="s">
        <v>8684</v>
      </c>
      <c r="AP73" s="9"/>
      <c r="AQ73" s="15"/>
      <c r="AR73" s="9"/>
      <c r="AS73" s="15"/>
      <c r="AT73" s="9"/>
      <c r="AU73" s="15"/>
      <c r="AV73" s="15"/>
      <c r="AW73" s="15"/>
      <c r="AX73" s="15"/>
      <c r="AY73" s="15"/>
      <c r="AZ73" s="9"/>
      <c r="BA73" s="15"/>
      <c r="BB73" s="9"/>
      <c r="BC73" s="15"/>
      <c r="BD73" s="9"/>
      <c r="BE73" s="15"/>
      <c r="BF73" s="9"/>
      <c r="BG73" s="15"/>
      <c r="BH73" s="9"/>
      <c r="BI73" s="15"/>
      <c r="BJ73" s="9"/>
      <c r="BK73" s="15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  <c r="CO73" s="15"/>
      <c r="CP73" s="9"/>
    </row>
    <row r="74" spans="1:94" x14ac:dyDescent="0.25">
      <c r="A74" s="41"/>
      <c r="B74" s="15"/>
      <c r="C74" s="15"/>
      <c r="D74" s="9"/>
      <c r="E74" s="15"/>
      <c r="F74" s="9">
        <v>4465</v>
      </c>
      <c r="G74" s="15" t="s">
        <v>7943</v>
      </c>
      <c r="H74" s="15"/>
      <c r="I74" s="15"/>
      <c r="J74" s="15">
        <v>2040</v>
      </c>
      <c r="K74" s="15" t="s">
        <v>8032</v>
      </c>
      <c r="L74" s="9">
        <v>1129.33</v>
      </c>
      <c r="M74" s="15" t="s">
        <v>8297</v>
      </c>
      <c r="N74" s="9"/>
      <c r="O74" s="15"/>
      <c r="P74" s="9">
        <v>2040</v>
      </c>
      <c r="Q74" s="15" t="s">
        <v>8147</v>
      </c>
      <c r="R74" s="9"/>
      <c r="S74" s="15"/>
      <c r="T74" s="9">
        <v>1169</v>
      </c>
      <c r="U74" s="15" t="s">
        <v>8204</v>
      </c>
      <c r="V74" s="9">
        <v>1868.99</v>
      </c>
      <c r="W74" s="15" t="s">
        <v>8274</v>
      </c>
      <c r="X74" s="9">
        <v>4216</v>
      </c>
      <c r="Y74" s="15" t="s">
        <v>8355</v>
      </c>
      <c r="Z74" s="15"/>
      <c r="AA74" s="15"/>
      <c r="AB74" s="9">
        <v>12400</v>
      </c>
      <c r="AC74" s="15" t="s">
        <v>8507</v>
      </c>
      <c r="AD74" s="9"/>
      <c r="AE74" s="15"/>
      <c r="AF74" s="9"/>
      <c r="AG74" s="15"/>
      <c r="AH74" s="9"/>
      <c r="AI74" s="15"/>
      <c r="AJ74" s="72"/>
      <c r="AK74" s="15"/>
      <c r="AL74" s="9"/>
      <c r="AM74" s="15"/>
      <c r="AN74" s="9">
        <v>8102.99</v>
      </c>
      <c r="AO74" s="15" t="s">
        <v>8687</v>
      </c>
      <c r="AP74" s="9"/>
      <c r="AQ74" s="15"/>
      <c r="AR74" s="9"/>
      <c r="AS74" s="15"/>
      <c r="AT74" s="9"/>
      <c r="AU74" s="15"/>
      <c r="AV74" s="15"/>
      <c r="AW74" s="15"/>
      <c r="AX74" s="9"/>
      <c r="AY74" s="15"/>
      <c r="AZ74" s="9"/>
      <c r="BA74" s="15"/>
      <c r="BB74" s="9"/>
      <c r="BC74" s="15"/>
      <c r="BD74" s="9"/>
      <c r="BE74" s="15"/>
      <c r="BF74" s="9"/>
      <c r="BG74" s="15"/>
      <c r="BH74" s="9"/>
      <c r="BI74" s="15"/>
      <c r="BJ74" s="9"/>
      <c r="BK74" s="15"/>
      <c r="BL74" s="9"/>
      <c r="BM74" s="15"/>
      <c r="BN74" s="9"/>
      <c r="BO74" s="15"/>
      <c r="BP74" s="15"/>
      <c r="BQ74" s="15"/>
      <c r="BR74" s="9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  <c r="CO74" s="15"/>
      <c r="CP74" s="9"/>
    </row>
    <row r="75" spans="1:94" x14ac:dyDescent="0.25">
      <c r="A75" s="41"/>
      <c r="B75" s="9"/>
      <c r="C75" s="15"/>
      <c r="D75" s="9"/>
      <c r="E75" s="15"/>
      <c r="F75" s="9">
        <v>2040</v>
      </c>
      <c r="G75" s="15" t="s">
        <v>7947</v>
      </c>
      <c r="H75" s="9"/>
      <c r="I75" s="15"/>
      <c r="J75" s="15">
        <v>1969.99</v>
      </c>
      <c r="K75" s="15" t="s">
        <v>8035</v>
      </c>
      <c r="L75" s="9">
        <v>2040</v>
      </c>
      <c r="M75" s="15" t="s">
        <v>8299</v>
      </c>
      <c r="N75" s="9">
        <v>284.75</v>
      </c>
      <c r="O75" s="15" t="s">
        <v>8111</v>
      </c>
      <c r="P75" s="9">
        <v>4238.99</v>
      </c>
      <c r="Q75" s="15" t="s">
        <v>8148</v>
      </c>
      <c r="R75" s="9"/>
      <c r="S75" s="15"/>
      <c r="T75" s="9">
        <v>2389.9899999999998</v>
      </c>
      <c r="U75" s="15" t="s">
        <v>8205</v>
      </c>
      <c r="V75" s="137">
        <v>152.46</v>
      </c>
      <c r="W75" s="15" t="s">
        <v>8276</v>
      </c>
      <c r="X75" s="137">
        <f>2381.5-1000</f>
        <v>1381.5</v>
      </c>
      <c r="Y75" s="15" t="s">
        <v>8363</v>
      </c>
      <c r="Z75" s="9"/>
      <c r="AA75" s="9"/>
      <c r="AB75" s="9">
        <v>1266.94</v>
      </c>
      <c r="AC75" s="15" t="s">
        <v>8512</v>
      </c>
      <c r="AD75" s="9"/>
      <c r="AE75" s="15"/>
      <c r="AF75" s="9"/>
      <c r="AG75" s="15"/>
      <c r="AH75" s="9"/>
      <c r="AI75" s="15"/>
      <c r="AJ75" s="72"/>
      <c r="AK75" s="15"/>
      <c r="AL75" s="7"/>
      <c r="AM75" s="26"/>
      <c r="AN75" s="9">
        <v>1168.99</v>
      </c>
      <c r="AO75" s="15" t="s">
        <v>8689</v>
      </c>
      <c r="AP75" s="15"/>
      <c r="AQ75" s="15"/>
      <c r="AR75" s="72"/>
      <c r="AS75" s="15"/>
      <c r="AT75" s="9"/>
      <c r="AU75" s="15"/>
      <c r="AV75" s="15"/>
      <c r="AW75" s="15"/>
      <c r="AX75" s="15"/>
      <c r="AY75" s="15"/>
      <c r="AZ75" s="15"/>
      <c r="BA75" s="15"/>
      <c r="BB75" s="9"/>
      <c r="BC75" s="15"/>
      <c r="BD75" s="9"/>
      <c r="BE75" s="15"/>
      <c r="BF75" s="7"/>
      <c r="BG75" s="26"/>
      <c r="BH75" s="9"/>
      <c r="BI75" s="15"/>
      <c r="BJ75" s="9"/>
      <c r="BK75" s="15"/>
      <c r="BL75" s="9"/>
      <c r="BM75" s="15"/>
      <c r="BN75" s="9"/>
      <c r="BO75" s="15"/>
      <c r="BP75" s="15"/>
      <c r="BQ75" s="15"/>
      <c r="BR75" s="9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  <c r="CO75" s="15"/>
      <c r="CP75" s="9"/>
    </row>
    <row r="76" spans="1:94" x14ac:dyDescent="0.25">
      <c r="A76" s="41"/>
      <c r="B76" s="9"/>
      <c r="C76" s="15"/>
      <c r="D76" s="9"/>
      <c r="E76" s="15"/>
      <c r="F76" s="95">
        <f>+SUM(F64:F75)</f>
        <v>44331.18</v>
      </c>
      <c r="G76" s="15"/>
      <c r="H76" s="15"/>
      <c r="I76" s="15"/>
      <c r="J76" s="15">
        <v>1169</v>
      </c>
      <c r="K76" s="9" t="s">
        <v>8037</v>
      </c>
      <c r="L76" s="9">
        <v>3719.99</v>
      </c>
      <c r="M76" s="15" t="s">
        <v>8301</v>
      </c>
      <c r="N76" s="15">
        <v>1970</v>
      </c>
      <c r="O76" s="15" t="s">
        <v>8112</v>
      </c>
      <c r="P76" s="9">
        <v>574.99</v>
      </c>
      <c r="Q76" s="15" t="s">
        <v>8149</v>
      </c>
      <c r="R76" s="9"/>
      <c r="S76" s="15"/>
      <c r="T76" s="9">
        <v>3319.99</v>
      </c>
      <c r="U76" s="15" t="s">
        <v>8215</v>
      </c>
      <c r="V76" s="132">
        <f>+SUM(V65:V75)</f>
        <v>49491.67</v>
      </c>
      <c r="W76" s="120"/>
      <c r="X76" s="132">
        <f>+SUM(X68:X75)</f>
        <v>29633.75</v>
      </c>
      <c r="Y76" s="120"/>
      <c r="Z76" s="9"/>
      <c r="AA76" s="15"/>
      <c r="AB76" s="9">
        <v>185.74</v>
      </c>
      <c r="AC76" s="15" t="s">
        <v>8513</v>
      </c>
      <c r="AD76" s="9"/>
      <c r="AE76" s="15"/>
      <c r="AF76" s="9"/>
      <c r="AG76" s="15"/>
      <c r="AH76" s="9"/>
      <c r="AI76" s="15"/>
      <c r="AJ76" s="72"/>
      <c r="AK76" s="15"/>
      <c r="AL76" s="72"/>
      <c r="AM76" s="15"/>
      <c r="AN76" s="9">
        <v>3319.56</v>
      </c>
      <c r="AO76" s="15" t="s">
        <v>8690</v>
      </c>
      <c r="AP76" s="15"/>
      <c r="AQ76" s="15"/>
      <c r="AR76" s="15"/>
      <c r="AS76" s="15"/>
      <c r="AT76" s="15"/>
      <c r="AU76" s="15"/>
      <c r="AV76" s="9"/>
      <c r="AW76" s="15"/>
      <c r="AX76" s="9"/>
      <c r="AY76" s="15"/>
      <c r="AZ76" s="9"/>
      <c r="BA76" s="15"/>
      <c r="BB76" s="9"/>
      <c r="BC76" s="26"/>
      <c r="BD76" s="9"/>
      <c r="BE76" s="15"/>
      <c r="BF76" s="72"/>
      <c r="BG76" s="15"/>
      <c r="BH76" s="9"/>
      <c r="BI76" s="15"/>
      <c r="BJ76" s="9"/>
      <c r="BK76" s="15"/>
      <c r="BL76" s="15"/>
      <c r="BM76" s="15"/>
      <c r="BN76" s="9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  <c r="CO76" s="15"/>
      <c r="CP76" s="9"/>
    </row>
    <row r="77" spans="1:94" x14ac:dyDescent="0.25">
      <c r="A77" s="41"/>
      <c r="B77" s="9"/>
      <c r="C77" s="15"/>
      <c r="D77" s="9"/>
      <c r="E77" s="15"/>
      <c r="F77" s="15"/>
      <c r="G77" s="15"/>
      <c r="H77" s="9"/>
      <c r="I77" s="15"/>
      <c r="J77" s="9">
        <v>1583.01</v>
      </c>
      <c r="K77" s="9" t="s">
        <v>8044</v>
      </c>
      <c r="L77" s="9">
        <v>1319</v>
      </c>
      <c r="M77" s="15" t="s">
        <v>8302</v>
      </c>
      <c r="N77" s="9">
        <v>2320</v>
      </c>
      <c r="O77" s="15" t="s">
        <v>8113</v>
      </c>
      <c r="P77" s="9">
        <v>574.99</v>
      </c>
      <c r="Q77" s="15" t="s">
        <v>8151</v>
      </c>
      <c r="R77" s="9"/>
      <c r="S77" s="15"/>
      <c r="T77" s="9">
        <v>3316</v>
      </c>
      <c r="U77" s="15" t="s">
        <v>8217</v>
      </c>
      <c r="V77" s="120"/>
      <c r="W77" s="120"/>
      <c r="X77" s="120"/>
      <c r="Y77" s="120"/>
      <c r="Z77" s="9"/>
      <c r="AA77" s="15"/>
      <c r="AB77" s="95">
        <f>+SUM(AB72:AB76)</f>
        <v>15241.59</v>
      </c>
      <c r="AC77" s="15"/>
      <c r="AD77" s="15"/>
      <c r="AE77" s="15"/>
      <c r="AF77" s="15"/>
      <c r="AG77" s="15"/>
      <c r="AH77" s="9"/>
      <c r="AI77" s="15"/>
      <c r="AJ77" s="72"/>
      <c r="AK77" s="15"/>
      <c r="AL77" s="9"/>
      <c r="AM77" s="15"/>
      <c r="AN77" s="9">
        <v>2040</v>
      </c>
      <c r="AO77" s="15" t="s">
        <v>8691</v>
      </c>
      <c r="AP77" s="9"/>
      <c r="AQ77" s="15"/>
      <c r="AR77" s="9"/>
      <c r="AS77" s="15"/>
      <c r="AT77" s="24"/>
      <c r="AU77" s="15"/>
      <c r="AV77" s="9"/>
      <c r="AW77" s="15"/>
      <c r="AX77" s="9"/>
      <c r="AY77" s="15"/>
      <c r="AZ77" s="9"/>
      <c r="BA77" s="15"/>
      <c r="BB77" s="9"/>
      <c r="BC77" s="15"/>
      <c r="BD77" s="9"/>
      <c r="BE77" s="15"/>
      <c r="BF77" s="72"/>
      <c r="BG77" s="15"/>
      <c r="BH77" s="9"/>
      <c r="BI77" s="15"/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  <c r="CO77" s="15"/>
      <c r="CP77" s="9"/>
    </row>
    <row r="78" spans="1:94" x14ac:dyDescent="0.25">
      <c r="A78" s="41"/>
      <c r="B78" s="9"/>
      <c r="C78" s="15"/>
      <c r="D78" s="9"/>
      <c r="E78" s="15"/>
      <c r="F78" s="9"/>
      <c r="G78" s="15"/>
      <c r="H78" s="9"/>
      <c r="I78" s="15"/>
      <c r="J78" s="9">
        <v>8212.58</v>
      </c>
      <c r="K78" s="15" t="s">
        <v>8049</v>
      </c>
      <c r="L78" s="9">
        <v>1169</v>
      </c>
      <c r="M78" s="15" t="s">
        <v>8303</v>
      </c>
      <c r="N78" s="72">
        <v>464</v>
      </c>
      <c r="O78" s="15" t="s">
        <v>8117</v>
      </c>
      <c r="P78" s="9">
        <v>9987.9699999999993</v>
      </c>
      <c r="Q78" s="15" t="s">
        <v>8156</v>
      </c>
      <c r="R78" s="9"/>
      <c r="S78" s="15"/>
      <c r="T78" s="95">
        <f>+SUM(T64:T77)</f>
        <v>40387.939999999995</v>
      </c>
      <c r="U78" s="15"/>
      <c r="V78" s="9"/>
      <c r="W78" s="15"/>
      <c r="X78" s="9"/>
      <c r="Y78" s="15"/>
      <c r="Z78" s="9"/>
      <c r="AA78" s="15"/>
      <c r="AB78" s="9"/>
      <c r="AC78" s="15"/>
      <c r="AD78" s="9"/>
      <c r="AE78" s="15"/>
      <c r="AF78" s="9"/>
      <c r="AG78" s="15"/>
      <c r="AH78" s="9"/>
      <c r="AI78" s="15"/>
      <c r="AJ78" s="72"/>
      <c r="AK78" s="15"/>
      <c r="AL78" s="15"/>
      <c r="AM78" s="15"/>
      <c r="AN78" s="9">
        <v>1970</v>
      </c>
      <c r="AO78" s="15" t="s">
        <v>8694</v>
      </c>
      <c r="AP78" s="15"/>
      <c r="AQ78" s="15"/>
      <c r="AR78" s="9"/>
      <c r="AS78" s="15"/>
      <c r="AT78" s="9"/>
      <c r="AU78" s="15"/>
      <c r="AV78" s="229"/>
      <c r="AW78" s="15"/>
      <c r="AX78" s="133"/>
      <c r="AY78" s="15"/>
      <c r="AZ78" s="9"/>
      <c r="BA78" s="15"/>
      <c r="BB78" s="137"/>
      <c r="BC78" s="15"/>
      <c r="BD78" s="15"/>
      <c r="BE78" s="15"/>
      <c r="BF78" s="9"/>
      <c r="BG78" s="15"/>
      <c r="BH78" s="15"/>
      <c r="BI78" s="15"/>
      <c r="BJ78" s="9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  <c r="CO78" s="15"/>
      <c r="CP78" s="9"/>
    </row>
    <row r="79" spans="1:94" x14ac:dyDescent="0.25">
      <c r="A79" s="41"/>
      <c r="B79" s="9"/>
      <c r="C79" s="15"/>
      <c r="D79" s="9"/>
      <c r="E79" s="15"/>
      <c r="F79" s="9"/>
      <c r="G79" s="15"/>
      <c r="H79" s="9"/>
      <c r="I79" s="15"/>
      <c r="J79" s="95">
        <f>+SUM(J66:J78)</f>
        <v>72934.679999999993</v>
      </c>
      <c r="K79" s="15"/>
      <c r="L79" s="9">
        <v>1168.99</v>
      </c>
      <c r="M79" s="15" t="s">
        <v>8304</v>
      </c>
      <c r="N79" s="15">
        <f>+SUM(N75:N78)</f>
        <v>5038.75</v>
      </c>
      <c r="O79" s="15"/>
      <c r="P79" s="9">
        <v>1099</v>
      </c>
      <c r="Q79" s="15" t="s">
        <v>8157</v>
      </c>
      <c r="R79" s="9"/>
      <c r="S79" s="15"/>
      <c r="T79" s="9"/>
      <c r="U79" s="15"/>
      <c r="V79" s="9"/>
      <c r="W79" s="15"/>
      <c r="X79" s="9"/>
      <c r="Y79" s="15"/>
      <c r="Z79" s="9"/>
      <c r="AA79" s="15"/>
      <c r="AB79" s="9"/>
      <c r="AC79" s="15"/>
      <c r="AD79" s="9"/>
      <c r="AE79" s="15"/>
      <c r="AF79" s="9"/>
      <c r="AG79" s="15"/>
      <c r="AH79" s="15"/>
      <c r="AI79" s="15"/>
      <c r="AJ79" s="72"/>
      <c r="AK79" s="15"/>
      <c r="AL79" s="15"/>
      <c r="AM79" s="15"/>
      <c r="AN79" s="9">
        <v>1970.02</v>
      </c>
      <c r="AO79" s="15" t="s">
        <v>8695</v>
      </c>
      <c r="AP79" s="9"/>
      <c r="AQ79" s="15"/>
      <c r="AR79" s="9"/>
      <c r="AS79" s="15"/>
      <c r="AT79" s="120"/>
      <c r="AU79" s="15"/>
      <c r="AV79" s="9"/>
      <c r="AW79" s="15"/>
      <c r="AX79" s="9"/>
      <c r="AY79" s="15"/>
      <c r="AZ79" s="9"/>
      <c r="BA79" s="15"/>
      <c r="BB79" s="72"/>
      <c r="BC79" s="15"/>
      <c r="BD79" s="9"/>
      <c r="BE79" s="15"/>
      <c r="BF79" s="9"/>
      <c r="BG79" s="15"/>
      <c r="BH79" s="15"/>
      <c r="BI79" s="15"/>
      <c r="BJ79" s="9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  <c r="CO79" s="15"/>
      <c r="CP79" s="9"/>
    </row>
    <row r="80" spans="1:94" x14ac:dyDescent="0.25">
      <c r="A80" s="41"/>
      <c r="B80" s="9"/>
      <c r="C80" s="15"/>
      <c r="D80" s="9"/>
      <c r="E80" s="15"/>
      <c r="F80" s="24"/>
      <c r="G80" s="15"/>
      <c r="H80" s="9"/>
      <c r="I80" s="15"/>
      <c r="J80" s="9"/>
      <c r="K80" s="15"/>
      <c r="L80" s="9">
        <v>1099.01</v>
      </c>
      <c r="M80" s="15" t="s">
        <v>8305</v>
      </c>
      <c r="N80" s="9"/>
      <c r="O80" s="15"/>
      <c r="P80" s="9">
        <v>277.94</v>
      </c>
      <c r="Q80" s="15" t="s">
        <v>8162</v>
      </c>
      <c r="R80" s="9"/>
      <c r="S80" s="15"/>
      <c r="T80" s="9"/>
      <c r="U80" s="15"/>
      <c r="V80" s="9"/>
      <c r="W80" s="15"/>
      <c r="X80" s="9"/>
      <c r="Y80" s="15"/>
      <c r="Z80" s="120"/>
      <c r="AA80" s="15"/>
      <c r="AB80" s="9"/>
      <c r="AC80" s="15"/>
      <c r="AD80" s="15"/>
      <c r="AE80" s="15"/>
      <c r="AF80" s="9"/>
      <c r="AG80" s="15"/>
      <c r="AH80" s="120"/>
      <c r="AI80" s="15"/>
      <c r="AJ80" s="72"/>
      <c r="AK80" s="15"/>
      <c r="AL80" s="15"/>
      <c r="AM80" s="15"/>
      <c r="AN80" s="9">
        <v>1099.01</v>
      </c>
      <c r="AO80" s="15" t="s">
        <v>8696</v>
      </c>
      <c r="AP80" s="9"/>
      <c r="AQ80" s="15"/>
      <c r="AR80" s="9"/>
      <c r="AS80" s="15"/>
      <c r="AT80" s="9"/>
      <c r="AU80" s="15"/>
      <c r="AV80" s="133"/>
      <c r="AW80" s="15"/>
      <c r="AX80" s="133"/>
      <c r="AY80" s="15"/>
      <c r="AZ80" s="9"/>
      <c r="BA80" s="15"/>
      <c r="BB80" s="9"/>
      <c r="BC80" s="9"/>
      <c r="BD80" s="9"/>
      <c r="BE80" s="15"/>
      <c r="BF80" s="9"/>
      <c r="BG80" s="15"/>
      <c r="BH80" s="9"/>
      <c r="BI80" s="15"/>
      <c r="BJ80" s="9"/>
      <c r="BK80" s="15"/>
      <c r="BL80" s="9"/>
      <c r="BM80" s="15"/>
      <c r="BN80" s="9"/>
      <c r="BO80" s="15"/>
      <c r="BP80" s="15"/>
      <c r="BQ80" s="15"/>
      <c r="BR80" s="9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  <c r="CO80" s="15"/>
      <c r="CP80" s="9"/>
    </row>
    <row r="81" spans="1:94" x14ac:dyDescent="0.25">
      <c r="A81" s="41"/>
      <c r="B81" s="9"/>
      <c r="C81" s="15"/>
      <c r="D81" s="9"/>
      <c r="E81" s="15"/>
      <c r="F81" s="9"/>
      <c r="G81" s="15"/>
      <c r="H81" s="9"/>
      <c r="I81" s="15"/>
      <c r="J81" s="9"/>
      <c r="K81" s="15"/>
      <c r="L81" s="9">
        <v>1449</v>
      </c>
      <c r="M81" s="15" t="s">
        <v>8307</v>
      </c>
      <c r="N81" s="9"/>
      <c r="O81" s="15"/>
      <c r="P81" s="9">
        <v>277.94</v>
      </c>
      <c r="Q81" s="15" t="s">
        <v>8163</v>
      </c>
      <c r="R81" s="9"/>
      <c r="S81" s="15"/>
      <c r="T81" s="9"/>
      <c r="U81" s="15"/>
      <c r="V81" s="9"/>
      <c r="W81" s="15"/>
      <c r="X81" s="9"/>
      <c r="Y81" s="15"/>
      <c r="Z81" s="15"/>
      <c r="AA81" s="15"/>
      <c r="AB81" s="9"/>
      <c r="AC81" s="15"/>
      <c r="AD81" s="9"/>
      <c r="AE81" s="15"/>
      <c r="AF81" s="15"/>
      <c r="AG81" s="15"/>
      <c r="AH81" s="9"/>
      <c r="AI81" s="15"/>
      <c r="AJ81" s="72"/>
      <c r="AK81" s="15"/>
      <c r="AL81" s="9"/>
      <c r="AM81" s="15"/>
      <c r="AN81" s="9">
        <v>2784</v>
      </c>
      <c r="AO81" s="15" t="s">
        <v>8698</v>
      </c>
      <c r="AP81" s="9"/>
      <c r="AQ81" s="15"/>
      <c r="AR81" s="9"/>
      <c r="AS81" s="15"/>
      <c r="AT81" s="15"/>
      <c r="AU81" s="15"/>
      <c r="AV81" s="9"/>
      <c r="AW81" s="15"/>
      <c r="AX81" s="9"/>
      <c r="AY81" s="15"/>
      <c r="AZ81" s="9"/>
      <c r="BA81" s="15"/>
      <c r="BB81" s="15"/>
      <c r="BC81" s="15"/>
      <c r="BD81" s="9"/>
      <c r="BE81" s="15"/>
      <c r="BF81" s="9"/>
      <c r="BG81" s="15"/>
      <c r="BH81" s="9"/>
      <c r="BI81" s="15"/>
      <c r="BJ81" s="15"/>
      <c r="BK81" s="15"/>
      <c r="BL81" s="9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  <c r="CO81" s="15"/>
      <c r="CP81" s="9"/>
    </row>
    <row r="82" spans="1:94" x14ac:dyDescent="0.25">
      <c r="A82" s="42"/>
      <c r="B82" s="23"/>
      <c r="C82" s="23"/>
      <c r="D82" s="23"/>
      <c r="E82" s="23"/>
      <c r="F82" s="23"/>
      <c r="G82" s="23"/>
      <c r="H82" s="14"/>
      <c r="I82" s="23"/>
      <c r="J82" s="23"/>
      <c r="K82" s="23"/>
      <c r="L82" s="14">
        <v>1099.01</v>
      </c>
      <c r="M82" s="23" t="s">
        <v>8309</v>
      </c>
      <c r="N82" s="23"/>
      <c r="O82" s="23"/>
      <c r="P82" s="14">
        <v>654.73</v>
      </c>
      <c r="Q82" s="23" t="s">
        <v>8167</v>
      </c>
      <c r="R82" s="23"/>
      <c r="S82" s="23"/>
      <c r="T82" s="14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4"/>
      <c r="AK82" s="23"/>
      <c r="AL82" s="23"/>
      <c r="AM82" s="23"/>
      <c r="AN82" s="14">
        <v>1099.01</v>
      </c>
      <c r="AO82" s="23" t="s">
        <v>8701</v>
      </c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</row>
    <row r="83" spans="1:94" x14ac:dyDescent="0.25">
      <c r="A83" s="41"/>
      <c r="B83" s="9"/>
      <c r="C83" s="15"/>
      <c r="D83" s="9"/>
      <c r="E83" s="15"/>
      <c r="F83" s="9"/>
      <c r="G83" s="15"/>
      <c r="H83" s="15"/>
      <c r="I83" s="15"/>
      <c r="J83" s="9"/>
      <c r="K83" s="15"/>
      <c r="L83" s="9">
        <v>1519.01</v>
      </c>
      <c r="M83" s="15" t="s">
        <v>8311</v>
      </c>
      <c r="N83" s="9"/>
      <c r="O83" s="15"/>
      <c r="P83" s="9">
        <v>1330.89</v>
      </c>
      <c r="Q83" s="15" t="s">
        <v>8168</v>
      </c>
      <c r="R83" s="9"/>
      <c r="S83" s="15"/>
      <c r="T83" s="9"/>
      <c r="U83" s="15"/>
      <c r="V83" s="9"/>
      <c r="W83" s="15"/>
      <c r="X83" s="9"/>
      <c r="Y83" s="15"/>
      <c r="Z83" s="9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9"/>
      <c r="AM83" s="15"/>
      <c r="AN83" s="14">
        <v>1099.01</v>
      </c>
      <c r="AO83" s="23" t="s">
        <v>8702</v>
      </c>
      <c r="AP83" s="9"/>
      <c r="AQ83" s="15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  <c r="CO83" s="15"/>
      <c r="CP83" s="9"/>
    </row>
    <row r="84" spans="1:94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>
        <v>654.07000000000005</v>
      </c>
      <c r="M84" s="15" t="s">
        <v>8314</v>
      </c>
      <c r="N84" s="9"/>
      <c r="O84" s="15"/>
      <c r="P84" s="95">
        <f>+SUM(P59:P83)</f>
        <v>65055.38</v>
      </c>
      <c r="Q84" s="15"/>
      <c r="R84" s="9"/>
      <c r="S84" s="15"/>
      <c r="T84" s="9"/>
      <c r="U84" s="15"/>
      <c r="V84" s="9"/>
      <c r="W84" s="15"/>
      <c r="X84" s="9"/>
      <c r="Y84" s="15"/>
      <c r="Z84" s="9"/>
      <c r="AA84" s="15"/>
      <c r="AB84" s="9"/>
      <c r="AC84" s="15"/>
      <c r="AD84" s="120"/>
      <c r="AE84" s="120"/>
      <c r="AF84" s="9"/>
      <c r="AG84" s="15"/>
      <c r="AH84" s="9"/>
      <c r="AI84" s="15"/>
      <c r="AJ84" s="9"/>
      <c r="AK84" s="15"/>
      <c r="AL84" s="9"/>
      <c r="AM84" s="15"/>
      <c r="AN84" s="9">
        <v>3437.57</v>
      </c>
      <c r="AO84" s="15" t="s">
        <v>8705</v>
      </c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  <c r="CO84" s="15"/>
      <c r="CP84" s="9"/>
    </row>
    <row r="85" spans="1:94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95">
        <f>+SUM(L68:L84)</f>
        <v>31420.139999999992</v>
      </c>
      <c r="M85" s="15"/>
      <c r="N85" s="9"/>
      <c r="O85" s="15"/>
      <c r="P85" s="9"/>
      <c r="Q85" s="15"/>
      <c r="R85" s="9"/>
      <c r="S85" s="15"/>
      <c r="T85" s="15"/>
      <c r="U85" s="15"/>
      <c r="V85" s="9"/>
      <c r="W85" s="15"/>
      <c r="X85" s="9"/>
      <c r="Y85" s="15"/>
      <c r="Z85" s="9"/>
      <c r="AA85" s="15"/>
      <c r="AB85" s="9"/>
      <c r="AC85" s="15"/>
      <c r="AD85" s="120"/>
      <c r="AE85" s="120"/>
      <c r="AF85" s="9"/>
      <c r="AG85" s="15"/>
      <c r="AH85" s="9"/>
      <c r="AI85" s="15"/>
      <c r="AJ85" s="9"/>
      <c r="AK85" s="15"/>
      <c r="AL85" s="9"/>
      <c r="AM85" s="15"/>
      <c r="AN85" s="9">
        <v>3250.97</v>
      </c>
      <c r="AO85" s="15" t="s">
        <v>8707</v>
      </c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  <c r="CO85" s="15"/>
      <c r="CP85" s="9"/>
    </row>
    <row r="86" spans="1:94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9"/>
      <c r="AA86" s="15"/>
      <c r="AB86" s="9"/>
      <c r="AC86" s="15"/>
      <c r="AD86" s="120"/>
      <c r="AE86" s="120"/>
      <c r="AF86" s="9"/>
      <c r="AG86" s="15"/>
      <c r="AH86" s="9"/>
      <c r="AI86" s="15"/>
      <c r="AJ86" s="9"/>
      <c r="AK86" s="15"/>
      <c r="AL86" s="9"/>
      <c r="AM86" s="15"/>
      <c r="AN86" s="9">
        <v>1099.01</v>
      </c>
      <c r="AO86" s="15" t="s">
        <v>8709</v>
      </c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  <c r="CO86" s="15"/>
      <c r="CP86" s="9"/>
    </row>
    <row r="87" spans="1:94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1"/>
      <c r="AA87" s="13"/>
      <c r="AB87" s="11"/>
      <c r="AC87" s="13"/>
      <c r="AD87" s="120"/>
      <c r="AE87" s="120"/>
      <c r="AF87" s="11"/>
      <c r="AG87" s="13"/>
      <c r="AH87" s="11"/>
      <c r="AI87" s="13"/>
      <c r="AJ87" s="11"/>
      <c r="AK87" s="13"/>
      <c r="AL87" s="11"/>
      <c r="AM87" s="13"/>
      <c r="AN87" s="11">
        <v>5268</v>
      </c>
      <c r="AO87" s="13" t="s">
        <v>8714</v>
      </c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  <c r="CO87" s="13"/>
      <c r="CP87" s="11"/>
    </row>
    <row r="88" spans="1:94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23"/>
      <c r="AA88" s="13"/>
      <c r="AB88" s="13"/>
      <c r="AC88" s="13"/>
      <c r="AD88" s="120"/>
      <c r="AE88" s="120"/>
      <c r="AF88" s="13"/>
      <c r="AG88" s="13"/>
      <c r="AH88" s="13"/>
      <c r="AI88" s="13"/>
      <c r="AJ88" s="13"/>
      <c r="AK88" s="13"/>
      <c r="AL88" s="13"/>
      <c r="AM88" s="13"/>
      <c r="AN88" s="111">
        <f>+SUM(AN69:AN87)</f>
        <v>64413.78</v>
      </c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</row>
    <row r="89" spans="1:94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2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</row>
    <row r="90" spans="1:94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</row>
    <row r="91" spans="1:94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</row>
    <row r="92" spans="1:94" x14ac:dyDescent="0.25">
      <c r="A92" s="41" t="s">
        <v>6</v>
      </c>
      <c r="B92" s="9">
        <v>2299.0100000000002</v>
      </c>
      <c r="C92" s="15" t="s">
        <v>7872</v>
      </c>
      <c r="D92" s="9"/>
      <c r="E92" s="15"/>
      <c r="F92" s="9">
        <v>464.99</v>
      </c>
      <c r="G92" s="15" t="s">
        <v>7913</v>
      </c>
      <c r="H92" s="15">
        <v>1099.01</v>
      </c>
      <c r="I92" s="15" t="s">
        <v>7981</v>
      </c>
      <c r="J92" s="9"/>
      <c r="K92" s="15"/>
      <c r="L92" s="15"/>
      <c r="M92" s="15"/>
      <c r="N92" s="9"/>
      <c r="O92" s="15"/>
      <c r="P92" s="9"/>
      <c r="Q92" s="15"/>
      <c r="R92" s="9"/>
      <c r="S92" s="15"/>
      <c r="T92" s="9"/>
      <c r="U92" s="15"/>
      <c r="V92" s="9"/>
      <c r="W92" s="15"/>
      <c r="X92" s="15">
        <v>464</v>
      </c>
      <c r="Y92" s="15" t="s">
        <v>8351</v>
      </c>
      <c r="Z92" s="9">
        <v>450.92</v>
      </c>
      <c r="AA92" s="15" t="s">
        <v>8371</v>
      </c>
      <c r="AB92" s="9">
        <v>500</v>
      </c>
      <c r="AC92" s="15" t="s">
        <v>8463</v>
      </c>
      <c r="AD92" s="9">
        <v>1000</v>
      </c>
      <c r="AE92" s="15" t="s">
        <v>8422</v>
      </c>
      <c r="AF92" s="9"/>
      <c r="AG92" s="15"/>
      <c r="AH92" s="9">
        <v>4000</v>
      </c>
      <c r="AI92" s="15" t="s">
        <v>8497</v>
      </c>
      <c r="AJ92" s="9">
        <v>348</v>
      </c>
      <c r="AK92" s="15" t="s">
        <v>8563</v>
      </c>
      <c r="AL92" s="9">
        <v>254.92</v>
      </c>
      <c r="AM92" s="9" t="s">
        <v>8602</v>
      </c>
      <c r="AN92" s="9">
        <v>292.13</v>
      </c>
      <c r="AO92" s="9" t="s">
        <v>8655</v>
      </c>
      <c r="AP92" s="9">
        <v>2610.1</v>
      </c>
      <c r="AQ92" s="15" t="s">
        <v>8721</v>
      </c>
      <c r="AR92" s="9">
        <v>1258.6500000000001</v>
      </c>
      <c r="AS92" s="15" t="s">
        <v>8795</v>
      </c>
      <c r="AT92" s="243">
        <v>30000</v>
      </c>
      <c r="AU92" s="15" t="s">
        <v>8832</v>
      </c>
      <c r="AV92" s="9">
        <v>1257.23</v>
      </c>
      <c r="AW92" s="15" t="s">
        <v>8893</v>
      </c>
      <c r="AX92" s="15">
        <v>10210.52</v>
      </c>
      <c r="AY92" s="15" t="s">
        <v>8907</v>
      </c>
      <c r="AZ92" s="9">
        <v>17644.189999999999</v>
      </c>
      <c r="BA92" s="15" t="s">
        <v>8997</v>
      </c>
      <c r="BB92" s="9">
        <v>7431</v>
      </c>
      <c r="BC92" s="15" t="s">
        <v>9005</v>
      </c>
      <c r="BD92" s="9">
        <v>20000</v>
      </c>
      <c r="BE92" s="15" t="s">
        <v>9085</v>
      </c>
      <c r="BF92" s="9">
        <v>1169</v>
      </c>
      <c r="BG92" s="15" t="s">
        <v>9157</v>
      </c>
      <c r="BH92" s="9"/>
      <c r="BI92" s="15"/>
      <c r="BJ92" s="9"/>
      <c r="BK92" s="15"/>
      <c r="BL92" s="9"/>
      <c r="BM92" s="15"/>
      <c r="BN92" s="9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  <c r="CO92" s="15"/>
      <c r="CP92" s="9"/>
    </row>
    <row r="93" spans="1:94" x14ac:dyDescent="0.25">
      <c r="A93" s="41"/>
      <c r="B93" s="9">
        <v>3400</v>
      </c>
      <c r="C93" s="15" t="s">
        <v>7874</v>
      </c>
      <c r="D93" s="121"/>
      <c r="E93" s="15"/>
      <c r="F93" s="9"/>
      <c r="G93" s="15"/>
      <c r="H93" s="9"/>
      <c r="I93" s="15"/>
      <c r="J93" s="9"/>
      <c r="K93" s="15"/>
      <c r="L93" s="9"/>
      <c r="M93" s="15"/>
      <c r="N93" s="9"/>
      <c r="O93" s="15"/>
      <c r="P93" s="9"/>
      <c r="Q93" s="15"/>
      <c r="R93" s="9"/>
      <c r="S93" s="15"/>
      <c r="T93" s="9"/>
      <c r="U93" s="15"/>
      <c r="V93" s="9"/>
      <c r="W93" s="15"/>
      <c r="X93" s="9"/>
      <c r="Y93" s="15"/>
      <c r="Z93" s="9">
        <v>132.87</v>
      </c>
      <c r="AA93" s="15" t="s">
        <v>8382</v>
      </c>
      <c r="AB93" s="9">
        <v>175</v>
      </c>
      <c r="AC93" s="15" t="s">
        <v>8471</v>
      </c>
      <c r="AD93" s="72">
        <v>190.69</v>
      </c>
      <c r="AE93" s="15" t="s">
        <v>8429</v>
      </c>
      <c r="AF93" s="9"/>
      <c r="AG93" s="15"/>
      <c r="AH93" s="9"/>
      <c r="AI93" s="15"/>
      <c r="AJ93" s="9"/>
      <c r="AK93" s="15"/>
      <c r="AL93" s="9"/>
      <c r="AM93" s="15"/>
      <c r="AN93" s="9">
        <v>1099.02</v>
      </c>
      <c r="AO93" s="15" t="s">
        <v>8623</v>
      </c>
      <c r="AP93" s="9"/>
      <c r="AQ93" s="15"/>
      <c r="AR93" s="9">
        <v>2040</v>
      </c>
      <c r="AS93" s="15" t="s">
        <v>8803</v>
      </c>
      <c r="AT93" s="243">
        <v>7088.78</v>
      </c>
      <c r="AU93" s="15" t="s">
        <v>8834</v>
      </c>
      <c r="AV93" s="9">
        <f>4178.02-928.19</f>
        <v>3249.8300000000004</v>
      </c>
      <c r="AW93" s="15" t="s">
        <v>8899</v>
      </c>
      <c r="AX93" s="9">
        <v>1083.3499999999999</v>
      </c>
      <c r="AY93" s="15" t="s">
        <v>8908</v>
      </c>
      <c r="AZ93" s="10">
        <v>3250</v>
      </c>
      <c r="BA93" s="12" t="s">
        <v>9001</v>
      </c>
      <c r="BB93" s="9">
        <v>761</v>
      </c>
      <c r="BC93" s="15" t="s">
        <v>9007</v>
      </c>
      <c r="BD93" s="9">
        <v>1313.86</v>
      </c>
      <c r="BE93" s="15" t="s">
        <v>9090</v>
      </c>
      <c r="BF93" s="9">
        <v>1970</v>
      </c>
      <c r="BG93" s="15" t="s">
        <v>9148</v>
      </c>
      <c r="BH93" s="9"/>
      <c r="BI93" s="15"/>
      <c r="BJ93" s="9"/>
      <c r="BK93" s="15"/>
      <c r="BL93" s="9"/>
      <c r="BM93" s="15"/>
      <c r="BN93" s="9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  <c r="CO93" s="15"/>
      <c r="CP93" s="9"/>
    </row>
    <row r="94" spans="1:94" x14ac:dyDescent="0.25">
      <c r="A94" s="41"/>
      <c r="B94" s="9">
        <v>2834.99</v>
      </c>
      <c r="C94" s="15" t="s">
        <v>7877</v>
      </c>
      <c r="D94" s="121"/>
      <c r="E94" s="15"/>
      <c r="F94" s="9"/>
      <c r="G94" s="15"/>
      <c r="H94" s="9"/>
      <c r="I94" s="15"/>
      <c r="J94" s="15"/>
      <c r="K94" s="15"/>
      <c r="L94" s="9"/>
      <c r="M94" s="15"/>
      <c r="N94" s="9"/>
      <c r="O94" s="15"/>
      <c r="P94" s="15"/>
      <c r="Q94" s="15"/>
      <c r="R94" s="9"/>
      <c r="S94" s="15"/>
      <c r="T94" s="9"/>
      <c r="U94" s="15"/>
      <c r="V94" s="15"/>
      <c r="W94" s="15"/>
      <c r="X94" s="15"/>
      <c r="Y94" s="15"/>
      <c r="Z94" s="95">
        <f>+Z92+Z93</f>
        <v>583.79</v>
      </c>
      <c r="AA94" s="15"/>
      <c r="AB94" s="9">
        <v>2018.99</v>
      </c>
      <c r="AC94" s="15" t="s">
        <v>8478</v>
      </c>
      <c r="AD94" s="9">
        <v>1099.01</v>
      </c>
      <c r="AE94" s="15" t="s">
        <v>8443</v>
      </c>
      <c r="AF94" s="9"/>
      <c r="AG94" s="15"/>
      <c r="AH94" s="9">
        <v>4395.01</v>
      </c>
      <c r="AI94" s="15" t="s">
        <v>8538</v>
      </c>
      <c r="AJ94" s="9">
        <v>25000</v>
      </c>
      <c r="AK94" s="15" t="s">
        <v>8573</v>
      </c>
      <c r="AL94" s="9">
        <v>2040</v>
      </c>
      <c r="AM94" s="15" t="s">
        <v>8627</v>
      </c>
      <c r="AN94" s="95">
        <f>+AN92+AN93</f>
        <v>1391.15</v>
      </c>
      <c r="AO94" s="15"/>
      <c r="AP94" s="137">
        <v>2866.01</v>
      </c>
      <c r="AQ94" s="120" t="s">
        <v>8740</v>
      </c>
      <c r="AR94" s="9">
        <v>1169</v>
      </c>
      <c r="AS94" s="15" t="s">
        <v>8804</v>
      </c>
      <c r="AT94" s="243">
        <v>3319.99</v>
      </c>
      <c r="AU94" s="15" t="s">
        <v>8836</v>
      </c>
      <c r="AV94" s="9">
        <v>3929</v>
      </c>
      <c r="AW94" s="15" t="s">
        <v>8903</v>
      </c>
      <c r="AX94" s="9">
        <v>4238.99</v>
      </c>
      <c r="AY94" s="15" t="s">
        <v>8910</v>
      </c>
      <c r="AZ94" s="152">
        <f>+AZ93+AZ92</f>
        <v>20894.189999999999</v>
      </c>
      <c r="BA94" s="12"/>
      <c r="BB94" s="9">
        <v>4159.95</v>
      </c>
      <c r="BC94" s="15" t="s">
        <v>9023</v>
      </c>
      <c r="BD94" s="9">
        <v>9008.51</v>
      </c>
      <c r="BE94" s="15" t="s">
        <v>9092</v>
      </c>
      <c r="BF94" s="9">
        <v>1099.01</v>
      </c>
      <c r="BG94" s="15" t="s">
        <v>9158</v>
      </c>
      <c r="BH94" s="15"/>
      <c r="BI94" s="15"/>
      <c r="BJ94" s="9"/>
      <c r="BK94" s="15"/>
      <c r="BL94" s="9"/>
      <c r="BM94" s="15"/>
      <c r="BN94" s="15"/>
      <c r="BO94" s="15"/>
      <c r="BP94" s="9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</row>
    <row r="95" spans="1:94" x14ac:dyDescent="0.25">
      <c r="A95" s="41"/>
      <c r="B95" s="9">
        <v>2064.9899999999998</v>
      </c>
      <c r="C95" s="15" t="s">
        <v>7883</v>
      </c>
      <c r="D95" s="121"/>
      <c r="E95" s="15"/>
      <c r="F95" s="9"/>
      <c r="G95" s="15"/>
      <c r="H95" s="9"/>
      <c r="I95" s="15"/>
      <c r="J95" s="9"/>
      <c r="K95" s="15"/>
      <c r="L95" s="9"/>
      <c r="M95" s="15"/>
      <c r="N95" s="9"/>
      <c r="O95" s="15"/>
      <c r="P95" s="9"/>
      <c r="Q95" s="15"/>
      <c r="R95" s="15"/>
      <c r="S95" s="15"/>
      <c r="T95" s="9"/>
      <c r="U95" s="15"/>
      <c r="V95" s="9"/>
      <c r="W95" s="15"/>
      <c r="X95" s="9"/>
      <c r="Y95" s="15"/>
      <c r="Z95" s="15"/>
      <c r="AA95" s="15"/>
      <c r="AB95" s="9">
        <v>1099</v>
      </c>
      <c r="AC95" s="15" t="s">
        <v>8483</v>
      </c>
      <c r="AD95" s="15">
        <v>1169</v>
      </c>
      <c r="AE95" s="15" t="s">
        <v>8449</v>
      </c>
      <c r="AF95" s="9"/>
      <c r="AG95" s="15"/>
      <c r="AH95" s="9">
        <v>2039.99</v>
      </c>
      <c r="AI95" s="15" t="s">
        <v>8539</v>
      </c>
      <c r="AJ95" s="9">
        <v>93.02</v>
      </c>
      <c r="AK95" s="15" t="s">
        <v>8575</v>
      </c>
      <c r="AL95" s="9">
        <v>1657</v>
      </c>
      <c r="AM95" s="15" t="s">
        <v>8635</v>
      </c>
      <c r="AN95" s="9"/>
      <c r="AO95" s="15"/>
      <c r="AP95" s="120">
        <v>12644.12</v>
      </c>
      <c r="AQ95" s="120" t="s">
        <v>8741</v>
      </c>
      <c r="AR95" s="9">
        <v>1600.99</v>
      </c>
      <c r="AS95" s="15" t="s">
        <v>8809</v>
      </c>
      <c r="AT95" s="243">
        <v>1169</v>
      </c>
      <c r="AU95" s="15" t="s">
        <v>8837</v>
      </c>
      <c r="AV95" s="137">
        <v>1969.99</v>
      </c>
      <c r="AW95" s="15" t="s">
        <v>8904</v>
      </c>
      <c r="AX95" s="137">
        <v>3559</v>
      </c>
      <c r="AY95" s="15" t="s">
        <v>8911</v>
      </c>
      <c r="AZ95" s="9"/>
      <c r="BA95" s="15"/>
      <c r="BB95" s="9">
        <v>2040</v>
      </c>
      <c r="BC95" s="15" t="s">
        <v>9030</v>
      </c>
      <c r="BD95" s="9">
        <f>34732.64-18000</f>
        <v>16732.64</v>
      </c>
      <c r="BE95" s="15" t="s">
        <v>9101</v>
      </c>
      <c r="BF95" s="95">
        <f>+SUM(BF92:BF94)</f>
        <v>4238.01</v>
      </c>
      <c r="BG95" s="15"/>
      <c r="BH95" s="9"/>
      <c r="BI95" s="15"/>
      <c r="BJ95" s="9"/>
      <c r="BK95" s="15"/>
      <c r="BL95" s="15"/>
      <c r="BM95" s="15"/>
      <c r="BN95" s="9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  <c r="CO95" s="15"/>
      <c r="CP95" s="9"/>
    </row>
    <row r="96" spans="1:94" x14ac:dyDescent="0.25">
      <c r="A96" s="41"/>
      <c r="B96" s="9">
        <v>4465</v>
      </c>
      <c r="C96" s="15" t="s">
        <v>7885</v>
      </c>
      <c r="D96" s="9"/>
      <c r="E96" s="26"/>
      <c r="F96" s="9"/>
      <c r="G96" s="15"/>
      <c r="H96" s="15"/>
      <c r="I96" s="15"/>
      <c r="J96" s="9"/>
      <c r="K96" s="15"/>
      <c r="L96" s="9"/>
      <c r="M96" s="15"/>
      <c r="N96" s="26"/>
      <c r="O96" s="26"/>
      <c r="P96" s="9"/>
      <c r="Q96" s="15"/>
      <c r="R96" s="9"/>
      <c r="S96" s="15"/>
      <c r="T96" s="9"/>
      <c r="U96" s="9"/>
      <c r="V96" s="9"/>
      <c r="W96" s="15"/>
      <c r="X96" s="9"/>
      <c r="Y96" s="15"/>
      <c r="Z96" s="9">
        <v>5000</v>
      </c>
      <c r="AA96" s="15" t="s">
        <v>8384</v>
      </c>
      <c r="AB96" s="95">
        <f>+SUM(AB92:AB95)</f>
        <v>3792.99</v>
      </c>
      <c r="AC96" s="15"/>
      <c r="AD96" s="9">
        <v>1099.01</v>
      </c>
      <c r="AE96" s="13" t="s">
        <v>8457</v>
      </c>
      <c r="AF96" s="15"/>
      <c r="AG96" s="15"/>
      <c r="AH96" s="9">
        <v>1929.01</v>
      </c>
      <c r="AI96" s="15" t="s">
        <v>8542</v>
      </c>
      <c r="AJ96" s="9">
        <v>260.33</v>
      </c>
      <c r="AK96" s="15" t="s">
        <v>8578</v>
      </c>
      <c r="AL96" s="9">
        <v>1099.01</v>
      </c>
      <c r="AM96" s="15" t="s">
        <v>8637</v>
      </c>
      <c r="AN96" s="9">
        <v>1958.38</v>
      </c>
      <c r="AO96" s="15" t="s">
        <v>8682</v>
      </c>
      <c r="AP96" s="9">
        <v>1169</v>
      </c>
      <c r="AQ96" s="15" t="s">
        <v>8750</v>
      </c>
      <c r="AR96" s="137">
        <v>1969.99</v>
      </c>
      <c r="AS96" s="15" t="s">
        <v>8817</v>
      </c>
      <c r="AT96" s="243">
        <v>2064.9899999999998</v>
      </c>
      <c r="AU96" s="15" t="s">
        <v>8839</v>
      </c>
      <c r="AV96" s="14">
        <v>6552.45</v>
      </c>
      <c r="AW96" s="12" t="s">
        <v>8906</v>
      </c>
      <c r="AX96" s="9">
        <v>2065</v>
      </c>
      <c r="AY96" s="15" t="s">
        <v>8912</v>
      </c>
      <c r="AZ96" s="248">
        <v>1111.74</v>
      </c>
      <c r="BA96" s="15" t="s">
        <v>9053</v>
      </c>
      <c r="BB96" s="9">
        <v>1169</v>
      </c>
      <c r="BC96" s="15" t="s">
        <v>9034</v>
      </c>
      <c r="BD96" s="9">
        <v>1169</v>
      </c>
      <c r="BE96" s="15" t="s">
        <v>9106</v>
      </c>
      <c r="BF96" s="9"/>
      <c r="BG96" s="15"/>
      <c r="BH96" s="9"/>
      <c r="BI96" s="15"/>
      <c r="BJ96" s="9"/>
      <c r="BK96" s="15"/>
      <c r="BL96" s="15"/>
      <c r="BM96" s="15"/>
      <c r="BN96" s="9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  <c r="CO96" s="15"/>
      <c r="CP96" s="9"/>
    </row>
    <row r="97" spans="1:94" x14ac:dyDescent="0.25">
      <c r="A97" s="41"/>
      <c r="B97" s="9">
        <v>464</v>
      </c>
      <c r="C97" s="15" t="s">
        <v>7886</v>
      </c>
      <c r="D97" s="9"/>
      <c r="E97" s="15"/>
      <c r="F97" s="9"/>
      <c r="G97" s="15"/>
      <c r="H97" s="9"/>
      <c r="I97" s="15"/>
      <c r="J97" s="9"/>
      <c r="K97" s="15"/>
      <c r="L97" s="9"/>
      <c r="M97" s="15"/>
      <c r="N97" s="9"/>
      <c r="O97" s="15"/>
      <c r="P97" s="9"/>
      <c r="Q97" s="15"/>
      <c r="R97" s="9"/>
      <c r="S97" s="15"/>
      <c r="T97" s="9"/>
      <c r="U97" s="15"/>
      <c r="V97" s="137"/>
      <c r="W97" s="15"/>
      <c r="X97" s="137"/>
      <c r="Y97" s="15"/>
      <c r="Z97" s="9">
        <v>5000</v>
      </c>
      <c r="AA97" s="15" t="s">
        <v>8387</v>
      </c>
      <c r="AB97" s="9"/>
      <c r="AC97" s="15"/>
      <c r="AD97" s="111">
        <f>+SUM(AD92:AD96)</f>
        <v>4557.71</v>
      </c>
      <c r="AE97" s="13"/>
      <c r="AF97" s="9"/>
      <c r="AG97" s="15"/>
      <c r="AH97" s="137">
        <v>1169</v>
      </c>
      <c r="AI97" s="15" t="s">
        <v>8544</v>
      </c>
      <c r="AJ97" s="95">
        <f>+SUM(AJ94:AJ96)</f>
        <v>25353.350000000002</v>
      </c>
      <c r="AK97" s="15"/>
      <c r="AL97" s="9">
        <v>3319.55</v>
      </c>
      <c r="AM97" s="15" t="s">
        <v>8642</v>
      </c>
      <c r="AN97" s="9">
        <v>1943.02</v>
      </c>
      <c r="AO97" s="15" t="s">
        <v>8697</v>
      </c>
      <c r="AP97" s="9">
        <v>3971.02</v>
      </c>
      <c r="AQ97" s="15" t="s">
        <v>8751</v>
      </c>
      <c r="AR97" s="9">
        <v>635</v>
      </c>
      <c r="AS97" s="15" t="s">
        <v>8818</v>
      </c>
      <c r="AT97" s="243">
        <v>13015.79</v>
      </c>
      <c r="AU97" s="15" t="s">
        <v>8840</v>
      </c>
      <c r="AV97" s="95">
        <f>+SUM(AV92:AV96)</f>
        <v>16958.5</v>
      </c>
      <c r="AW97" s="15"/>
      <c r="AX97" s="9">
        <f>11217.21-4000</f>
        <v>7217.2099999999991</v>
      </c>
      <c r="AY97" s="15" t="s">
        <v>8918</v>
      </c>
      <c r="AZ97" s="248">
        <v>1276</v>
      </c>
      <c r="BA97" s="15" t="s">
        <v>9054</v>
      </c>
      <c r="BB97" s="9">
        <v>4238.99</v>
      </c>
      <c r="BC97" s="15" t="s">
        <v>9032</v>
      </c>
      <c r="BD97" s="9">
        <v>9697.92</v>
      </c>
      <c r="BE97" s="15" t="s">
        <v>9108</v>
      </c>
      <c r="BF97" s="15"/>
      <c r="BG97" s="15"/>
      <c r="BH97" s="229"/>
      <c r="BI97" s="127"/>
      <c r="BJ97" s="9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</row>
    <row r="98" spans="1:94" x14ac:dyDescent="0.25">
      <c r="A98" s="41"/>
      <c r="B98" s="9">
        <v>1528.98</v>
      </c>
      <c r="C98" s="15" t="s">
        <v>7887</v>
      </c>
      <c r="D98" s="9"/>
      <c r="E98" s="15"/>
      <c r="F98" s="9"/>
      <c r="G98" s="15"/>
      <c r="H98" s="9"/>
      <c r="I98" s="15"/>
      <c r="J98" s="9"/>
      <c r="K98" s="15"/>
      <c r="L98" s="9"/>
      <c r="M98" s="15"/>
      <c r="N98" s="9"/>
      <c r="O98" s="15"/>
      <c r="P98" s="9"/>
      <c r="Q98" s="15"/>
      <c r="R98" s="9"/>
      <c r="S98" s="15"/>
      <c r="T98" s="9"/>
      <c r="U98" s="15"/>
      <c r="V98" s="15"/>
      <c r="W98" s="15"/>
      <c r="X98" s="15"/>
      <c r="Y98" s="15"/>
      <c r="Z98" s="9">
        <v>3483.99</v>
      </c>
      <c r="AA98" s="15" t="s">
        <v>8405</v>
      </c>
      <c r="AB98" s="9"/>
      <c r="AC98" s="15"/>
      <c r="AD98" s="15"/>
      <c r="AE98" s="15"/>
      <c r="AF98" s="9"/>
      <c r="AG98" s="15"/>
      <c r="AH98" s="9">
        <v>2040</v>
      </c>
      <c r="AI98" s="15" t="s">
        <v>8552</v>
      </c>
      <c r="AJ98" s="9"/>
      <c r="AK98" s="15"/>
      <c r="AL98" s="9">
        <v>127.46</v>
      </c>
      <c r="AM98" s="15" t="s">
        <v>8646</v>
      </c>
      <c r="AN98" s="9">
        <v>3319.99</v>
      </c>
      <c r="AO98" s="15" t="s">
        <v>8699</v>
      </c>
      <c r="AP98" s="9">
        <v>1168.99</v>
      </c>
      <c r="AQ98" s="15" t="s">
        <v>8752</v>
      </c>
      <c r="AR98" s="95">
        <f>+SUM(AR92:AR97)</f>
        <v>8673.6299999999992</v>
      </c>
      <c r="AS98" s="15"/>
      <c r="AT98" s="243">
        <v>3239</v>
      </c>
      <c r="AU98" s="15" t="s">
        <v>8841</v>
      </c>
      <c r="AV98" s="15"/>
      <c r="AW98" s="15"/>
      <c r="AX98" s="95">
        <f>+SUM(AX92:AX97)</f>
        <v>28374.07</v>
      </c>
      <c r="AY98" s="15"/>
      <c r="AZ98" s="248">
        <v>232</v>
      </c>
      <c r="BA98" s="15" t="s">
        <v>9056</v>
      </c>
      <c r="BB98" s="95">
        <f>+SUM(BB92:BB97)</f>
        <v>19799.940000000002</v>
      </c>
      <c r="BC98" s="15"/>
      <c r="BD98" s="95">
        <f>+SUM(BD92:BD97)</f>
        <v>57921.93</v>
      </c>
      <c r="BE98" s="15"/>
      <c r="BF98" s="15"/>
      <c r="BG98" s="15"/>
      <c r="BH98" s="127"/>
      <c r="BI98" s="127"/>
      <c r="BJ98" s="9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</row>
    <row r="99" spans="1:94" x14ac:dyDescent="0.25">
      <c r="A99" s="41"/>
      <c r="B99" s="9">
        <v>1919.01</v>
      </c>
      <c r="C99" s="15" t="s">
        <v>7898</v>
      </c>
      <c r="D99" s="9"/>
      <c r="E99" s="15"/>
      <c r="F99" s="9"/>
      <c r="G99" s="15"/>
      <c r="H99" s="9"/>
      <c r="I99" s="15"/>
      <c r="J99" s="9"/>
      <c r="K99" s="15"/>
      <c r="L99" s="9"/>
      <c r="M99" s="15"/>
      <c r="N99" s="9"/>
      <c r="O99" s="15"/>
      <c r="P99" s="9"/>
      <c r="Q99" s="15"/>
      <c r="R99" s="9"/>
      <c r="S99" s="15"/>
      <c r="T99" s="9"/>
      <c r="U99" s="15"/>
      <c r="V99" s="9"/>
      <c r="W99" s="15"/>
      <c r="X99" s="9"/>
      <c r="Y99" s="15"/>
      <c r="Z99" s="9">
        <v>2196.9899999999998</v>
      </c>
      <c r="AA99" s="15" t="s">
        <v>8411</v>
      </c>
      <c r="AB99" s="9"/>
      <c r="AC99" s="15"/>
      <c r="AD99" s="9"/>
      <c r="AE99" s="15"/>
      <c r="AF99" s="9"/>
      <c r="AG99" s="15"/>
      <c r="AH99" s="95">
        <f>+SUM(AH94:AH98)</f>
        <v>11573.01</v>
      </c>
      <c r="AI99" s="15"/>
      <c r="AJ99" s="15"/>
      <c r="AK99" s="15"/>
      <c r="AL99" s="95">
        <f>+SUM(AL94:AL98)</f>
        <v>8243.02</v>
      </c>
      <c r="AM99" s="15"/>
      <c r="AN99" s="14">
        <v>1099.01</v>
      </c>
      <c r="AO99" s="23" t="s">
        <v>8700</v>
      </c>
      <c r="AP99" s="9">
        <v>2040</v>
      </c>
      <c r="AQ99" s="15" t="s">
        <v>8756</v>
      </c>
      <c r="AR99" s="9"/>
      <c r="AS99" s="15"/>
      <c r="AT99" s="243">
        <v>1099</v>
      </c>
      <c r="AU99" s="15" t="s">
        <v>8842</v>
      </c>
      <c r="AV99" s="9">
        <v>7229.07</v>
      </c>
      <c r="AW99" s="15" t="s">
        <v>8924</v>
      </c>
      <c r="AX99" s="15"/>
      <c r="AY99" s="15"/>
      <c r="AZ99" s="248">
        <v>1168.99</v>
      </c>
      <c r="BA99" s="15" t="s">
        <v>9060</v>
      </c>
      <c r="BB99" s="15"/>
      <c r="BC99" s="15"/>
      <c r="BD99" s="127"/>
      <c r="BE99" s="24"/>
      <c r="BF99" s="9"/>
      <c r="BG99" s="15"/>
      <c r="BH99" s="127"/>
      <c r="BI99" s="127"/>
      <c r="BJ99" s="15"/>
      <c r="BK99" s="15"/>
      <c r="BL99" s="9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  <c r="CO99" s="15"/>
      <c r="CP99" s="9"/>
    </row>
    <row r="100" spans="1:94" x14ac:dyDescent="0.25">
      <c r="A100" s="41"/>
      <c r="B100" s="9">
        <v>2270.9299999999998</v>
      </c>
      <c r="C100" s="15" t="s">
        <v>7902</v>
      </c>
      <c r="D100" s="15"/>
      <c r="E100" s="15"/>
      <c r="F100" s="9"/>
      <c r="G100" s="15"/>
      <c r="H100" s="9"/>
      <c r="I100" s="15"/>
      <c r="J100" s="9"/>
      <c r="K100" s="15"/>
      <c r="L100" s="9"/>
      <c r="M100" s="15"/>
      <c r="N100" s="9"/>
      <c r="O100" s="15"/>
      <c r="P100" s="9"/>
      <c r="Q100" s="15"/>
      <c r="R100" s="9"/>
      <c r="S100" s="15"/>
      <c r="T100" s="9"/>
      <c r="U100" s="15"/>
      <c r="V100" s="9"/>
      <c r="W100" s="15"/>
      <c r="X100" s="9"/>
      <c r="Y100" s="15"/>
      <c r="Z100" s="9">
        <v>253.33</v>
      </c>
      <c r="AA100" s="15" t="s">
        <v>8420</v>
      </c>
      <c r="AB100" s="9"/>
      <c r="AC100" s="15"/>
      <c r="AD100" s="9"/>
      <c r="AE100" s="15"/>
      <c r="AF100" s="9"/>
      <c r="AG100" s="15"/>
      <c r="AH100" s="9"/>
      <c r="AI100" s="15"/>
      <c r="AJ100" s="9"/>
      <c r="AK100" s="15"/>
      <c r="AL100" s="9"/>
      <c r="AM100" s="15"/>
      <c r="AN100" s="9">
        <v>2040</v>
      </c>
      <c r="AO100" s="15" t="s">
        <v>8708</v>
      </c>
      <c r="AP100" s="9">
        <v>1169</v>
      </c>
      <c r="AQ100" s="15" t="s">
        <v>8758</v>
      </c>
      <c r="AR100" s="9"/>
      <c r="AS100" s="15"/>
      <c r="AT100" s="243">
        <v>1099.01</v>
      </c>
      <c r="AU100" s="15" t="s">
        <v>8844</v>
      </c>
      <c r="AV100" s="9">
        <v>4464.99</v>
      </c>
      <c r="AW100" s="15" t="s">
        <v>8935</v>
      </c>
      <c r="AX100" s="9">
        <v>2212.3200000000002</v>
      </c>
      <c r="AY100" s="15" t="s">
        <v>8955</v>
      </c>
      <c r="AZ100" s="248">
        <v>1169</v>
      </c>
      <c r="BA100" s="15" t="s">
        <v>9062</v>
      </c>
      <c r="BB100" s="9">
        <v>1083.3499999999999</v>
      </c>
      <c r="BC100" s="15" t="s">
        <v>9121</v>
      </c>
      <c r="BD100" s="15"/>
      <c r="BE100" s="15"/>
      <c r="BF100" s="9"/>
      <c r="BG100" s="15"/>
      <c r="BH100" s="127"/>
      <c r="BI100" s="127"/>
      <c r="BJ100" s="15"/>
      <c r="BK100" s="15"/>
      <c r="BL100" s="9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  <c r="CO100" s="15"/>
      <c r="CP100" s="9"/>
    </row>
    <row r="101" spans="1:94" x14ac:dyDescent="0.25">
      <c r="A101" s="41"/>
      <c r="B101" s="95">
        <f>+SUM(B92:B100)</f>
        <v>21246.91</v>
      </c>
      <c r="C101" s="15"/>
      <c r="D101" s="9"/>
      <c r="E101" s="15"/>
      <c r="F101" s="9"/>
      <c r="G101" s="15"/>
      <c r="H101" s="15"/>
      <c r="I101" s="15"/>
      <c r="J101" s="9"/>
      <c r="K101" s="15"/>
      <c r="L101" s="9"/>
      <c r="M101" s="15"/>
      <c r="N101" s="15"/>
      <c r="O101" s="15"/>
      <c r="P101" s="9"/>
      <c r="Q101" s="15"/>
      <c r="R101" s="9"/>
      <c r="S101" s="15"/>
      <c r="T101" s="9"/>
      <c r="U101" s="15"/>
      <c r="V101" s="9"/>
      <c r="W101" s="15"/>
      <c r="X101" s="9"/>
      <c r="Y101" s="15"/>
      <c r="Z101" s="95">
        <f>+SUM(Z96:Z100)</f>
        <v>15934.31</v>
      </c>
      <c r="AA101" s="15"/>
      <c r="AB101" s="9"/>
      <c r="AC101" s="15"/>
      <c r="AD101" s="9"/>
      <c r="AE101" s="15"/>
      <c r="AF101" s="9"/>
      <c r="AG101" s="15"/>
      <c r="AH101" s="9"/>
      <c r="AI101" s="15"/>
      <c r="AJ101" s="9"/>
      <c r="AK101" s="15"/>
      <c r="AL101" s="15"/>
      <c r="AM101" s="15"/>
      <c r="AN101" s="95">
        <f>+SUM(AN96:AN100)</f>
        <v>10360.4</v>
      </c>
      <c r="AO101" s="15"/>
      <c r="AP101" s="9">
        <v>9597.26</v>
      </c>
      <c r="AQ101" s="15" t="s">
        <v>8759</v>
      </c>
      <c r="AR101" s="9"/>
      <c r="AS101" s="15"/>
      <c r="AT101" s="243">
        <v>1400.99</v>
      </c>
      <c r="AU101" s="15" t="s">
        <v>8847</v>
      </c>
      <c r="AV101" s="15">
        <v>6490.59</v>
      </c>
      <c r="AW101" s="15" t="s">
        <v>8937</v>
      </c>
      <c r="AX101" s="112">
        <v>1713.66</v>
      </c>
      <c r="AY101" s="15" t="s">
        <v>8958</v>
      </c>
      <c r="AZ101" s="248">
        <v>2935.99</v>
      </c>
      <c r="BA101" s="15" t="s">
        <v>9028</v>
      </c>
      <c r="BB101" s="9">
        <v>18000</v>
      </c>
      <c r="BC101" s="15" t="s">
        <v>9122</v>
      </c>
      <c r="BD101" s="9"/>
      <c r="BE101" s="15"/>
      <c r="BF101" s="9"/>
      <c r="BG101" s="15"/>
      <c r="BH101" s="127"/>
      <c r="BI101" s="127"/>
      <c r="BJ101" s="9"/>
      <c r="BK101" s="1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  <c r="CO101" s="15"/>
      <c r="CP101" s="9"/>
    </row>
    <row r="102" spans="1:94" x14ac:dyDescent="0.25">
      <c r="A102" s="41"/>
      <c r="B102" s="9"/>
      <c r="C102" s="15"/>
      <c r="D102" s="15"/>
      <c r="E102" s="15"/>
      <c r="F102" s="9"/>
      <c r="G102" s="15"/>
      <c r="H102" s="9"/>
      <c r="I102" s="15"/>
      <c r="J102" s="9"/>
      <c r="K102" s="15"/>
      <c r="L102" s="9"/>
      <c r="M102" s="15"/>
      <c r="N102" s="9"/>
      <c r="O102" s="15"/>
      <c r="P102" s="9"/>
      <c r="Q102" s="15"/>
      <c r="R102" s="15"/>
      <c r="S102" s="15"/>
      <c r="T102" s="9"/>
      <c r="U102" s="15"/>
      <c r="V102" s="9"/>
      <c r="W102" s="15"/>
      <c r="X102" s="9"/>
      <c r="Y102" s="15"/>
      <c r="Z102" s="9"/>
      <c r="AA102" s="15"/>
      <c r="AB102" s="9"/>
      <c r="AC102" s="15"/>
      <c r="AD102" s="9"/>
      <c r="AE102" s="15"/>
      <c r="AF102" s="9"/>
      <c r="AG102" s="15"/>
      <c r="AH102" s="9"/>
      <c r="AI102" s="15"/>
      <c r="AJ102" s="9"/>
      <c r="AK102" s="15"/>
      <c r="AL102" s="9"/>
      <c r="AM102" s="15"/>
      <c r="AN102" s="9"/>
      <c r="AO102" s="15"/>
      <c r="AP102" s="9">
        <v>1099</v>
      </c>
      <c r="AQ102" s="15" t="s">
        <v>8761</v>
      </c>
      <c r="AR102" s="9"/>
      <c r="AS102" s="15"/>
      <c r="AT102" s="243">
        <v>1168.99</v>
      </c>
      <c r="AU102" s="15" t="s">
        <v>8848</v>
      </c>
      <c r="AV102" s="95">
        <f>+SUM(AV99:AV101)</f>
        <v>18184.650000000001</v>
      </c>
      <c r="AW102" s="15"/>
      <c r="AX102" s="9">
        <v>1905</v>
      </c>
      <c r="AY102" s="15" t="s">
        <v>8960</v>
      </c>
      <c r="AZ102" s="248">
        <v>5249</v>
      </c>
      <c r="BA102" s="15" t="s">
        <v>9070</v>
      </c>
      <c r="BB102" s="95">
        <f>+BB101+BB100</f>
        <v>19083.349999999999</v>
      </c>
      <c r="BC102" s="15"/>
      <c r="BD102" s="9"/>
      <c r="BE102" s="15"/>
      <c r="BF102" s="9"/>
      <c r="BG102" s="15"/>
      <c r="BH102" s="127"/>
      <c r="BI102" s="127"/>
      <c r="BJ102" s="9"/>
      <c r="BK102" s="1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  <c r="CO102" s="15"/>
      <c r="CP102" s="9"/>
    </row>
    <row r="103" spans="1:94" x14ac:dyDescent="0.25">
      <c r="A103" s="41"/>
      <c r="B103" s="9"/>
      <c r="C103" s="15"/>
      <c r="D103" s="9"/>
      <c r="E103" s="15"/>
      <c r="F103" s="9"/>
      <c r="G103" s="15"/>
      <c r="H103" s="9"/>
      <c r="I103" s="15"/>
      <c r="J103" s="9"/>
      <c r="K103" s="15"/>
      <c r="L103" s="9"/>
      <c r="M103" s="15"/>
      <c r="N103" s="9"/>
      <c r="O103" s="15"/>
      <c r="P103" s="15"/>
      <c r="Q103" s="15"/>
      <c r="R103" s="9"/>
      <c r="S103" s="15"/>
      <c r="T103" s="9"/>
      <c r="U103" s="15"/>
      <c r="V103" s="9"/>
      <c r="W103" s="15"/>
      <c r="X103" s="9"/>
      <c r="Y103" s="15"/>
      <c r="Z103" s="9"/>
      <c r="AA103" s="15"/>
      <c r="AB103" s="9"/>
      <c r="AC103" s="15"/>
      <c r="AD103" s="9"/>
      <c r="AE103" s="15"/>
      <c r="AF103" s="9"/>
      <c r="AG103" s="15"/>
      <c r="AH103" s="9"/>
      <c r="AI103" s="15"/>
      <c r="AJ103" s="15"/>
      <c r="AK103" s="15"/>
      <c r="AL103" s="9"/>
      <c r="AM103" s="15"/>
      <c r="AN103" s="15"/>
      <c r="AO103" s="15"/>
      <c r="AP103" s="9">
        <v>277.94</v>
      </c>
      <c r="AQ103" s="15" t="s">
        <v>8772</v>
      </c>
      <c r="AR103" s="9"/>
      <c r="AS103" s="15"/>
      <c r="AT103" s="243">
        <v>1099.01</v>
      </c>
      <c r="AU103" s="15" t="s">
        <v>8849</v>
      </c>
      <c r="AV103" s="9"/>
      <c r="AW103" s="15"/>
      <c r="AX103" s="9">
        <v>2040</v>
      </c>
      <c r="AY103" s="15" t="s">
        <v>8963</v>
      </c>
      <c r="AZ103" s="248">
        <f>1779.36-1083.35</f>
        <v>696.01</v>
      </c>
      <c r="BA103" s="15" t="s">
        <v>9071</v>
      </c>
      <c r="BB103" s="9"/>
      <c r="BC103" s="15"/>
      <c r="BD103" s="9"/>
      <c r="BE103" s="15"/>
      <c r="BF103" s="9"/>
      <c r="BG103" s="15"/>
      <c r="BH103" s="127"/>
      <c r="BI103" s="127"/>
      <c r="BJ103" s="9"/>
      <c r="BK103" s="1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  <c r="CO103" s="15"/>
      <c r="CP103" s="9"/>
    </row>
    <row r="104" spans="1:94" x14ac:dyDescent="0.25">
      <c r="A104" s="41"/>
      <c r="B104" s="9"/>
      <c r="C104" s="15"/>
      <c r="D104" s="15"/>
      <c r="E104" s="15"/>
      <c r="F104" s="9"/>
      <c r="G104" s="15"/>
      <c r="H104" s="9"/>
      <c r="I104" s="15"/>
      <c r="J104" s="9"/>
      <c r="K104" s="15"/>
      <c r="L104" s="9"/>
      <c r="M104" s="15"/>
      <c r="N104" s="9"/>
      <c r="O104" s="15"/>
      <c r="P104" s="9"/>
      <c r="Q104" s="15"/>
      <c r="R104" s="9"/>
      <c r="S104" s="15"/>
      <c r="T104" s="15"/>
      <c r="U104" s="15"/>
      <c r="V104" s="9"/>
      <c r="W104" s="15"/>
      <c r="X104" s="9"/>
      <c r="Y104" s="15"/>
      <c r="Z104" s="9"/>
      <c r="AA104" s="15"/>
      <c r="AB104" s="9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">
        <v>1716.77</v>
      </c>
      <c r="AQ104" s="15" t="s">
        <v>8773</v>
      </c>
      <c r="AR104" s="9"/>
      <c r="AS104" s="15"/>
      <c r="AT104" s="243">
        <v>1099.01</v>
      </c>
      <c r="AU104" s="15" t="s">
        <v>8850</v>
      </c>
      <c r="AV104" s="9"/>
      <c r="AW104" s="15"/>
      <c r="AX104" s="9">
        <v>2109.9899999999998</v>
      </c>
      <c r="AY104" s="15" t="s">
        <v>8964</v>
      </c>
      <c r="AZ104" s="248">
        <v>1169</v>
      </c>
      <c r="BA104" s="15" t="s">
        <v>9075</v>
      </c>
      <c r="BB104" s="9"/>
      <c r="BC104" s="15"/>
      <c r="BD104" s="9"/>
      <c r="BE104" s="15"/>
      <c r="BF104" s="9"/>
      <c r="BG104" s="15"/>
      <c r="BH104" s="127"/>
      <c r="BI104" s="127"/>
      <c r="BJ104" s="9"/>
      <c r="BK104" s="1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  <c r="CO104" s="15"/>
      <c r="CP104" s="9"/>
    </row>
    <row r="105" spans="1:94" x14ac:dyDescent="0.25">
      <c r="A105" s="41"/>
      <c r="B105" s="9"/>
      <c r="C105" s="15"/>
      <c r="D105" s="9"/>
      <c r="E105" s="15"/>
      <c r="F105" s="15"/>
      <c r="G105" s="15"/>
      <c r="H105" s="9"/>
      <c r="I105" s="15"/>
      <c r="J105" s="15"/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9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15"/>
      <c r="AM105" s="15"/>
      <c r="AN105" s="15"/>
      <c r="AO105" s="15"/>
      <c r="AP105" s="95">
        <f>+SUM(AP94:AP104)</f>
        <v>37719.11</v>
      </c>
      <c r="AQ105" s="15"/>
      <c r="AR105" s="9"/>
      <c r="AS105" s="15"/>
      <c r="AT105" s="243">
        <v>5500</v>
      </c>
      <c r="AU105" s="15" t="s">
        <v>8857</v>
      </c>
      <c r="AV105" s="9"/>
      <c r="AW105" s="15"/>
      <c r="AX105" s="9">
        <v>1169</v>
      </c>
      <c r="AY105" s="15" t="s">
        <v>8965</v>
      </c>
      <c r="AZ105" s="248">
        <v>4395.01</v>
      </c>
      <c r="BA105" s="15" t="s">
        <v>9083</v>
      </c>
      <c r="BB105" s="9"/>
      <c r="BC105" s="15"/>
      <c r="BD105" s="9"/>
      <c r="BE105" s="15"/>
      <c r="BF105" s="9"/>
      <c r="BG105" s="15"/>
      <c r="BH105" s="127"/>
      <c r="BI105" s="127"/>
      <c r="BJ105" s="9"/>
      <c r="BK105" s="1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  <c r="CO105" s="15"/>
      <c r="CP105" s="9"/>
    </row>
    <row r="106" spans="1:94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9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9"/>
      <c r="AA106" s="15"/>
      <c r="AB106" s="9"/>
      <c r="AC106" s="15"/>
      <c r="AD106" s="9"/>
      <c r="AE106" s="15"/>
      <c r="AF106" s="15"/>
      <c r="AG106" s="15"/>
      <c r="AH106" s="15"/>
      <c r="AI106" s="15"/>
      <c r="AJ106" s="9"/>
      <c r="AK106" s="15"/>
      <c r="AL106" s="9"/>
      <c r="AM106" s="15"/>
      <c r="AN106" s="9"/>
      <c r="AO106" s="15"/>
      <c r="AP106" s="9"/>
      <c r="AQ106" s="15"/>
      <c r="AR106" s="15"/>
      <c r="AS106" s="15"/>
      <c r="AT106" s="95">
        <f>+SUM(AT91:AT105)</f>
        <v>72363.559999999983</v>
      </c>
      <c r="AU106" s="15"/>
      <c r="AV106" s="9"/>
      <c r="AW106" s="15"/>
      <c r="AX106" s="9">
        <v>2250.0100000000002</v>
      </c>
      <c r="AY106" s="15" t="s">
        <v>8967</v>
      </c>
      <c r="AZ106" s="95">
        <f>+SUM(AZ96:AZ105)</f>
        <v>19402.739999999998</v>
      </c>
      <c r="BA106" s="15"/>
      <c r="BB106" s="9"/>
      <c r="BC106" s="15"/>
      <c r="BD106" s="9"/>
      <c r="BE106" s="15"/>
      <c r="BF106" s="9"/>
      <c r="BG106" s="15"/>
      <c r="BH106" s="15"/>
      <c r="BI106" s="15"/>
      <c r="BJ106" s="9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  <c r="CO106" s="15"/>
      <c r="CP106" s="9"/>
    </row>
    <row r="107" spans="1:94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15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9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95"/>
      <c r="AU107" s="15"/>
      <c r="AV107" s="9"/>
      <c r="AW107" s="15"/>
      <c r="AX107" s="9">
        <v>3250.01</v>
      </c>
      <c r="AY107" s="15" t="s">
        <v>8971</v>
      </c>
      <c r="AZ107" s="7"/>
      <c r="BA107" s="26"/>
      <c r="BB107" s="9"/>
      <c r="BC107" s="15"/>
      <c r="BD107" s="9"/>
      <c r="BE107" s="15"/>
      <c r="BF107" s="9"/>
      <c r="BG107" s="15"/>
      <c r="BH107" s="15"/>
      <c r="BI107" s="15"/>
      <c r="BJ107" s="9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  <c r="CO107" s="15"/>
      <c r="CP107" s="9"/>
    </row>
    <row r="108" spans="1:94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9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>
        <v>1169</v>
      </c>
      <c r="AU108" s="15" t="s">
        <v>8879</v>
      </c>
      <c r="AV108" s="9"/>
      <c r="AW108" s="15"/>
      <c r="AX108" s="112">
        <v>1168.99</v>
      </c>
      <c r="AY108" s="15" t="s">
        <v>8979</v>
      </c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  <c r="CO108" s="15"/>
      <c r="CP108" s="9"/>
    </row>
    <row r="109" spans="1:94" x14ac:dyDescent="0.25">
      <c r="A109" s="41"/>
      <c r="B109" s="9"/>
      <c r="C109" s="15"/>
      <c r="D109" s="9"/>
      <c r="E109" s="15"/>
      <c r="F109" s="9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9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112">
        <v>1169</v>
      </c>
      <c r="AY109" s="15" t="s">
        <v>8981</v>
      </c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  <c r="CO109" s="15"/>
      <c r="CP109" s="9"/>
    </row>
    <row r="110" spans="1:94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1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3">
        <v>1168.99</v>
      </c>
      <c r="AY110" s="13" t="s">
        <v>8986</v>
      </c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  <c r="CO110" s="13"/>
      <c r="CP110" s="11"/>
    </row>
    <row r="111" spans="1:94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1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23"/>
      <c r="AS111" s="13"/>
      <c r="AT111" s="11"/>
      <c r="AU111" s="13"/>
      <c r="AV111" s="11"/>
      <c r="AW111" s="13"/>
      <c r="AX111" s="11">
        <v>2250.0100000000002</v>
      </c>
      <c r="AY111" s="13" t="s">
        <v>8992</v>
      </c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  <c r="CO111" s="13"/>
      <c r="CP111" s="11"/>
    </row>
    <row r="112" spans="1:94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1"/>
      <c r="AA112" s="13"/>
      <c r="AB112" s="14"/>
      <c r="AC112" s="23"/>
      <c r="AD112" s="11"/>
      <c r="AE112" s="1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3"/>
      <c r="AS112" s="13"/>
      <c r="AT112" s="11"/>
      <c r="AU112" s="13"/>
      <c r="AV112" s="11"/>
      <c r="AW112" s="13"/>
      <c r="AX112" s="7">
        <v>1970</v>
      </c>
      <c r="AY112" s="26" t="s">
        <v>8988</v>
      </c>
      <c r="AZ112" s="11"/>
      <c r="BA112" s="13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  <c r="CO112" s="13"/>
      <c r="CP112" s="11"/>
    </row>
    <row r="113" spans="1:94" x14ac:dyDescent="0.25">
      <c r="A113" s="43"/>
      <c r="B113" s="11"/>
      <c r="C113" s="13"/>
      <c r="D113" s="11"/>
      <c r="E113" s="13"/>
      <c r="F113" s="11"/>
      <c r="G113" s="13"/>
      <c r="H113" s="11"/>
      <c r="I113" s="13"/>
      <c r="J113" s="11"/>
      <c r="K113" s="13"/>
      <c r="L113" s="11"/>
      <c r="M113" s="13"/>
      <c r="N113" s="11"/>
      <c r="O113" s="13"/>
      <c r="P113" s="11"/>
      <c r="Q113" s="13"/>
      <c r="R113" s="11"/>
      <c r="S113" s="13"/>
      <c r="T113" s="11"/>
      <c r="U113" s="13"/>
      <c r="V113" s="11"/>
      <c r="W113" s="13"/>
      <c r="X113" s="11"/>
      <c r="Y113" s="13"/>
      <c r="Z113" s="11"/>
      <c r="AA113" s="13"/>
      <c r="AB113" s="14"/>
      <c r="AC113" s="23"/>
      <c r="AD113" s="11"/>
      <c r="AE113" s="13"/>
      <c r="AF113" s="11"/>
      <c r="AG113" s="13"/>
      <c r="AH113" s="11"/>
      <c r="AI113" s="13"/>
      <c r="AJ113" s="11"/>
      <c r="AK113" s="13"/>
      <c r="AL113" s="11"/>
      <c r="AM113" s="13"/>
      <c r="AN113" s="11"/>
      <c r="AO113" s="13"/>
      <c r="AP113" s="11"/>
      <c r="AQ113" s="13"/>
      <c r="AR113" s="13"/>
      <c r="AS113" s="13"/>
      <c r="AT113" s="11"/>
      <c r="AU113" s="13"/>
      <c r="AV113" s="11"/>
      <c r="AW113" s="13"/>
      <c r="AX113" s="111">
        <f>+SUM(AX100:AX112)</f>
        <v>24376.980000000003</v>
      </c>
      <c r="AY113" s="13"/>
      <c r="AZ113" s="11"/>
      <c r="BA113" s="13"/>
      <c r="BB113" s="11"/>
      <c r="BC113" s="13"/>
      <c r="BD113" s="11"/>
      <c r="BE113" s="13"/>
      <c r="BF113" s="11"/>
      <c r="BG113" s="13"/>
      <c r="BH113" s="11"/>
      <c r="BI113" s="13"/>
      <c r="BJ113" s="11"/>
      <c r="BK113" s="13"/>
      <c r="BL113" s="11"/>
      <c r="BM113" s="13"/>
      <c r="BN113" s="11"/>
      <c r="BO113" s="13"/>
      <c r="BP113" s="11"/>
      <c r="BQ113" s="13"/>
      <c r="BR113" s="11"/>
      <c r="BS113" s="13"/>
      <c r="BT113" s="11"/>
      <c r="BU113" s="13"/>
      <c r="BV113" s="11"/>
      <c r="BW113" s="13"/>
      <c r="BX113" s="11"/>
      <c r="BY113" s="13"/>
      <c r="BZ113" s="11"/>
      <c r="CA113" s="13"/>
      <c r="CB113" s="11"/>
      <c r="CC113" s="13"/>
      <c r="CD113" s="11"/>
      <c r="CE113" s="13"/>
      <c r="CF113" s="11"/>
      <c r="CG113" s="13"/>
      <c r="CH113" s="11"/>
      <c r="CI113" s="13"/>
      <c r="CJ113" s="11"/>
      <c r="CK113" s="13"/>
      <c r="CL113" s="11"/>
      <c r="CM113" s="13"/>
      <c r="CN113" s="11"/>
      <c r="CO113" s="13"/>
      <c r="CP113" s="11"/>
    </row>
    <row r="114" spans="1:94" x14ac:dyDescent="0.25">
      <c r="A114" s="42" t="s">
        <v>7</v>
      </c>
      <c r="B114" s="14">
        <v>20000</v>
      </c>
      <c r="C114" s="23" t="s">
        <v>7864</v>
      </c>
      <c r="D114" s="14"/>
      <c r="E114" s="23"/>
      <c r="F114" s="14"/>
      <c r="G114" s="23"/>
      <c r="H114" s="23">
        <v>3239</v>
      </c>
      <c r="I114" s="23" t="s">
        <v>7960</v>
      </c>
      <c r="J114" s="14"/>
      <c r="K114" s="23"/>
      <c r="L114" s="23"/>
      <c r="M114" s="23"/>
      <c r="N114" s="23">
        <v>4743.03</v>
      </c>
      <c r="O114" s="23" t="s">
        <v>8090</v>
      </c>
      <c r="P114" s="14">
        <v>1169</v>
      </c>
      <c r="Q114" s="23" t="s">
        <v>8138</v>
      </c>
      <c r="R114" s="14"/>
      <c r="S114" s="23"/>
      <c r="T114" s="14"/>
      <c r="U114" s="23"/>
      <c r="V114" s="14"/>
      <c r="W114" s="23"/>
      <c r="X114" s="14"/>
      <c r="Y114" s="23"/>
      <c r="Z114" s="9">
        <v>1169</v>
      </c>
      <c r="AA114" s="15" t="s">
        <v>8401</v>
      </c>
      <c r="AB114" s="14">
        <v>600</v>
      </c>
      <c r="AC114" s="23" t="s">
        <v>8505</v>
      </c>
      <c r="AD114" s="14"/>
      <c r="AE114" s="23"/>
      <c r="AF114" s="14"/>
      <c r="AG114" s="23"/>
      <c r="AH114" s="23"/>
      <c r="AI114" s="14"/>
      <c r="AJ114" s="23"/>
      <c r="AK114" s="14"/>
      <c r="AL114" s="14">
        <v>350</v>
      </c>
      <c r="AM114" s="23" t="s">
        <v>8630</v>
      </c>
      <c r="AN114" s="14"/>
      <c r="AO114" s="23"/>
      <c r="AP114" s="23"/>
      <c r="AQ114" s="23"/>
      <c r="AR114" s="14">
        <v>497.45</v>
      </c>
      <c r="AS114" s="23" t="s">
        <v>8791</v>
      </c>
      <c r="AT114" s="14">
        <v>1099.01</v>
      </c>
      <c r="AU114" s="23" t="s">
        <v>8852</v>
      </c>
      <c r="AV114" s="14"/>
      <c r="AW114" s="23"/>
      <c r="AX114" s="23">
        <v>1169</v>
      </c>
      <c r="AY114" s="23" t="s">
        <v>8982</v>
      </c>
      <c r="AZ114" s="23"/>
      <c r="BA114" s="23"/>
      <c r="BB114" s="14"/>
      <c r="BC114" s="23"/>
      <c r="BD114" s="15">
        <v>5982</v>
      </c>
      <c r="BE114" s="15" t="s">
        <v>9091</v>
      </c>
      <c r="BF114" s="14"/>
      <c r="BG114" s="23"/>
      <c r="BH114" s="14"/>
      <c r="BI114" s="23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  <c r="CO114" s="23"/>
      <c r="CP114" s="14"/>
    </row>
    <row r="115" spans="1:94" x14ac:dyDescent="0.25">
      <c r="A115" s="42"/>
      <c r="B115" s="14">
        <v>1169</v>
      </c>
      <c r="C115" s="23" t="s">
        <v>7882</v>
      </c>
      <c r="D115" s="14"/>
      <c r="E115" s="23"/>
      <c r="F115" s="14"/>
      <c r="G115" s="23"/>
      <c r="H115" s="14"/>
      <c r="I115" s="23"/>
      <c r="J115" s="14"/>
      <c r="K115" s="23"/>
      <c r="L115" s="14"/>
      <c r="M115" s="23"/>
      <c r="N115" s="14"/>
      <c r="O115" s="23"/>
      <c r="P115" s="14"/>
      <c r="Q115" s="23"/>
      <c r="R115" s="14"/>
      <c r="S115" s="23"/>
      <c r="T115" s="14"/>
      <c r="U115" s="23"/>
      <c r="V115" s="14"/>
      <c r="W115" s="23"/>
      <c r="X115" s="14"/>
      <c r="Y115" s="23"/>
      <c r="Z115" s="14"/>
      <c r="AA115" s="23"/>
      <c r="AB115" s="14"/>
      <c r="AC115" s="23"/>
      <c r="AD115" s="14"/>
      <c r="AE115" s="23"/>
      <c r="AF115" s="14"/>
      <c r="AG115" s="23"/>
      <c r="AH115" s="14"/>
      <c r="AI115" s="23"/>
      <c r="AJ115" s="14"/>
      <c r="AK115" s="23"/>
      <c r="AL115" s="14"/>
      <c r="AM115" s="23"/>
      <c r="AN115" s="23"/>
      <c r="AO115" s="23"/>
      <c r="AP115" s="14"/>
      <c r="AQ115" s="23"/>
      <c r="AR115" s="14">
        <v>3320</v>
      </c>
      <c r="AS115" s="23" t="s">
        <v>8802</v>
      </c>
      <c r="AT115" s="14"/>
      <c r="AU115" s="23"/>
      <c r="AV115" s="14"/>
      <c r="AW115" s="23"/>
      <c r="AX115" s="14"/>
      <c r="AY115" s="23"/>
      <c r="AZ115" s="14"/>
      <c r="BA115" s="23"/>
      <c r="BB115" s="14"/>
      <c r="BC115" s="23"/>
      <c r="BD115" s="14"/>
      <c r="BE115" s="23"/>
      <c r="BF115" s="14"/>
      <c r="BG115" s="23"/>
      <c r="BH115" s="14"/>
      <c r="BI115" s="23"/>
      <c r="BJ115" s="14"/>
      <c r="BK115" s="23"/>
      <c r="BL115" s="14"/>
      <c r="BM115" s="23"/>
      <c r="BN115" s="14"/>
      <c r="BO115" s="23"/>
      <c r="BP115" s="14"/>
      <c r="BQ115" s="23"/>
      <c r="BR115" s="14"/>
      <c r="BS115" s="23"/>
      <c r="BT115" s="14"/>
      <c r="BU115" s="23"/>
      <c r="BV115" s="14"/>
      <c r="BW115" s="23"/>
      <c r="BX115" s="14"/>
      <c r="BY115" s="23"/>
      <c r="BZ115" s="14"/>
      <c r="CA115" s="23"/>
      <c r="CB115" s="14"/>
      <c r="CC115" s="23"/>
      <c r="CD115" s="14"/>
      <c r="CE115" s="23"/>
      <c r="CF115" s="14"/>
      <c r="CG115" s="23"/>
      <c r="CH115" s="14"/>
      <c r="CI115" s="23"/>
      <c r="CJ115" s="14"/>
      <c r="CK115" s="23"/>
      <c r="CL115" s="14"/>
      <c r="CM115" s="23"/>
      <c r="CN115" s="14"/>
      <c r="CO115" s="23"/>
      <c r="CP115" s="14"/>
    </row>
    <row r="116" spans="1:94" x14ac:dyDescent="0.25">
      <c r="A116" s="42"/>
      <c r="B116" s="14">
        <v>1169</v>
      </c>
      <c r="C116" s="23" t="s">
        <v>7889</v>
      </c>
      <c r="D116" s="23"/>
      <c r="E116" s="23"/>
      <c r="F116" s="23"/>
      <c r="G116" s="23"/>
      <c r="H116" s="23"/>
      <c r="I116" s="23"/>
      <c r="J116" s="14"/>
      <c r="K116" s="23"/>
      <c r="L116" s="23"/>
      <c r="M116" s="23"/>
      <c r="N116" s="23"/>
      <c r="O116" s="23"/>
      <c r="P116" s="23"/>
      <c r="Q116" s="23"/>
      <c r="R116" s="14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14"/>
      <c r="AG116" s="23"/>
      <c r="AH116" s="14"/>
      <c r="AI116" s="23"/>
      <c r="AJ116" s="23"/>
      <c r="AK116" s="23"/>
      <c r="AL116" s="23"/>
      <c r="AM116" s="23"/>
      <c r="AN116" s="23"/>
      <c r="AO116" s="23"/>
      <c r="AP116" s="23"/>
      <c r="AQ116" s="23"/>
      <c r="AR116" s="14">
        <v>2664.01</v>
      </c>
      <c r="AS116" s="23" t="s">
        <v>8814</v>
      </c>
      <c r="AT116" s="14">
        <v>930.26</v>
      </c>
      <c r="AU116" s="23" t="s">
        <v>8875</v>
      </c>
      <c r="AV116" s="23"/>
      <c r="AW116" s="23"/>
      <c r="AX116" s="23"/>
      <c r="AY116" s="23"/>
      <c r="AZ116" s="23"/>
      <c r="BA116" s="23"/>
      <c r="BB116" s="23"/>
      <c r="BC116" s="23"/>
      <c r="BD116" s="14"/>
      <c r="BE116" s="23"/>
      <c r="BF116" s="23"/>
      <c r="BG116" s="23"/>
      <c r="BH116" s="153"/>
      <c r="BI116" s="120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</row>
    <row r="117" spans="1:94" x14ac:dyDescent="0.25">
      <c r="A117" s="43"/>
      <c r="B117" s="111">
        <f>+SUM(B114:B116)</f>
        <v>22338</v>
      </c>
      <c r="C117" s="13"/>
      <c r="D117" s="11"/>
      <c r="E117" s="13"/>
      <c r="F117" s="11"/>
      <c r="G117" s="13"/>
      <c r="H117" s="11"/>
      <c r="I117" s="13"/>
      <c r="J117" s="13"/>
      <c r="K117" s="13"/>
      <c r="L117" s="11"/>
      <c r="M117" s="13"/>
      <c r="N117" s="11"/>
      <c r="O117" s="13"/>
      <c r="P117" s="23"/>
      <c r="Q117" s="13"/>
      <c r="R117" s="14"/>
      <c r="S117" s="13"/>
      <c r="T117" s="11"/>
      <c r="U117" s="13"/>
      <c r="V117" s="11"/>
      <c r="W117" s="13"/>
      <c r="X117" s="11"/>
      <c r="Y117" s="13"/>
      <c r="Z117" s="11"/>
      <c r="AA117" s="13"/>
      <c r="AB117" s="11"/>
      <c r="AC117" s="13"/>
      <c r="AD117" s="11"/>
      <c r="AE117" s="13"/>
      <c r="AF117" s="15"/>
      <c r="AG117" s="13"/>
      <c r="AH117" s="11"/>
      <c r="AI117" s="13"/>
      <c r="AJ117" s="11"/>
      <c r="AK117" s="13"/>
      <c r="AL117" s="11"/>
      <c r="AM117" s="13"/>
      <c r="AN117" s="11"/>
      <c r="AO117" s="13"/>
      <c r="AP117" s="11"/>
      <c r="AQ117" s="13"/>
      <c r="AR117" s="111">
        <f>+SUM(AR114:AR116)</f>
        <v>6481.46</v>
      </c>
      <c r="AS117" s="13"/>
      <c r="AT117" s="11"/>
      <c r="AU117" s="13"/>
      <c r="AV117" s="11"/>
      <c r="AW117" s="13"/>
      <c r="AX117" s="11"/>
      <c r="AY117" s="13"/>
      <c r="AZ117" s="11"/>
      <c r="BA117" s="13"/>
      <c r="BB117" s="11"/>
      <c r="BC117" s="13"/>
      <c r="BD117" s="15"/>
      <c r="BE117" s="13"/>
      <c r="BF117" s="11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  <c r="CO117" s="13"/>
      <c r="CP117" s="11"/>
    </row>
    <row r="118" spans="1:94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23"/>
      <c r="S118" s="13"/>
      <c r="T118" s="11"/>
      <c r="U118" s="13"/>
      <c r="V118" s="11"/>
      <c r="W118" s="13"/>
      <c r="X118" s="11"/>
      <c r="Y118" s="13"/>
      <c r="Z118" s="11"/>
      <c r="AA118" s="13"/>
      <c r="AB118" s="11"/>
      <c r="AC118" s="13"/>
      <c r="AD118" s="11"/>
      <c r="AE118" s="13"/>
      <c r="AF118" s="11"/>
      <c r="AG118" s="13"/>
      <c r="AH118" s="23"/>
      <c r="AI118" s="13"/>
      <c r="AJ118" s="11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11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  <c r="CO118" s="13"/>
      <c r="CP118" s="11"/>
    </row>
    <row r="119" spans="1:94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1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  <c r="CO119" s="13"/>
      <c r="CP119" s="11"/>
    </row>
    <row r="120" spans="1:94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1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  <c r="CO120" s="13"/>
      <c r="CP120" s="11"/>
    </row>
    <row r="121" spans="1:94" x14ac:dyDescent="0.25">
      <c r="A121" s="43"/>
      <c r="B121" s="11"/>
      <c r="C121" s="13"/>
      <c r="D121" s="11"/>
      <c r="E121" s="13"/>
      <c r="F121" s="11"/>
      <c r="G121" s="13"/>
      <c r="H121" s="11"/>
      <c r="I121" s="13"/>
      <c r="J121" s="11"/>
      <c r="K121" s="13"/>
      <c r="L121" s="11"/>
      <c r="M121" s="13"/>
      <c r="N121" s="11"/>
      <c r="O121" s="13"/>
      <c r="P121" s="11"/>
      <c r="Q121" s="13"/>
      <c r="R121" s="11"/>
      <c r="S121" s="13"/>
      <c r="T121" s="11"/>
      <c r="U121" s="13"/>
      <c r="V121" s="11"/>
      <c r="W121" s="13"/>
      <c r="X121" s="11"/>
      <c r="Y121" s="13"/>
      <c r="Z121" s="11"/>
      <c r="AA121" s="13"/>
      <c r="AB121" s="11"/>
      <c r="AC121" s="13"/>
      <c r="AD121" s="11"/>
      <c r="AE121" s="13"/>
      <c r="AF121" s="11"/>
      <c r="AG121" s="13"/>
      <c r="AH121" s="11"/>
      <c r="AI121" s="13"/>
      <c r="AJ121" s="11"/>
      <c r="AK121" s="13"/>
      <c r="AL121" s="11"/>
      <c r="AM121" s="13"/>
      <c r="AN121" s="11"/>
      <c r="AO121" s="13"/>
      <c r="AP121" s="11"/>
      <c r="AQ121" s="13"/>
      <c r="AR121" s="11"/>
      <c r="AS121" s="13"/>
      <c r="AT121" s="11"/>
      <c r="AU121" s="13"/>
      <c r="AV121" s="11"/>
      <c r="AW121" s="13"/>
      <c r="AX121" s="11"/>
      <c r="AY121" s="13"/>
      <c r="AZ121" s="11"/>
      <c r="BA121" s="13"/>
      <c r="BB121" s="11"/>
      <c r="BC121" s="13"/>
      <c r="BD121" s="11"/>
      <c r="BE121" s="13"/>
      <c r="BF121" s="11"/>
      <c r="BG121" s="13"/>
      <c r="BH121" s="11"/>
      <c r="BI121" s="13"/>
      <c r="BJ121" s="11"/>
      <c r="BK121" s="13"/>
      <c r="BL121" s="11"/>
      <c r="BM121" s="13"/>
      <c r="BN121" s="11"/>
      <c r="BO121" s="13"/>
      <c r="BP121" s="11"/>
      <c r="BQ121" s="13"/>
      <c r="BR121" s="11"/>
      <c r="BS121" s="13"/>
      <c r="BT121" s="11"/>
      <c r="BU121" s="13"/>
      <c r="BV121" s="11"/>
      <c r="BW121" s="13"/>
      <c r="BX121" s="11"/>
      <c r="BY121" s="13"/>
      <c r="BZ121" s="11"/>
      <c r="CA121" s="13"/>
      <c r="CB121" s="11"/>
      <c r="CC121" s="13"/>
      <c r="CD121" s="11"/>
      <c r="CE121" s="13"/>
      <c r="CF121" s="11"/>
      <c r="CG121" s="13"/>
      <c r="CH121" s="11"/>
      <c r="CI121" s="13"/>
      <c r="CJ121" s="11"/>
      <c r="CK121" s="13"/>
      <c r="CL121" s="11"/>
      <c r="CM121" s="13"/>
      <c r="CN121" s="11"/>
      <c r="CO121" s="13"/>
      <c r="CP121" s="11"/>
    </row>
    <row r="122" spans="1:94" x14ac:dyDescent="0.25">
      <c r="A122" s="42" t="s">
        <v>5</v>
      </c>
      <c r="B122" s="14">
        <f>+B72</f>
        <v>31150.6</v>
      </c>
      <c r="C122" s="23"/>
      <c r="D122" s="14"/>
      <c r="E122" s="23"/>
      <c r="F122" s="14">
        <f>+F62+F76</f>
        <v>48424.62</v>
      </c>
      <c r="G122" s="23"/>
      <c r="H122" s="14">
        <f>+H70+H72</f>
        <v>15856.380000000001</v>
      </c>
      <c r="I122" s="23"/>
      <c r="J122" s="14">
        <f>+J64+J79</f>
        <v>99575.44</v>
      </c>
      <c r="K122" s="23"/>
      <c r="L122" s="14">
        <f>+L66+L85</f>
        <v>49739.759999999995</v>
      </c>
      <c r="M122" s="23"/>
      <c r="N122" s="14">
        <f>+N73+N79</f>
        <v>67877.040000000008</v>
      </c>
      <c r="O122" s="23"/>
      <c r="P122" s="14">
        <f>+P84</f>
        <v>65055.38</v>
      </c>
      <c r="Q122" s="23"/>
      <c r="R122" s="14"/>
      <c r="S122" s="23"/>
      <c r="T122" s="14">
        <f>+T62+T78</f>
        <v>53507.979999999996</v>
      </c>
      <c r="U122" s="23"/>
      <c r="V122" s="14">
        <f>+V63</f>
        <v>6877.51</v>
      </c>
      <c r="W122" s="23"/>
      <c r="X122" s="14">
        <f>+X66+X76</f>
        <v>37970.979999999996</v>
      </c>
      <c r="Y122" s="23"/>
      <c r="Z122" s="14">
        <f>+Z61+Z69</f>
        <v>16076.68</v>
      </c>
      <c r="AA122" s="23"/>
      <c r="AB122" s="14">
        <f>+AB70+AB77</f>
        <v>31312.57</v>
      </c>
      <c r="AC122" s="23"/>
      <c r="AD122" s="14">
        <f>+AD73</f>
        <v>65698.740000000005</v>
      </c>
      <c r="AE122" s="23"/>
      <c r="AF122" s="14"/>
      <c r="AG122" s="23"/>
      <c r="AH122" s="14">
        <f>+AH59</f>
        <v>20000</v>
      </c>
      <c r="AI122" s="23"/>
      <c r="AJ122" s="14">
        <f>+AJ59+AJ68</f>
        <v>22403.059999999998</v>
      </c>
      <c r="AK122" s="23"/>
      <c r="AL122" s="14">
        <f>+AL62+AL72</f>
        <v>37640.649999999994</v>
      </c>
      <c r="AM122" s="23"/>
      <c r="AN122" s="14">
        <f>+AN67+AN88</f>
        <v>134559.19</v>
      </c>
      <c r="AO122" s="23"/>
      <c r="AP122" s="14">
        <f>+AP63+AP67</f>
        <v>17666.84</v>
      </c>
      <c r="AQ122" s="23"/>
      <c r="AR122" s="14">
        <f>+AR72</f>
        <v>77310.239999999991</v>
      </c>
      <c r="AS122" s="23"/>
      <c r="AT122" s="14">
        <f>+AT59+AT66</f>
        <v>23521.52</v>
      </c>
      <c r="AU122" s="23"/>
      <c r="AV122" s="14">
        <f>+AV62+AV68</f>
        <v>23971.89</v>
      </c>
      <c r="AW122" s="23"/>
      <c r="AX122" s="14">
        <f>+AX59+AX63</f>
        <v>11119.95</v>
      </c>
      <c r="AY122" s="23"/>
      <c r="AZ122" s="14">
        <f>AZ59+AZ72</f>
        <v>86408.319999999992</v>
      </c>
      <c r="BA122" s="23"/>
      <c r="BB122" s="14">
        <f>+BB65+BB69</f>
        <v>23856.86</v>
      </c>
      <c r="BC122" s="23"/>
      <c r="BD122" s="14">
        <f>+BD69</f>
        <v>44530.389999999992</v>
      </c>
      <c r="BE122" s="23"/>
      <c r="BF122" s="14">
        <f>+BF63</f>
        <v>5480.01</v>
      </c>
      <c r="BG122" s="23"/>
      <c r="BH122" s="14"/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  <c r="CO122" s="23"/>
      <c r="CP122" s="14"/>
    </row>
    <row r="123" spans="1:94" x14ac:dyDescent="0.25">
      <c r="A123" s="42" t="s">
        <v>8</v>
      </c>
      <c r="B123" s="14">
        <f>+B101</f>
        <v>21246.91</v>
      </c>
      <c r="C123" s="23"/>
      <c r="D123" s="14"/>
      <c r="E123" s="23"/>
      <c r="F123" s="14">
        <f>+F92</f>
        <v>464.99</v>
      </c>
      <c r="G123" s="23"/>
      <c r="H123" s="14">
        <f>+H92</f>
        <v>1099.01</v>
      </c>
      <c r="I123" s="23"/>
      <c r="J123" s="14"/>
      <c r="K123" s="23"/>
      <c r="L123" s="14"/>
      <c r="M123" s="23"/>
      <c r="N123" s="14"/>
      <c r="O123" s="23"/>
      <c r="P123" s="14"/>
      <c r="Q123" s="23"/>
      <c r="R123" s="14"/>
      <c r="S123" s="23"/>
      <c r="T123" s="14"/>
      <c r="U123" s="23"/>
      <c r="V123" s="14"/>
      <c r="W123" s="23"/>
      <c r="X123" s="14">
        <f>+X92</f>
        <v>464</v>
      </c>
      <c r="Y123" s="23"/>
      <c r="Z123" s="14">
        <f>+Z94+Z101</f>
        <v>16518.099999999999</v>
      </c>
      <c r="AA123" s="23"/>
      <c r="AB123" s="14">
        <f>+AB96</f>
        <v>3792.99</v>
      </c>
      <c r="AC123" s="23"/>
      <c r="AD123" s="14">
        <f>+AD97</f>
        <v>4557.71</v>
      </c>
      <c r="AE123" s="23"/>
      <c r="AF123" s="14"/>
      <c r="AG123" s="23"/>
      <c r="AH123" s="14">
        <f>+AH92</f>
        <v>4000</v>
      </c>
      <c r="AI123" s="23"/>
      <c r="AJ123" s="14">
        <f>+AJ92+AJ97</f>
        <v>25701.350000000002</v>
      </c>
      <c r="AK123" s="23"/>
      <c r="AL123" s="14">
        <f>+AL92+AL99</f>
        <v>8497.94</v>
      </c>
      <c r="AM123" s="23"/>
      <c r="AN123" s="14">
        <f>+AN94+AN101</f>
        <v>11751.55</v>
      </c>
      <c r="AO123" s="23"/>
      <c r="AP123" s="14">
        <f>+AP92+AP105</f>
        <v>40329.21</v>
      </c>
      <c r="AQ123" s="23"/>
      <c r="AR123" s="14">
        <f>+AR98</f>
        <v>8673.6299999999992</v>
      </c>
      <c r="AS123" s="23"/>
      <c r="AT123" s="14">
        <f>+AT106+AT108</f>
        <v>73532.559999999983</v>
      </c>
      <c r="AU123" s="23"/>
      <c r="AV123" s="14">
        <f>+AV97+AV102</f>
        <v>35143.15</v>
      </c>
      <c r="AW123" s="23"/>
      <c r="AX123" s="14">
        <f>+AX98+AX113</f>
        <v>52751.05</v>
      </c>
      <c r="AY123" s="23"/>
      <c r="AZ123" s="14">
        <f>+AZ94+AZ106</f>
        <v>40296.929999999993</v>
      </c>
      <c r="BA123" s="23"/>
      <c r="BB123" s="14">
        <f>+BB98+BB102</f>
        <v>38883.29</v>
      </c>
      <c r="BC123" s="23"/>
      <c r="BD123" s="14">
        <f>+BD98</f>
        <v>57921.93</v>
      </c>
      <c r="BE123" s="23"/>
      <c r="BF123" s="14">
        <f>+BF95</f>
        <v>4238.01</v>
      </c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  <c r="CO123" s="23"/>
      <c r="CP123" s="14"/>
    </row>
    <row r="124" spans="1:94" x14ac:dyDescent="0.25">
      <c r="A124" s="42" t="s">
        <v>7</v>
      </c>
      <c r="B124" s="14">
        <f>+B117</f>
        <v>22338</v>
      </c>
      <c r="C124" s="23"/>
      <c r="D124" s="14"/>
      <c r="E124" s="23"/>
      <c r="F124" s="14"/>
      <c r="G124" s="23"/>
      <c r="H124" s="14">
        <f>+H114</f>
        <v>3239</v>
      </c>
      <c r="I124" s="23"/>
      <c r="J124" s="14"/>
      <c r="K124" s="23"/>
      <c r="L124" s="14"/>
      <c r="M124" s="23"/>
      <c r="N124" s="14">
        <f>+N114</f>
        <v>4743.03</v>
      </c>
      <c r="O124" s="23"/>
      <c r="P124" s="14">
        <f>+P114</f>
        <v>1169</v>
      </c>
      <c r="Q124" s="23"/>
      <c r="R124" s="14"/>
      <c r="S124" s="23"/>
      <c r="T124" s="14"/>
      <c r="U124" s="23"/>
      <c r="V124" s="14"/>
      <c r="W124" s="23"/>
      <c r="X124" s="14"/>
      <c r="Y124" s="23"/>
      <c r="Z124" s="14">
        <f>+Z114</f>
        <v>1169</v>
      </c>
      <c r="AA124" s="23"/>
      <c r="AB124" s="14">
        <f>+AB114</f>
        <v>600</v>
      </c>
      <c r="AC124" s="23"/>
      <c r="AD124" s="14"/>
      <c r="AE124" s="23"/>
      <c r="AF124" s="14"/>
      <c r="AG124" s="23"/>
      <c r="AH124" s="14"/>
      <c r="AI124" s="23"/>
      <c r="AJ124" s="14"/>
      <c r="AK124" s="23"/>
      <c r="AL124" s="14">
        <f>+AL114</f>
        <v>350</v>
      </c>
      <c r="AM124" s="23"/>
      <c r="AN124" s="14"/>
      <c r="AO124" s="23"/>
      <c r="AP124" s="14"/>
      <c r="AQ124" s="23"/>
      <c r="AR124" s="14">
        <f>+AR117</f>
        <v>6481.46</v>
      </c>
      <c r="AS124" s="23"/>
      <c r="AT124" s="14">
        <f>+AT114+AT116</f>
        <v>2029.27</v>
      </c>
      <c r="AU124" s="23"/>
      <c r="AV124" s="14"/>
      <c r="AW124" s="23"/>
      <c r="AX124" s="14">
        <f>+AX114</f>
        <v>1169</v>
      </c>
      <c r="AY124" s="23"/>
      <c r="AZ124" s="14"/>
      <c r="BA124" s="23"/>
      <c r="BB124" s="14"/>
      <c r="BC124" s="23"/>
      <c r="BD124" s="14">
        <f>+BD114</f>
        <v>5982</v>
      </c>
      <c r="BE124" s="23"/>
      <c r="BF124" s="14"/>
      <c r="BG124" s="23"/>
      <c r="BH124" s="14"/>
      <c r="BI124" s="23"/>
      <c r="BJ124" s="14"/>
      <c r="BK124" s="23"/>
      <c r="BL124" s="14"/>
      <c r="BM124" s="23"/>
      <c r="BN124" s="14"/>
      <c r="BO124" s="23"/>
      <c r="BP124" s="14"/>
      <c r="BQ124" s="23"/>
      <c r="BR124" s="14"/>
      <c r="BS124" s="23"/>
      <c r="BT124" s="14"/>
      <c r="BU124" s="23"/>
      <c r="BV124" s="14"/>
      <c r="BW124" s="23"/>
      <c r="BX124" s="14"/>
      <c r="BY124" s="23"/>
      <c r="BZ124" s="14"/>
      <c r="CA124" s="23"/>
      <c r="CB124" s="14"/>
      <c r="CC124" s="23"/>
      <c r="CD124" s="14"/>
      <c r="CE124" s="23"/>
      <c r="CF124" s="14"/>
      <c r="CG124" s="23"/>
      <c r="CH124" s="14"/>
      <c r="CI124" s="23"/>
      <c r="CJ124" s="14"/>
      <c r="CK124" s="23"/>
      <c r="CL124" s="14"/>
      <c r="CM124" s="23"/>
      <c r="CN124" s="14"/>
      <c r="CO124" s="23"/>
      <c r="CP124" s="14"/>
    </row>
    <row r="125" spans="1:94" x14ac:dyDescent="0.25">
      <c r="A125" s="44" t="s">
        <v>9</v>
      </c>
      <c r="B125" s="144">
        <f>+B124+B123+B122</f>
        <v>74735.510000000009</v>
      </c>
      <c r="C125" s="144"/>
      <c r="D125" s="144"/>
      <c r="E125" s="144"/>
      <c r="F125" s="144">
        <f>+F124+F123+F122</f>
        <v>48889.61</v>
      </c>
      <c r="G125" s="144"/>
      <c r="H125" s="144">
        <f>+H124+H123+H122</f>
        <v>20194.39</v>
      </c>
      <c r="I125" s="144"/>
      <c r="J125" s="144">
        <f>+J124+J123+J122</f>
        <v>99575.44</v>
      </c>
      <c r="K125" s="144"/>
      <c r="L125" s="144">
        <f>+L124+L123+L122</f>
        <v>49739.759999999995</v>
      </c>
      <c r="M125" s="144"/>
      <c r="N125" s="144">
        <f>+N124+N123+N122</f>
        <v>72620.070000000007</v>
      </c>
      <c r="O125" s="144"/>
      <c r="P125" s="144">
        <f>+P124+P123+P122</f>
        <v>66224.38</v>
      </c>
      <c r="Q125" s="144"/>
      <c r="R125" s="144"/>
      <c r="S125" s="144"/>
      <c r="T125" s="144">
        <f>+T124+T123+T122</f>
        <v>53507.979999999996</v>
      </c>
      <c r="U125" s="144"/>
      <c r="V125" s="144">
        <f>+V124+V123+V122</f>
        <v>6877.51</v>
      </c>
      <c r="W125" s="144"/>
      <c r="X125" s="144">
        <f>+X124+X123+X122</f>
        <v>38434.979999999996</v>
      </c>
      <c r="Y125" s="144"/>
      <c r="Z125" s="144">
        <f>+Z124+Z123+Z122</f>
        <v>33763.78</v>
      </c>
      <c r="AA125" s="144"/>
      <c r="AB125" s="144">
        <f>+AB124+AB123+AB122</f>
        <v>35705.56</v>
      </c>
      <c r="AC125" s="144"/>
      <c r="AD125" s="144">
        <f>+AD124+AD123+AD122</f>
        <v>70256.450000000012</v>
      </c>
      <c r="AE125" s="144"/>
      <c r="AF125" s="144"/>
      <c r="AG125" s="144"/>
      <c r="AH125" s="144">
        <f>+AH124+AH123+AH122</f>
        <v>24000</v>
      </c>
      <c r="AI125" s="144"/>
      <c r="AJ125" s="144">
        <f>+AJ124+AJ123+AJ122</f>
        <v>48104.41</v>
      </c>
      <c r="AK125" s="144"/>
      <c r="AL125" s="144">
        <f>+AL124+AL123+AL122</f>
        <v>46488.59</v>
      </c>
      <c r="AM125" s="144"/>
      <c r="AN125" s="144">
        <f>+AN124+AN123+AN122</f>
        <v>146310.74</v>
      </c>
      <c r="AO125" s="144"/>
      <c r="AP125" s="144">
        <f>+AP124+AP123+AP122</f>
        <v>57996.05</v>
      </c>
      <c r="AQ125" s="144"/>
      <c r="AR125" s="144">
        <f>+AR124+AR123+AR122</f>
        <v>92465.329999999987</v>
      </c>
      <c r="AS125" s="144"/>
      <c r="AT125" s="144">
        <f>+AT124+AT123+AT122</f>
        <v>99083.349999999991</v>
      </c>
      <c r="AU125" s="144"/>
      <c r="AV125" s="144">
        <f>+AV124+AV123+AV122</f>
        <v>59115.040000000001</v>
      </c>
      <c r="AW125" s="144"/>
      <c r="AX125" s="144">
        <f>+AX124+AX123+AX122</f>
        <v>65040</v>
      </c>
      <c r="AY125" s="144"/>
      <c r="AZ125" s="144">
        <f>+AZ124+AZ123+AZ122</f>
        <v>126705.24999999999</v>
      </c>
      <c r="BA125" s="144"/>
      <c r="BB125" s="144">
        <f>+BB124+BB123+BB122</f>
        <v>62740.15</v>
      </c>
      <c r="BC125" s="144"/>
      <c r="BD125" s="144">
        <f>+BD124+BD123+BD122</f>
        <v>108434.31999999999</v>
      </c>
      <c r="BE125" s="144"/>
      <c r="BF125" s="144">
        <f>+BF124+BF123+BF122</f>
        <v>9718.02</v>
      </c>
      <c r="BG125" s="144"/>
      <c r="BH125" s="144"/>
      <c r="BI125" s="14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</row>
    <row r="126" spans="1:94" x14ac:dyDescent="0.25">
      <c r="A126" s="44"/>
      <c r="B126" s="144">
        <f>31150.6+21246.93+22338</f>
        <v>74735.53</v>
      </c>
      <c r="C126" s="144"/>
      <c r="D126" s="144"/>
      <c r="E126" s="144"/>
      <c r="F126" s="144">
        <f>4093.44+464.99+44331.19</f>
        <v>48889.62</v>
      </c>
      <c r="G126" s="144"/>
      <c r="H126" s="144">
        <f>175+1099.01+15681.38+3239</f>
        <v>20194.39</v>
      </c>
      <c r="I126" s="144"/>
      <c r="J126" s="144">
        <f>26640.76+72934.68</f>
        <v>99575.439999999988</v>
      </c>
      <c r="K126" s="144"/>
      <c r="L126" s="144">
        <f>18319.62+31420.14</f>
        <v>49739.759999999995</v>
      </c>
      <c r="M126" s="144"/>
      <c r="N126" s="144">
        <f>62838.29+4743+5038.75</f>
        <v>72620.040000000008</v>
      </c>
      <c r="O126" s="144"/>
      <c r="P126" s="144">
        <f>65055.38+1169</f>
        <v>66224.38</v>
      </c>
      <c r="Q126" s="144"/>
      <c r="R126" s="144"/>
      <c r="S126" s="144"/>
      <c r="T126" s="144">
        <f>13120.04+40387.94</f>
        <v>53507.98</v>
      </c>
      <c r="U126" s="144"/>
      <c r="V126" s="144">
        <v>6877.51</v>
      </c>
      <c r="W126" s="144"/>
      <c r="X126" s="144">
        <f>8337.23+29633.75+464</f>
        <v>38434.979999999996</v>
      </c>
      <c r="Y126" s="144"/>
      <c r="Z126" s="144">
        <f>5689+583.79+10387.68+15934.31+1169</f>
        <v>33763.78</v>
      </c>
      <c r="AA126" s="144"/>
      <c r="AB126" s="144">
        <f>16070.98+3793+15241.59+600</f>
        <v>35705.57</v>
      </c>
      <c r="AC126" s="144"/>
      <c r="AD126" s="144">
        <f>65698.74+4557.71</f>
        <v>70256.450000000012</v>
      </c>
      <c r="AE126" s="144"/>
      <c r="AF126" s="144"/>
      <c r="AG126" s="144"/>
      <c r="AH126" s="144">
        <v>24000</v>
      </c>
      <c r="AI126" s="144"/>
      <c r="AJ126" s="144">
        <f>5344.28+348+17058.78+25353.35</f>
        <v>48104.409999999996</v>
      </c>
      <c r="AK126" s="144"/>
      <c r="AL126" s="144">
        <f>11767.67+254.92+25872.98+8243.46+350</f>
        <v>46489.03</v>
      </c>
      <c r="AM126" s="144"/>
      <c r="AN126" s="144">
        <f>70145.41+1391.15+64413.78+10360.4</f>
        <v>146310.74</v>
      </c>
      <c r="AO126" s="144"/>
      <c r="AP126" s="144">
        <f>12957.45+2610.1+4710.39+37719.11</f>
        <v>57997.05</v>
      </c>
      <c r="AQ126" s="144"/>
      <c r="AR126" s="144">
        <f>77310.24+8673.63+6481.46</f>
        <v>92465.330000000016</v>
      </c>
      <c r="AS126" s="144"/>
      <c r="AT126" s="144">
        <f>5800+72353.56+1099.01+17721.52+1169+930.26</f>
        <v>99073.349999999991</v>
      </c>
      <c r="AU126" s="144"/>
      <c r="AV126" s="144">
        <f>4419+16958.5+19552.89+18184.55</f>
        <v>59114.94</v>
      </c>
      <c r="AW126" s="144"/>
      <c r="AX126" s="144">
        <f>3238.99+28374.07+7880.96+24376.98+1169</f>
        <v>65040</v>
      </c>
      <c r="AY126" s="144"/>
      <c r="AZ126" s="144">
        <f>12404.27+20894.19+74004.05+19402.65</f>
        <v>126705.16</v>
      </c>
      <c r="BA126" s="144"/>
      <c r="BB126" s="144">
        <f>16336.88+19799.94+7519.98+19083.35</f>
        <v>62740.15</v>
      </c>
      <c r="BC126" s="144"/>
      <c r="BD126" s="144">
        <f>44530.39+57921.93+5982</f>
        <v>108434.32</v>
      </c>
      <c r="BE126" s="144"/>
      <c r="BF126" s="144">
        <f>5480.01+4238.01</f>
        <v>9718.02</v>
      </c>
      <c r="BG126" s="144"/>
      <c r="BH126" s="144"/>
      <c r="BI126" s="14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</row>
    <row r="127" spans="1:94" x14ac:dyDescent="0.25">
      <c r="A127" s="44" t="s">
        <v>3</v>
      </c>
      <c r="B127" s="145">
        <f>+B125-B126</f>
        <v>-1.9999999989522621E-2</v>
      </c>
      <c r="C127" s="145"/>
      <c r="D127" s="145"/>
      <c r="E127" s="145"/>
      <c r="F127" s="145">
        <f>+F125-F126</f>
        <v>-1.0000000002037268E-2</v>
      </c>
      <c r="G127" s="145"/>
      <c r="H127" s="145">
        <f>+H125-H126</f>
        <v>0</v>
      </c>
      <c r="I127" s="145"/>
      <c r="J127" s="145">
        <f>+J125-J126</f>
        <v>0</v>
      </c>
      <c r="K127" s="145"/>
      <c r="L127" s="145">
        <f>+L125-L126</f>
        <v>0</v>
      </c>
      <c r="M127" s="145"/>
      <c r="N127" s="145">
        <f>+N125-N126</f>
        <v>2.9999999998835847E-2</v>
      </c>
      <c r="O127" s="145"/>
      <c r="P127" s="145">
        <f>+P125-P126</f>
        <v>0</v>
      </c>
      <c r="Q127" s="145"/>
      <c r="R127" s="145"/>
      <c r="S127" s="145"/>
      <c r="T127" s="145">
        <f>+T125-T126</f>
        <v>0</v>
      </c>
      <c r="U127" s="145"/>
      <c r="V127" s="145">
        <f>+V125-V126</f>
        <v>0</v>
      </c>
      <c r="W127" s="145"/>
      <c r="X127" s="145">
        <f>+X125-X126</f>
        <v>0</v>
      </c>
      <c r="Y127" s="145"/>
      <c r="Z127" s="145">
        <f>+Z125-Z126</f>
        <v>0</v>
      </c>
      <c r="AA127" s="145"/>
      <c r="AB127" s="145">
        <f>+AB125-AB126</f>
        <v>-1.0000000002037268E-2</v>
      </c>
      <c r="AC127" s="145"/>
      <c r="AD127" s="145">
        <f>+AD125-AD126</f>
        <v>0</v>
      </c>
      <c r="AE127" s="145"/>
      <c r="AF127" s="145"/>
      <c r="AG127" s="145"/>
      <c r="AH127" s="145">
        <f>+AH125-AH126</f>
        <v>0</v>
      </c>
      <c r="AI127" s="145"/>
      <c r="AJ127" s="145">
        <f>+AJ125-AJ126</f>
        <v>0</v>
      </c>
      <c r="AK127" s="145"/>
      <c r="AL127" s="145">
        <f>+AL125-AL126</f>
        <v>-0.44000000000232831</v>
      </c>
      <c r="AM127" s="145"/>
      <c r="AN127" s="145">
        <f>+AN125-AN126</f>
        <v>0</v>
      </c>
      <c r="AO127" s="145"/>
      <c r="AP127" s="145">
        <f>+AP125-AP126</f>
        <v>-1</v>
      </c>
      <c r="AQ127" s="145"/>
      <c r="AR127" s="145">
        <f>+AR125-AR126</f>
        <v>0</v>
      </c>
      <c r="AS127" s="145"/>
      <c r="AT127" s="145">
        <f>+AT125-AT126</f>
        <v>10</v>
      </c>
      <c r="AU127" s="145"/>
      <c r="AV127" s="145">
        <f>+AV125-AV126</f>
        <v>9.9999999998544808E-2</v>
      </c>
      <c r="AW127" s="145"/>
      <c r="AX127" s="145">
        <f>+AX125-AX126</f>
        <v>0</v>
      </c>
      <c r="AY127" s="145"/>
      <c r="AZ127" s="145">
        <f>+AZ125-AZ126</f>
        <v>8.9999999981955625E-2</v>
      </c>
      <c r="BA127" s="145"/>
      <c r="BB127" s="145">
        <f>+BB125-BB126</f>
        <v>0</v>
      </c>
      <c r="BC127" s="145"/>
      <c r="BD127" s="145">
        <f>+BD125-BD126</f>
        <v>0</v>
      </c>
      <c r="BE127" s="145"/>
      <c r="BF127" s="145">
        <f>+BF125-BF126</f>
        <v>0</v>
      </c>
      <c r="BG127" s="145"/>
      <c r="BH127" s="145"/>
      <c r="BI127" s="145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</row>
    <row r="128" spans="1:94" x14ac:dyDescent="0.25">
      <c r="A128" s="48"/>
      <c r="B128" s="18"/>
      <c r="C128" s="59"/>
      <c r="D128" s="18"/>
      <c r="E128" s="59"/>
      <c r="F128" s="18"/>
      <c r="G128" s="59"/>
      <c r="H128" s="18"/>
      <c r="I128" s="59"/>
      <c r="J128" s="18"/>
      <c r="K128" s="59"/>
      <c r="L128" s="145"/>
      <c r="M128" s="59"/>
      <c r="N128" s="18"/>
      <c r="O128" s="59"/>
      <c r="P128" s="18"/>
      <c r="Q128" s="59"/>
      <c r="R128" s="18"/>
      <c r="S128" s="59"/>
      <c r="T128" s="18"/>
      <c r="U128" s="59"/>
      <c r="V128" s="18"/>
      <c r="W128" s="59"/>
      <c r="X128" s="18"/>
      <c r="Y128" s="59"/>
      <c r="Z128" s="18"/>
      <c r="AA128" s="59"/>
      <c r="AB128" s="18"/>
      <c r="AC128" s="59"/>
      <c r="AD128" s="18"/>
      <c r="AE128" s="59"/>
      <c r="AF128" s="18"/>
      <c r="AG128" s="59"/>
      <c r="AH128" s="18"/>
      <c r="AI128" s="59"/>
      <c r="AJ128" s="18"/>
      <c r="AK128" s="59"/>
      <c r="AL128" s="18"/>
      <c r="AM128" s="59"/>
      <c r="AN128" s="18"/>
      <c r="AO128" s="59"/>
      <c r="AP128" s="18"/>
      <c r="AQ128" s="59"/>
      <c r="AR128" s="18"/>
      <c r="AS128" s="59"/>
      <c r="AT128" s="18"/>
      <c r="AU128" s="59"/>
      <c r="AV128" s="18"/>
      <c r="AW128" s="59"/>
      <c r="AX128" s="18"/>
      <c r="AY128" s="59"/>
      <c r="AZ128" s="18"/>
      <c r="BA128" s="59"/>
      <c r="BB128" s="18"/>
      <c r="BC128" s="59"/>
      <c r="BD128" s="18"/>
      <c r="BE128" s="59"/>
      <c r="BF128" s="18"/>
      <c r="BG128" s="59"/>
      <c r="BH128" s="18"/>
      <c r="BI128" s="59"/>
      <c r="BJ128" s="75"/>
      <c r="BK128" s="25"/>
      <c r="BL128" s="75"/>
      <c r="BM128" s="25"/>
      <c r="BN128" s="75"/>
      <c r="BO128" s="25"/>
      <c r="BP128" s="75"/>
      <c r="BQ128" s="25"/>
      <c r="BR128" s="75"/>
      <c r="BS128" s="25"/>
      <c r="BT128" s="75"/>
      <c r="BU128" s="25"/>
      <c r="BV128" s="75"/>
      <c r="BW128" s="25"/>
      <c r="BX128" s="75"/>
      <c r="BY128" s="25"/>
      <c r="BZ128" s="75"/>
      <c r="CA128" s="25"/>
      <c r="CB128" s="75"/>
      <c r="CC128" s="25"/>
      <c r="CD128" s="75"/>
      <c r="CE128" s="25"/>
      <c r="CF128" s="76"/>
      <c r="CG128" s="234"/>
      <c r="CH128" s="76"/>
      <c r="CI128" s="234"/>
      <c r="CJ128" s="76"/>
      <c r="CK128" s="234"/>
      <c r="CL128" s="76"/>
      <c r="CM128" s="234"/>
      <c r="CN128" s="76"/>
      <c r="CO128" s="234"/>
      <c r="CP128" s="76"/>
    </row>
    <row r="129" spans="1:94" x14ac:dyDescent="0.25">
      <c r="A129" s="48"/>
      <c r="B129" s="163"/>
      <c r="C129" s="59"/>
      <c r="D129" s="163"/>
      <c r="E129" s="59"/>
      <c r="F129" s="163"/>
      <c r="G129" s="59"/>
      <c r="H129" s="163"/>
      <c r="I129" s="59"/>
      <c r="J129" s="163"/>
      <c r="K129" s="25"/>
      <c r="L129" s="163"/>
      <c r="M129" s="59"/>
      <c r="N129" s="163"/>
      <c r="O129" s="59"/>
      <c r="P129" s="163"/>
      <c r="Q129" s="59"/>
      <c r="R129" s="163"/>
      <c r="S129" s="59"/>
      <c r="T129" s="163"/>
      <c r="U129" s="59"/>
      <c r="V129" s="163"/>
      <c r="W129" s="59"/>
      <c r="X129" s="163"/>
      <c r="Y129" s="59"/>
      <c r="Z129" s="163"/>
      <c r="AA129" s="59"/>
      <c r="AB129" s="163"/>
      <c r="AC129" s="59"/>
      <c r="AD129" s="163"/>
      <c r="AE129" s="59"/>
      <c r="AF129" s="163"/>
      <c r="AG129" s="59"/>
      <c r="AH129" s="163"/>
      <c r="AI129" s="59"/>
      <c r="AJ129" s="163"/>
      <c r="AK129" s="59"/>
      <c r="AL129" s="163"/>
      <c r="AM129" s="59"/>
      <c r="AN129" s="163"/>
      <c r="AO129" s="59"/>
      <c r="AP129" s="163"/>
      <c r="AQ129" s="59"/>
      <c r="AR129" s="163"/>
      <c r="AS129" s="59"/>
      <c r="AT129" s="163"/>
      <c r="AU129" s="59"/>
      <c r="AV129" s="163"/>
      <c r="AW129" s="59"/>
      <c r="AX129" s="163"/>
      <c r="AY129" s="59"/>
      <c r="AZ129" s="163"/>
      <c r="BA129" s="59"/>
      <c r="BB129" s="163"/>
      <c r="BC129" s="59"/>
      <c r="BD129" s="163"/>
      <c r="BE129" s="59"/>
      <c r="BF129" s="163"/>
      <c r="BG129" s="59"/>
      <c r="BH129" s="163"/>
      <c r="BI129" s="59"/>
      <c r="BJ129" s="235"/>
      <c r="BK129" s="25"/>
      <c r="BL129" s="75"/>
      <c r="BM129" s="25"/>
      <c r="BN129" s="75"/>
      <c r="BO129" s="25"/>
      <c r="BP129" s="75"/>
      <c r="BQ129" s="25"/>
      <c r="BR129" s="75"/>
      <c r="BS129" s="25"/>
      <c r="BT129" s="75"/>
      <c r="BU129" s="25"/>
      <c r="BV129" s="75"/>
      <c r="BW129" s="25"/>
      <c r="BX129" s="75"/>
      <c r="BY129" s="25"/>
      <c r="BZ129" s="75"/>
      <c r="CA129" s="25"/>
      <c r="CB129" s="75"/>
      <c r="CC129" s="25"/>
      <c r="CD129" s="75"/>
      <c r="CE129" s="25"/>
      <c r="CF129" s="76"/>
      <c r="CG129" s="234"/>
      <c r="CH129" s="76"/>
      <c r="CI129" s="234"/>
      <c r="CJ129" s="76"/>
      <c r="CK129" s="234"/>
      <c r="CL129" s="76"/>
      <c r="CM129" s="234"/>
      <c r="CN129" s="76"/>
      <c r="CO129" s="234"/>
      <c r="CP129" s="76"/>
    </row>
    <row r="130" spans="1:94" x14ac:dyDescent="0.25">
      <c r="A130" s="37" t="s">
        <v>10</v>
      </c>
      <c r="B130" s="164">
        <v>42917</v>
      </c>
      <c r="C130" s="118"/>
      <c r="D130" s="164">
        <v>42918</v>
      </c>
      <c r="E130" s="118"/>
      <c r="F130" s="164">
        <v>42919</v>
      </c>
      <c r="G130" s="118"/>
      <c r="H130" s="164">
        <v>42920</v>
      </c>
      <c r="I130" s="118"/>
      <c r="J130" s="164">
        <v>42921</v>
      </c>
      <c r="K130" s="119"/>
      <c r="L130" s="164">
        <v>42922</v>
      </c>
      <c r="M130" s="118"/>
      <c r="N130" s="164">
        <v>42923</v>
      </c>
      <c r="O130" s="118"/>
      <c r="P130" s="164">
        <v>42924</v>
      </c>
      <c r="Q130" s="118"/>
      <c r="R130" s="164">
        <v>42925</v>
      </c>
      <c r="S130" s="118"/>
      <c r="T130" s="22">
        <v>42926</v>
      </c>
      <c r="U130" s="118"/>
      <c r="V130" s="22">
        <v>42927</v>
      </c>
      <c r="W130" s="118"/>
      <c r="X130" s="22">
        <v>42928</v>
      </c>
      <c r="Y130" s="118"/>
      <c r="Z130" s="164">
        <v>42929</v>
      </c>
      <c r="AA130" s="118"/>
      <c r="AB130" s="175">
        <v>42930</v>
      </c>
      <c r="AC130" s="118"/>
      <c r="AD130" s="164">
        <v>42931</v>
      </c>
      <c r="AE130" s="118"/>
      <c r="AF130" s="164">
        <v>42932</v>
      </c>
      <c r="AG130" s="118"/>
      <c r="AH130" s="164">
        <v>42933</v>
      </c>
      <c r="AI130" s="119"/>
      <c r="AJ130" s="164">
        <v>42934</v>
      </c>
      <c r="AK130" s="118"/>
      <c r="AL130" s="164">
        <v>42935</v>
      </c>
      <c r="AM130" s="118"/>
      <c r="AN130" s="164">
        <v>42936</v>
      </c>
      <c r="AO130" s="118"/>
      <c r="AP130" s="164">
        <v>42937</v>
      </c>
      <c r="AQ130" s="118"/>
      <c r="AR130" s="164">
        <v>42938</v>
      </c>
      <c r="AS130" s="118"/>
      <c r="AT130" s="164">
        <v>42940</v>
      </c>
      <c r="AU130" s="119"/>
      <c r="AV130" s="164">
        <v>42941</v>
      </c>
      <c r="AW130" s="118"/>
      <c r="AX130" s="164">
        <v>42942</v>
      </c>
      <c r="AY130" s="118"/>
      <c r="AZ130" s="164">
        <v>42943</v>
      </c>
      <c r="BA130" s="118"/>
      <c r="BB130" s="164">
        <v>42944</v>
      </c>
      <c r="BC130" s="118"/>
      <c r="BD130" s="164">
        <v>42945</v>
      </c>
      <c r="BE130" s="118"/>
      <c r="BF130" s="164">
        <v>42946</v>
      </c>
      <c r="BG130" s="118"/>
      <c r="BH130" s="164"/>
      <c r="BI130" s="118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</row>
    <row r="131" spans="1:94" x14ac:dyDescent="0.25">
      <c r="A131" s="40"/>
      <c r="B131" s="22"/>
      <c r="C131" s="22"/>
      <c r="D131" s="22"/>
      <c r="E131" s="22"/>
      <c r="F131" s="22"/>
      <c r="G131" s="22"/>
      <c r="H131" s="22"/>
      <c r="I131" s="22"/>
      <c r="J131" s="22"/>
      <c r="K131" s="20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9"/>
      <c r="W131" s="120"/>
      <c r="X131" s="9"/>
      <c r="Y131" s="120"/>
      <c r="Z131" s="22"/>
      <c r="AA131" s="22"/>
      <c r="AB131" s="22"/>
      <c r="AC131" s="22"/>
      <c r="AD131" s="22"/>
      <c r="AE131" s="22"/>
      <c r="AF131" s="22"/>
      <c r="AG131" s="22"/>
      <c r="AH131" s="22"/>
      <c r="AI131" s="20"/>
      <c r="AJ131" s="22"/>
      <c r="AK131" s="22"/>
      <c r="AL131" s="22"/>
      <c r="AM131" s="22"/>
      <c r="AN131" s="22"/>
      <c r="AO131" s="22"/>
      <c r="AP131" s="22"/>
      <c r="AQ131" s="22"/>
      <c r="AR131" s="22"/>
      <c r="AS131" s="20"/>
      <c r="AT131" s="22"/>
      <c r="AU131" s="20"/>
      <c r="AV131" s="22"/>
      <c r="AW131" s="22"/>
      <c r="AX131" s="22"/>
      <c r="AY131" s="22"/>
      <c r="AZ131" s="22"/>
      <c r="BA131" s="22"/>
      <c r="BB131" s="22"/>
      <c r="BC131" s="22"/>
      <c r="BD131" s="22"/>
      <c r="BE131" s="20"/>
      <c r="BF131" s="22"/>
      <c r="BG131" s="22"/>
      <c r="BH131" s="22"/>
      <c r="BI131" s="22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</row>
    <row r="132" spans="1:94" x14ac:dyDescent="0.25">
      <c r="A132" s="45"/>
      <c r="B132" s="29">
        <v>213426.89</v>
      </c>
      <c r="C132" s="24" t="s">
        <v>7863</v>
      </c>
      <c r="D132" s="29"/>
      <c r="E132" s="24"/>
      <c r="F132" s="29">
        <v>15797.33</v>
      </c>
      <c r="G132" s="24" t="s">
        <v>7906</v>
      </c>
      <c r="H132" s="29">
        <v>200000</v>
      </c>
      <c r="I132" s="24" t="s">
        <v>7968</v>
      </c>
      <c r="J132" s="29">
        <v>40996.42</v>
      </c>
      <c r="K132" s="24" t="s">
        <v>7992</v>
      </c>
      <c r="L132" s="29">
        <v>30400</v>
      </c>
      <c r="M132" s="24" t="s">
        <v>8054</v>
      </c>
      <c r="N132" s="29">
        <v>345000</v>
      </c>
      <c r="O132" s="24" t="s">
        <v>8073</v>
      </c>
      <c r="P132" s="29">
        <v>4175</v>
      </c>
      <c r="Q132" s="24" t="s">
        <v>8142</v>
      </c>
      <c r="R132" s="29"/>
      <c r="S132" s="24"/>
      <c r="T132" s="29">
        <v>80000</v>
      </c>
      <c r="U132" s="24" t="s">
        <v>8170</v>
      </c>
      <c r="V132" s="29">
        <v>24708.65</v>
      </c>
      <c r="W132" s="15" t="s">
        <v>8226</v>
      </c>
      <c r="X132" s="29">
        <v>229500</v>
      </c>
      <c r="Y132" s="15" t="s">
        <v>8335</v>
      </c>
      <c r="Z132" s="29">
        <v>800</v>
      </c>
      <c r="AA132" s="24" t="s">
        <v>8367</v>
      </c>
      <c r="AB132" s="94">
        <v>97000</v>
      </c>
      <c r="AC132" s="24" t="s">
        <v>8465</v>
      </c>
      <c r="AD132" s="29">
        <v>140000</v>
      </c>
      <c r="AE132" s="85" t="s">
        <v>8423</v>
      </c>
      <c r="AF132" s="29"/>
      <c r="AG132" s="85"/>
      <c r="AH132" s="29">
        <v>100000</v>
      </c>
      <c r="AI132" s="24" t="s">
        <v>8520</v>
      </c>
      <c r="AJ132" s="29">
        <v>188300</v>
      </c>
      <c r="AK132" s="85" t="s">
        <v>8556</v>
      </c>
      <c r="AL132" s="29">
        <v>10000</v>
      </c>
      <c r="AM132" s="24" t="s">
        <v>8597</v>
      </c>
      <c r="AN132" s="29">
        <v>70000</v>
      </c>
      <c r="AO132" s="24" t="s">
        <v>8652</v>
      </c>
      <c r="AP132" s="29">
        <v>1681.04</v>
      </c>
      <c r="AQ132" s="184" t="s">
        <v>8723</v>
      </c>
      <c r="AR132" s="29">
        <v>536.91</v>
      </c>
      <c r="AS132" s="24" t="s">
        <v>8792</v>
      </c>
      <c r="AT132" s="104">
        <v>15000</v>
      </c>
      <c r="AU132" s="24" t="s">
        <v>8821</v>
      </c>
      <c r="AV132" s="29">
        <v>500000</v>
      </c>
      <c r="AW132" s="24" t="s">
        <v>8885</v>
      </c>
      <c r="AX132" s="29">
        <v>1169</v>
      </c>
      <c r="AY132" s="24" t="s">
        <v>8915</v>
      </c>
      <c r="AZ132" s="29">
        <v>235300</v>
      </c>
      <c r="BA132" s="24" t="s">
        <v>8999</v>
      </c>
      <c r="BB132" s="29">
        <v>210972.32</v>
      </c>
      <c r="BC132" s="24" t="s">
        <v>9006</v>
      </c>
      <c r="BD132" s="29">
        <v>110000</v>
      </c>
      <c r="BE132" s="24" t="s">
        <v>9094</v>
      </c>
      <c r="BF132" s="29">
        <v>304500</v>
      </c>
      <c r="BG132" s="24" t="s">
        <v>9131</v>
      </c>
      <c r="BH132" s="96"/>
      <c r="BI132" s="15"/>
      <c r="BJ132" s="72"/>
      <c r="BK132" s="24"/>
      <c r="BL132" s="72"/>
      <c r="BM132" s="24"/>
      <c r="BN132" s="72"/>
      <c r="BO132" s="24"/>
      <c r="BP132" s="72"/>
      <c r="BQ132" s="24"/>
      <c r="BR132" s="72"/>
      <c r="BS132" s="24"/>
      <c r="BT132" s="72"/>
      <c r="BU132" s="24"/>
      <c r="BV132" s="72"/>
      <c r="BW132" s="24"/>
      <c r="BX132" s="72"/>
      <c r="BY132" s="24"/>
      <c r="BZ132" s="72"/>
      <c r="CA132" s="24"/>
      <c r="CB132" s="72"/>
      <c r="CC132" s="24"/>
      <c r="CD132" s="72"/>
      <c r="CE132" s="24"/>
      <c r="CF132" s="72"/>
      <c r="CG132" s="24"/>
      <c r="CH132" s="72"/>
      <c r="CI132" s="24"/>
      <c r="CJ132" s="72"/>
      <c r="CK132" s="24"/>
      <c r="CL132" s="72"/>
      <c r="CM132" s="24"/>
      <c r="CN132" s="72"/>
      <c r="CO132" s="24"/>
      <c r="CP132" s="72"/>
    </row>
    <row r="133" spans="1:94" x14ac:dyDescent="0.25">
      <c r="A133" s="45"/>
      <c r="B133" s="29">
        <v>100000</v>
      </c>
      <c r="C133" s="24" t="s">
        <v>7868</v>
      </c>
      <c r="D133" s="29"/>
      <c r="E133" s="24"/>
      <c r="F133" s="29">
        <v>28680.77</v>
      </c>
      <c r="G133" s="24" t="s">
        <v>7907</v>
      </c>
      <c r="H133" s="29">
        <v>2900</v>
      </c>
      <c r="I133" s="24" t="s">
        <v>7971</v>
      </c>
      <c r="J133" s="29">
        <v>10979.08</v>
      </c>
      <c r="K133" s="24" t="s">
        <v>7993</v>
      </c>
      <c r="L133" s="29">
        <v>193000</v>
      </c>
      <c r="M133" s="24" t="s">
        <v>8057</v>
      </c>
      <c r="N133" s="29">
        <v>2500</v>
      </c>
      <c r="O133" s="24" t="s">
        <v>8075</v>
      </c>
      <c r="P133" s="29">
        <v>4465</v>
      </c>
      <c r="Q133" s="24" t="s">
        <v>8150</v>
      </c>
      <c r="R133" s="29"/>
      <c r="S133" s="24"/>
      <c r="T133" s="29"/>
      <c r="U133" s="24"/>
      <c r="V133" s="29">
        <v>81108.06</v>
      </c>
      <c r="W133" s="24" t="s">
        <v>8227</v>
      </c>
      <c r="X133" s="29">
        <v>69000</v>
      </c>
      <c r="Y133" s="24" t="s">
        <v>8336</v>
      </c>
      <c r="Z133" s="29">
        <v>396600</v>
      </c>
      <c r="AA133" s="24" t="s">
        <v>8368</v>
      </c>
      <c r="AB133" s="29">
        <v>97000</v>
      </c>
      <c r="AC133" s="24" t="s">
        <v>8466</v>
      </c>
      <c r="AD133" s="29">
        <v>906.06</v>
      </c>
      <c r="AE133" s="85" t="s">
        <v>8436</v>
      </c>
      <c r="AF133" s="29"/>
      <c r="AG133" s="85"/>
      <c r="AH133" s="29">
        <v>236600</v>
      </c>
      <c r="AI133" s="24" t="s">
        <v>8523</v>
      </c>
      <c r="AJ133" s="29">
        <v>2712.56</v>
      </c>
      <c r="AK133" s="85" t="s">
        <v>8557</v>
      </c>
      <c r="AL133" s="29">
        <v>140000</v>
      </c>
      <c r="AM133" s="24" t="s">
        <v>8598</v>
      </c>
      <c r="AN133" s="29">
        <v>45000</v>
      </c>
      <c r="AO133" s="24" t="s">
        <v>8654</v>
      </c>
      <c r="AP133" s="29">
        <f>3726.67-1393.67</f>
        <v>2333</v>
      </c>
      <c r="AQ133" s="184" t="s">
        <v>8724</v>
      </c>
      <c r="AR133" s="29">
        <v>13581.94</v>
      </c>
      <c r="AS133" s="24" t="s">
        <v>8794</v>
      </c>
      <c r="AT133" s="104">
        <v>350000</v>
      </c>
      <c r="AU133" s="24" t="s">
        <v>8822</v>
      </c>
      <c r="AV133" s="29">
        <v>421500</v>
      </c>
      <c r="AW133" s="24" t="s">
        <v>8886</v>
      </c>
      <c r="AX133" s="29">
        <v>1169</v>
      </c>
      <c r="AY133" s="24" t="s">
        <v>8916</v>
      </c>
      <c r="AZ133" s="29"/>
      <c r="BA133" s="24"/>
      <c r="BB133" s="29">
        <v>145628</v>
      </c>
      <c r="BC133" s="24" t="s">
        <v>9009</v>
      </c>
      <c r="BD133" s="29">
        <v>22671.69</v>
      </c>
      <c r="BE133" s="24" t="s">
        <v>9110</v>
      </c>
      <c r="BF133" s="29">
        <v>79405.119999999995</v>
      </c>
      <c r="BG133" s="24" t="s">
        <v>9132</v>
      </c>
      <c r="BH133" s="96"/>
      <c r="BI133" s="26"/>
      <c r="BJ133" s="72"/>
      <c r="BK133" s="24"/>
      <c r="BL133" s="72"/>
      <c r="BM133" s="24"/>
      <c r="BN133" s="72"/>
      <c r="BO133" s="24"/>
      <c r="BP133" s="72"/>
      <c r="BQ133" s="24"/>
      <c r="BR133" s="72"/>
      <c r="BS133" s="24"/>
      <c r="BT133" s="72"/>
      <c r="BU133" s="24"/>
      <c r="BV133" s="72"/>
      <c r="BW133" s="24"/>
      <c r="BX133" s="72"/>
      <c r="BY133" s="24"/>
      <c r="BZ133" s="72"/>
      <c r="CA133" s="24"/>
      <c r="CB133" s="72"/>
      <c r="CC133" s="24"/>
      <c r="CD133" s="72"/>
      <c r="CE133" s="24"/>
      <c r="CF133" s="72"/>
      <c r="CG133" s="24"/>
      <c r="CH133" s="72"/>
      <c r="CI133" s="24"/>
      <c r="CJ133" s="72"/>
      <c r="CK133" s="24"/>
      <c r="CL133" s="72"/>
      <c r="CM133" s="24"/>
      <c r="CN133" s="72"/>
      <c r="CO133" s="24"/>
      <c r="CP133" s="72"/>
    </row>
    <row r="134" spans="1:94" x14ac:dyDescent="0.25">
      <c r="A134" s="45"/>
      <c r="B134" s="29">
        <v>3250</v>
      </c>
      <c r="C134" s="24" t="s">
        <v>7890</v>
      </c>
      <c r="D134" s="96"/>
      <c r="E134" s="15"/>
      <c r="F134" s="122">
        <v>65944.42</v>
      </c>
      <c r="G134" s="24" t="s">
        <v>7909</v>
      </c>
      <c r="H134" s="29">
        <v>2040</v>
      </c>
      <c r="I134" s="24" t="s">
        <v>7974</v>
      </c>
      <c r="J134" s="29">
        <v>42208.44</v>
      </c>
      <c r="K134" s="24" t="s">
        <v>7994</v>
      </c>
      <c r="L134" s="29">
        <v>1519</v>
      </c>
      <c r="M134" s="24" t="s">
        <v>8064</v>
      </c>
      <c r="N134" s="29">
        <v>2500</v>
      </c>
      <c r="O134" s="24" t="s">
        <v>8076</v>
      </c>
      <c r="P134" s="29">
        <v>1539</v>
      </c>
      <c r="Q134" s="24" t="s">
        <v>8152</v>
      </c>
      <c r="R134" s="29"/>
      <c r="S134" s="24"/>
      <c r="T134" s="29">
        <v>100000</v>
      </c>
      <c r="U134" s="24" t="s">
        <v>8179</v>
      </c>
      <c r="V134" s="29">
        <v>41569.25</v>
      </c>
      <c r="W134" s="24" t="s">
        <v>8228</v>
      </c>
      <c r="X134" s="29">
        <v>20000</v>
      </c>
      <c r="Y134" s="24" t="s">
        <v>8339</v>
      </c>
      <c r="Z134" s="29">
        <v>20260.240000000002</v>
      </c>
      <c r="AA134" s="24" t="s">
        <v>8373</v>
      </c>
      <c r="AB134" s="29">
        <v>155000</v>
      </c>
      <c r="AC134" s="24" t="s">
        <v>8467</v>
      </c>
      <c r="AD134" s="29">
        <v>1970</v>
      </c>
      <c r="AE134" s="15" t="s">
        <v>8452</v>
      </c>
      <c r="AF134" s="94"/>
      <c r="AG134" s="85"/>
      <c r="AH134" s="29">
        <v>8886.41</v>
      </c>
      <c r="AI134" s="24" t="s">
        <v>8524</v>
      </c>
      <c r="AJ134" s="29">
        <v>15000</v>
      </c>
      <c r="AK134" s="85" t="s">
        <v>8561</v>
      </c>
      <c r="AL134" s="29">
        <v>1169</v>
      </c>
      <c r="AM134" s="24" t="s">
        <v>8605</v>
      </c>
      <c r="AN134" s="29">
        <v>286400</v>
      </c>
      <c r="AO134" s="24" t="s">
        <v>8658</v>
      </c>
      <c r="AP134" s="29">
        <v>1919</v>
      </c>
      <c r="AQ134" s="184" t="s">
        <v>8725</v>
      </c>
      <c r="AR134" s="97">
        <f>+AR133+AR132</f>
        <v>14118.85</v>
      </c>
      <c r="AS134" s="24"/>
      <c r="AT134" s="29">
        <v>5167.12</v>
      </c>
      <c r="AU134" s="24" t="s">
        <v>8823</v>
      </c>
      <c r="AV134" s="29">
        <v>100000</v>
      </c>
      <c r="AW134" s="24" t="s">
        <v>8887</v>
      </c>
      <c r="AX134" s="97">
        <f>+AX133+AX132</f>
        <v>2338</v>
      </c>
      <c r="AY134" s="24"/>
      <c r="AZ134" s="29">
        <v>24555.599999999999</v>
      </c>
      <c r="BA134" s="24" t="s">
        <v>9045</v>
      </c>
      <c r="BB134" s="29">
        <v>11809.78</v>
      </c>
      <c r="BC134" s="24" t="s">
        <v>9014</v>
      </c>
      <c r="BD134" s="29">
        <v>1563</v>
      </c>
      <c r="BE134" s="24" t="s">
        <v>9117</v>
      </c>
      <c r="BF134" s="29">
        <v>1403.6</v>
      </c>
      <c r="BG134" s="24" t="s">
        <v>9133</v>
      </c>
      <c r="BH134" s="122"/>
      <c r="BI134" s="24"/>
      <c r="BJ134" s="72"/>
      <c r="BK134" s="24"/>
      <c r="BL134" s="72"/>
      <c r="BM134" s="24"/>
      <c r="BN134" s="72"/>
      <c r="BO134" s="24"/>
      <c r="BP134" s="72"/>
      <c r="BQ134" s="24"/>
      <c r="BR134" s="72"/>
      <c r="BS134" s="24"/>
      <c r="BT134" s="72"/>
      <c r="BU134" s="24"/>
      <c r="BV134" s="72"/>
      <c r="BW134" s="24"/>
      <c r="BX134" s="72"/>
      <c r="BY134" s="24"/>
      <c r="BZ134" s="72"/>
      <c r="CA134" s="24"/>
      <c r="CB134" s="72"/>
      <c r="CC134" s="24"/>
      <c r="CD134" s="72"/>
      <c r="CE134" s="24"/>
      <c r="CF134" s="72"/>
      <c r="CG134" s="24"/>
      <c r="CH134" s="72"/>
      <c r="CI134" s="24"/>
      <c r="CJ134" s="72"/>
      <c r="CK134" s="24"/>
      <c r="CL134" s="72"/>
      <c r="CM134" s="24"/>
      <c r="CN134" s="72"/>
      <c r="CO134" s="24"/>
      <c r="CP134" s="72"/>
    </row>
    <row r="135" spans="1:94" x14ac:dyDescent="0.25">
      <c r="A135" s="45"/>
      <c r="B135" s="29">
        <v>3320</v>
      </c>
      <c r="C135" s="24" t="s">
        <v>7896</v>
      </c>
      <c r="D135" s="94"/>
      <c r="E135" s="24"/>
      <c r="F135" s="122">
        <v>1169</v>
      </c>
      <c r="G135" s="24" t="s">
        <v>7910</v>
      </c>
      <c r="H135" s="29">
        <v>3250</v>
      </c>
      <c r="I135" s="24" t="s">
        <v>7976</v>
      </c>
      <c r="J135" s="29">
        <v>39024.49</v>
      </c>
      <c r="K135" s="24" t="s">
        <v>7995</v>
      </c>
      <c r="L135" s="97">
        <f>+SUM(L132:L134)</f>
        <v>224919</v>
      </c>
      <c r="M135" s="24"/>
      <c r="N135" s="29">
        <v>41545.94</v>
      </c>
      <c r="O135" s="24" t="s">
        <v>8077</v>
      </c>
      <c r="P135" s="29">
        <v>6010.02</v>
      </c>
      <c r="Q135" s="24" t="s">
        <v>8154</v>
      </c>
      <c r="R135" s="29"/>
      <c r="S135" s="24"/>
      <c r="T135" s="29">
        <v>95000</v>
      </c>
      <c r="U135" s="24" t="s">
        <v>8181</v>
      </c>
      <c r="V135" s="29">
        <v>12000</v>
      </c>
      <c r="W135" s="24" t="s">
        <v>8229</v>
      </c>
      <c r="X135" s="29">
        <v>2040</v>
      </c>
      <c r="Y135" s="24" t="s">
        <v>8352</v>
      </c>
      <c r="Z135" s="29">
        <v>3187.22</v>
      </c>
      <c r="AA135" s="24" t="s">
        <v>8374</v>
      </c>
      <c r="AB135" s="29">
        <v>121500</v>
      </c>
      <c r="AC135" s="24" t="s">
        <v>8468</v>
      </c>
      <c r="AD135" s="29">
        <v>5025</v>
      </c>
      <c r="AE135" s="85" t="s">
        <v>8458</v>
      </c>
      <c r="AF135" s="94"/>
      <c r="AG135" s="85"/>
      <c r="AH135" s="29">
        <v>18742.29</v>
      </c>
      <c r="AI135" s="24" t="s">
        <v>8525</v>
      </c>
      <c r="AJ135" s="97">
        <f>+SUM(AJ132:AJ134)</f>
        <v>206012.56</v>
      </c>
      <c r="AK135" s="85"/>
      <c r="AL135" s="29">
        <v>1169</v>
      </c>
      <c r="AM135" s="24" t="s">
        <v>8607</v>
      </c>
      <c r="AN135" s="29">
        <v>700</v>
      </c>
      <c r="AO135" s="24" t="s">
        <v>8663</v>
      </c>
      <c r="AP135" s="29">
        <v>4135</v>
      </c>
      <c r="AQ135" s="184" t="s">
        <v>8730</v>
      </c>
      <c r="AR135" s="30"/>
      <c r="AS135" s="15"/>
      <c r="AT135" s="94">
        <v>5340.93</v>
      </c>
      <c r="AU135" s="24" t="s">
        <v>8824</v>
      </c>
      <c r="AV135" s="96">
        <v>928.19</v>
      </c>
      <c r="AW135" s="15" t="s">
        <v>8889</v>
      </c>
      <c r="AX135" s="29"/>
      <c r="AY135" s="24"/>
      <c r="AZ135" s="29">
        <v>13872.02</v>
      </c>
      <c r="BA135" s="24" t="s">
        <v>9046</v>
      </c>
      <c r="BB135" s="29">
        <v>8910.98</v>
      </c>
      <c r="BC135" s="24" t="s">
        <v>9015</v>
      </c>
      <c r="BD135" s="97">
        <f>+SUM(BD132:BD134)</f>
        <v>134234.69</v>
      </c>
      <c r="BE135" s="24"/>
      <c r="BF135" s="29">
        <v>9458.2000000000007</v>
      </c>
      <c r="BG135" s="24" t="s">
        <v>9134</v>
      </c>
      <c r="BH135" s="122"/>
      <c r="BI135" s="24"/>
      <c r="BJ135" s="24"/>
      <c r="BK135" s="24"/>
      <c r="BL135" s="72"/>
      <c r="BM135" s="24"/>
      <c r="BN135" s="72"/>
      <c r="BO135" s="24"/>
      <c r="BP135" s="72"/>
      <c r="BQ135" s="24"/>
      <c r="BR135" s="72"/>
      <c r="BS135" s="24"/>
      <c r="BT135" s="72"/>
      <c r="BU135" s="24"/>
      <c r="BV135" s="72"/>
      <c r="BW135" s="24"/>
      <c r="BX135" s="72"/>
      <c r="BY135" s="24"/>
      <c r="BZ135" s="72"/>
      <c r="CA135" s="24"/>
      <c r="CB135" s="72"/>
      <c r="CC135" s="24"/>
      <c r="CD135" s="72"/>
      <c r="CE135" s="24"/>
      <c r="CF135" s="72"/>
      <c r="CG135" s="24"/>
      <c r="CH135" s="72"/>
      <c r="CI135" s="24"/>
      <c r="CJ135" s="72"/>
      <c r="CK135" s="24"/>
      <c r="CL135" s="72"/>
      <c r="CM135" s="24"/>
      <c r="CN135" s="72"/>
      <c r="CO135" s="24"/>
      <c r="CP135" s="72"/>
    </row>
    <row r="136" spans="1:94" x14ac:dyDescent="0.25">
      <c r="A136" s="45"/>
      <c r="B136" s="97">
        <f>+SUM(B132:B135)</f>
        <v>319996.89</v>
      </c>
      <c r="C136" s="24"/>
      <c r="D136" s="29"/>
      <c r="E136" s="24"/>
      <c r="F136" s="200">
        <f>+SUM(F132:F135)</f>
        <v>111591.51999999999</v>
      </c>
      <c r="G136" s="24"/>
      <c r="H136" s="96">
        <v>3984</v>
      </c>
      <c r="I136" s="26" t="s">
        <v>7978</v>
      </c>
      <c r="J136" s="29">
        <v>18149.77</v>
      </c>
      <c r="K136" s="24" t="s">
        <v>7996</v>
      </c>
      <c r="L136" s="94"/>
      <c r="M136" s="24"/>
      <c r="N136" s="29">
        <v>7500</v>
      </c>
      <c r="O136" s="24" t="s">
        <v>8080</v>
      </c>
      <c r="P136" s="29">
        <v>1099.01</v>
      </c>
      <c r="Q136" s="24" t="s">
        <v>8155</v>
      </c>
      <c r="R136" s="29"/>
      <c r="S136" s="24"/>
      <c r="T136" s="29">
        <v>94008.58</v>
      </c>
      <c r="U136" s="24" t="s">
        <v>8183</v>
      </c>
      <c r="V136" s="29">
        <v>7500</v>
      </c>
      <c r="W136" s="24" t="s">
        <v>8230</v>
      </c>
      <c r="X136" s="29">
        <v>1099</v>
      </c>
      <c r="Y136" s="24" t="s">
        <v>8353</v>
      </c>
      <c r="Z136" s="29">
        <v>3425.98</v>
      </c>
      <c r="AA136" s="24" t="s">
        <v>8376</v>
      </c>
      <c r="AB136" s="29">
        <v>1099.01</v>
      </c>
      <c r="AC136" s="24" t="s">
        <v>8474</v>
      </c>
      <c r="AD136" s="29">
        <v>5378.99</v>
      </c>
      <c r="AE136" s="85" t="s">
        <v>8462</v>
      </c>
      <c r="AF136" s="29"/>
      <c r="AG136" s="85"/>
      <c r="AH136" s="94">
        <v>19349.54</v>
      </c>
      <c r="AI136" s="72" t="s">
        <v>8526</v>
      </c>
      <c r="AJ136" s="29"/>
      <c r="AK136" s="85"/>
      <c r="AL136" s="29">
        <v>3250</v>
      </c>
      <c r="AM136" s="24" t="s">
        <v>8608</v>
      </c>
      <c r="AN136" s="30">
        <v>1169</v>
      </c>
      <c r="AO136" s="24" t="s">
        <v>8664</v>
      </c>
      <c r="AP136" s="97">
        <f>+SUM(AP132:AP135)</f>
        <v>10068.040000000001</v>
      </c>
      <c r="AQ136" s="184"/>
      <c r="AR136" s="29"/>
      <c r="AS136" s="24"/>
      <c r="AT136" s="29">
        <v>38282.239999999998</v>
      </c>
      <c r="AU136" s="24" t="s">
        <v>8825</v>
      </c>
      <c r="AV136" s="96">
        <v>12348.81</v>
      </c>
      <c r="AW136" s="15" t="s">
        <v>8890</v>
      </c>
      <c r="AX136" s="29">
        <v>6277.45</v>
      </c>
      <c r="AY136" s="24" t="s">
        <v>8954</v>
      </c>
      <c r="AZ136" s="29">
        <v>12231.4</v>
      </c>
      <c r="BA136" s="24" t="s">
        <v>9047</v>
      </c>
      <c r="BB136" s="29">
        <v>4620</v>
      </c>
      <c r="BC136" s="24" t="s">
        <v>9021</v>
      </c>
      <c r="BD136" s="29"/>
      <c r="BE136" s="24"/>
      <c r="BF136" s="29">
        <v>11990.46</v>
      </c>
      <c r="BG136" s="24" t="s">
        <v>9135</v>
      </c>
      <c r="BH136" s="183"/>
      <c r="BI136" s="120"/>
      <c r="BJ136" s="24"/>
      <c r="BK136" s="24"/>
      <c r="BL136" s="72"/>
      <c r="BM136" s="24"/>
      <c r="BN136" s="24"/>
      <c r="BO136" s="24"/>
      <c r="BP136" s="72"/>
      <c r="BQ136" s="24"/>
      <c r="BR136" s="72"/>
      <c r="BS136" s="24"/>
      <c r="BT136" s="72"/>
      <c r="BU136" s="24"/>
      <c r="BV136" s="72"/>
      <c r="BW136" s="24"/>
      <c r="BX136" s="72"/>
      <c r="BY136" s="24"/>
      <c r="BZ136" s="72"/>
      <c r="CA136" s="24"/>
      <c r="CB136" s="72"/>
      <c r="CC136" s="24"/>
      <c r="CD136" s="72"/>
      <c r="CE136" s="24"/>
      <c r="CF136" s="72"/>
      <c r="CG136" s="24"/>
      <c r="CH136" s="72"/>
      <c r="CI136" s="24"/>
      <c r="CJ136" s="72"/>
      <c r="CK136" s="24"/>
      <c r="CL136" s="72"/>
      <c r="CM136" s="24"/>
      <c r="CN136" s="72"/>
      <c r="CO136" s="24"/>
      <c r="CP136" s="72"/>
    </row>
    <row r="137" spans="1:94" x14ac:dyDescent="0.25">
      <c r="A137" s="45"/>
      <c r="B137" s="128"/>
      <c r="C137" s="153"/>
      <c r="D137" s="29"/>
      <c r="E137" s="24"/>
      <c r="F137" s="122"/>
      <c r="G137" s="24"/>
      <c r="H137" s="97">
        <f>+SUM(H132:H136)</f>
        <v>212174</v>
      </c>
      <c r="I137" s="24"/>
      <c r="J137" s="29">
        <v>20314.53</v>
      </c>
      <c r="K137" s="24" t="s">
        <v>7997</v>
      </c>
      <c r="L137" s="29">
        <v>140000</v>
      </c>
      <c r="M137" s="24" t="s">
        <v>8279</v>
      </c>
      <c r="N137" s="96">
        <v>180000</v>
      </c>
      <c r="O137" s="26" t="s">
        <v>8081</v>
      </c>
      <c r="P137" s="97">
        <f>+SUM(P132:P136)</f>
        <v>17288.03</v>
      </c>
      <c r="Q137" s="24"/>
      <c r="R137" s="29"/>
      <c r="S137" s="24"/>
      <c r="T137" s="30">
        <v>20000</v>
      </c>
      <c r="U137" s="15" t="s">
        <v>8184</v>
      </c>
      <c r="V137" s="29">
        <v>959</v>
      </c>
      <c r="W137" s="24" t="s">
        <v>8238</v>
      </c>
      <c r="X137" s="29">
        <v>5513.96</v>
      </c>
      <c r="Y137" s="24" t="s">
        <v>8356</v>
      </c>
      <c r="Z137" s="29">
        <v>1099</v>
      </c>
      <c r="AA137" s="24" t="s">
        <v>8377</v>
      </c>
      <c r="AB137" s="29">
        <v>1099</v>
      </c>
      <c r="AC137" s="24" t="s">
        <v>8479</v>
      </c>
      <c r="AD137" s="97">
        <f>+SUM(AD131:AD136)</f>
        <v>153280.04999999999</v>
      </c>
      <c r="AE137" s="85"/>
      <c r="AF137" s="29"/>
      <c r="AG137" s="85"/>
      <c r="AH137" s="29">
        <v>222000</v>
      </c>
      <c r="AI137" s="72" t="s">
        <v>8528</v>
      </c>
      <c r="AJ137" s="29">
        <v>5000</v>
      </c>
      <c r="AK137" s="85" t="s">
        <v>8569</v>
      </c>
      <c r="AL137" s="100">
        <f>+SUM(AL132:AL136)</f>
        <v>155588</v>
      </c>
      <c r="AM137" s="24"/>
      <c r="AN137" s="29">
        <v>4395</v>
      </c>
      <c r="AO137" s="24" t="s">
        <v>8665</v>
      </c>
      <c r="AP137" s="29"/>
      <c r="AQ137" s="184"/>
      <c r="AR137" s="29"/>
      <c r="AS137" s="24"/>
      <c r="AT137" s="29">
        <v>97000</v>
      </c>
      <c r="AU137" s="24" t="s">
        <v>8833</v>
      </c>
      <c r="AV137" s="94">
        <v>40000</v>
      </c>
      <c r="AW137" s="24" t="s">
        <v>8892</v>
      </c>
      <c r="AX137" s="29">
        <v>3940</v>
      </c>
      <c r="AY137" s="24" t="s">
        <v>8961</v>
      </c>
      <c r="AZ137" s="29">
        <v>113399.5</v>
      </c>
      <c r="BA137" s="24" t="s">
        <v>9048</v>
      </c>
      <c r="BB137" s="29">
        <v>1969.01</v>
      </c>
      <c r="BC137" s="24" t="s">
        <v>9024</v>
      </c>
      <c r="BD137" s="29"/>
      <c r="BE137" s="24"/>
      <c r="BF137" s="94">
        <v>23190</v>
      </c>
      <c r="BG137" s="24" t="s">
        <v>9137</v>
      </c>
      <c r="BH137" s="183"/>
      <c r="BI137" s="120"/>
      <c r="BJ137" s="72"/>
      <c r="BK137" s="24"/>
      <c r="BL137" s="72"/>
      <c r="BM137" s="24"/>
      <c r="BN137" s="72"/>
      <c r="BO137" s="24"/>
      <c r="BP137" s="72"/>
      <c r="BQ137" s="24"/>
      <c r="BR137" s="72"/>
      <c r="BS137" s="24"/>
      <c r="BT137" s="72"/>
      <c r="BU137" s="24"/>
      <c r="BV137" s="72"/>
      <c r="BW137" s="24"/>
      <c r="BX137" s="72"/>
      <c r="BY137" s="24"/>
      <c r="BZ137" s="72"/>
      <c r="CA137" s="24"/>
      <c r="CB137" s="72"/>
      <c r="CC137" s="24"/>
      <c r="CD137" s="72"/>
      <c r="CE137" s="24"/>
      <c r="CF137" s="72"/>
      <c r="CG137" s="24"/>
      <c r="CH137" s="72"/>
      <c r="CI137" s="24"/>
      <c r="CJ137" s="72"/>
      <c r="CK137" s="24"/>
      <c r="CL137" s="72"/>
      <c r="CM137" s="24"/>
      <c r="CN137" s="72"/>
      <c r="CO137" s="24"/>
      <c r="CP137" s="72"/>
    </row>
    <row r="138" spans="1:94" x14ac:dyDescent="0.25">
      <c r="A138" s="45"/>
      <c r="B138" s="128"/>
      <c r="C138" s="153"/>
      <c r="D138" s="29"/>
      <c r="E138" s="24"/>
      <c r="F138" s="122">
        <v>210231.41</v>
      </c>
      <c r="G138" s="24" t="s">
        <v>7918</v>
      </c>
      <c r="H138" s="29"/>
      <c r="I138" s="24"/>
      <c r="J138" s="96">
        <v>103.85</v>
      </c>
      <c r="K138" s="15" t="s">
        <v>8004</v>
      </c>
      <c r="L138" s="29">
        <v>191.86</v>
      </c>
      <c r="M138" s="24" t="s">
        <v>8280</v>
      </c>
      <c r="N138" s="122">
        <v>2679.99</v>
      </c>
      <c r="O138" s="24" t="s">
        <v>8036</v>
      </c>
      <c r="P138" s="94"/>
      <c r="Q138" s="24"/>
      <c r="R138" s="29"/>
      <c r="S138" s="24"/>
      <c r="T138" s="29">
        <v>10400.39</v>
      </c>
      <c r="U138" s="24" t="s">
        <v>8189</v>
      </c>
      <c r="V138" s="122">
        <v>2881.85</v>
      </c>
      <c r="W138" s="24" t="s">
        <v>8239</v>
      </c>
      <c r="X138" s="122">
        <v>1099</v>
      </c>
      <c r="Y138" s="24" t="s">
        <v>8361</v>
      </c>
      <c r="Z138" s="29">
        <v>2714.01</v>
      </c>
      <c r="AA138" s="24" t="s">
        <v>8379</v>
      </c>
      <c r="AB138" s="29">
        <v>2935.99</v>
      </c>
      <c r="AC138" s="24" t="s">
        <v>8494</v>
      </c>
      <c r="AD138" s="97"/>
      <c r="AE138" s="85"/>
      <c r="AF138" s="29"/>
      <c r="AG138" s="85"/>
      <c r="AH138" s="29">
        <v>50000</v>
      </c>
      <c r="AI138" s="24" t="s">
        <v>8532</v>
      </c>
      <c r="AJ138" s="96">
        <v>3714.01</v>
      </c>
      <c r="AK138" s="15" t="s">
        <v>8581</v>
      </c>
      <c r="AL138" s="29"/>
      <c r="AM138" s="24"/>
      <c r="AN138" s="96">
        <v>4465</v>
      </c>
      <c r="AO138" s="26" t="s">
        <v>8666</v>
      </c>
      <c r="AP138" s="29">
        <v>50000</v>
      </c>
      <c r="AQ138" s="184" t="s">
        <v>8733</v>
      </c>
      <c r="AR138" s="29"/>
      <c r="AS138" s="24"/>
      <c r="AT138" s="29">
        <v>4395</v>
      </c>
      <c r="AU138" s="24" t="s">
        <v>8846</v>
      </c>
      <c r="AV138" s="96">
        <f>3453.34-2712.56</f>
        <v>740.7800000000002</v>
      </c>
      <c r="AW138" s="15" t="s">
        <v>8895</v>
      </c>
      <c r="AX138" s="96">
        <v>4465</v>
      </c>
      <c r="AY138" s="15" t="s">
        <v>8972</v>
      </c>
      <c r="AZ138" s="29">
        <v>10075.17</v>
      </c>
      <c r="BA138" s="24" t="s">
        <v>9049</v>
      </c>
      <c r="BB138" s="30">
        <v>1169</v>
      </c>
      <c r="BC138" s="15" t="s">
        <v>9036</v>
      </c>
      <c r="BD138" s="29"/>
      <c r="BE138" s="24"/>
      <c r="BF138" s="30">
        <v>870.32</v>
      </c>
      <c r="BG138" s="24" t="s">
        <v>9141</v>
      </c>
      <c r="BH138" s="208"/>
      <c r="BI138" s="120"/>
      <c r="BJ138" s="72"/>
      <c r="BK138" s="24"/>
      <c r="BL138" s="24"/>
      <c r="BM138" s="24"/>
      <c r="BN138" s="72"/>
      <c r="BO138" s="24"/>
      <c r="BP138" s="72"/>
      <c r="BQ138" s="24"/>
      <c r="BR138" s="72"/>
      <c r="BS138" s="24"/>
      <c r="BT138" s="72"/>
      <c r="BU138" s="24"/>
      <c r="BV138" s="72"/>
      <c r="BW138" s="24"/>
      <c r="BX138" s="72"/>
      <c r="BY138" s="24"/>
      <c r="BZ138" s="72"/>
      <c r="CA138" s="24"/>
      <c r="CB138" s="72"/>
      <c r="CC138" s="24"/>
      <c r="CD138" s="72"/>
      <c r="CE138" s="24"/>
      <c r="CF138" s="72"/>
      <c r="CG138" s="24"/>
      <c r="CH138" s="72"/>
      <c r="CI138" s="24"/>
      <c r="CJ138" s="72"/>
      <c r="CK138" s="24"/>
      <c r="CL138" s="72"/>
      <c r="CM138" s="24"/>
      <c r="CN138" s="72"/>
      <c r="CO138" s="24"/>
      <c r="CP138" s="72"/>
    </row>
    <row r="139" spans="1:94" x14ac:dyDescent="0.25">
      <c r="A139" s="45"/>
      <c r="B139" s="128"/>
      <c r="C139" s="153"/>
      <c r="D139" s="116"/>
      <c r="E139" s="24"/>
      <c r="F139" s="122">
        <v>28520.35</v>
      </c>
      <c r="G139" s="24" t="s">
        <v>7921</v>
      </c>
      <c r="H139" s="29"/>
      <c r="I139" s="24"/>
      <c r="J139" s="29">
        <v>4060</v>
      </c>
      <c r="K139" s="24" t="s">
        <v>8006</v>
      </c>
      <c r="L139" s="29">
        <v>127207.82</v>
      </c>
      <c r="M139" s="24" t="s">
        <v>8282</v>
      </c>
      <c r="N139" s="122">
        <v>7004.98</v>
      </c>
      <c r="O139" s="24" t="s">
        <v>8094</v>
      </c>
      <c r="P139" s="29"/>
      <c r="Q139" s="24"/>
      <c r="R139" s="29"/>
      <c r="S139" s="24"/>
      <c r="T139" s="94">
        <v>486378.11</v>
      </c>
      <c r="U139" s="24" t="s">
        <v>8190</v>
      </c>
      <c r="V139" s="200">
        <f>+SUM(V132:V138)</f>
        <v>170726.81</v>
      </c>
      <c r="W139" s="24"/>
      <c r="X139" s="200">
        <f>+SUM(X132:X138)</f>
        <v>328251.96000000002</v>
      </c>
      <c r="Y139" s="24"/>
      <c r="Z139" s="97">
        <f>+SUM(Z132:Z138)</f>
        <v>428086.44999999995</v>
      </c>
      <c r="AA139" s="24"/>
      <c r="AB139" s="29">
        <v>16699.29</v>
      </c>
      <c r="AC139" s="24" t="s">
        <v>8495</v>
      </c>
      <c r="AD139" s="29"/>
      <c r="AE139" s="85"/>
      <c r="AF139" s="29"/>
      <c r="AG139" s="85"/>
      <c r="AH139" s="29">
        <v>5239</v>
      </c>
      <c r="AI139" s="24" t="s">
        <v>8545</v>
      </c>
      <c r="AJ139" s="29">
        <v>3400</v>
      </c>
      <c r="AK139" s="85" t="s">
        <v>8586</v>
      </c>
      <c r="AL139" s="29">
        <v>132938</v>
      </c>
      <c r="AM139" s="24" t="s">
        <v>8611</v>
      </c>
      <c r="AN139" s="29">
        <v>4456.01</v>
      </c>
      <c r="AO139" s="24" t="s">
        <v>8667</v>
      </c>
      <c r="AP139" s="94">
        <v>34705.79</v>
      </c>
      <c r="AQ139" s="184" t="s">
        <v>8735</v>
      </c>
      <c r="AR139" s="30"/>
      <c r="AS139" s="15"/>
      <c r="AT139" s="29">
        <v>504</v>
      </c>
      <c r="AU139" s="24" t="s">
        <v>8856</v>
      </c>
      <c r="AV139" s="105">
        <v>3050.13</v>
      </c>
      <c r="AW139" s="106" t="s">
        <v>8896</v>
      </c>
      <c r="AX139" s="105">
        <v>1099</v>
      </c>
      <c r="AY139" s="106" t="s">
        <v>8978</v>
      </c>
      <c r="AZ139" s="29">
        <v>100000</v>
      </c>
      <c r="BA139" s="24" t="s">
        <v>9055</v>
      </c>
      <c r="BB139" s="100">
        <f>+SUM(BB131:BB138)</f>
        <v>385079.09</v>
      </c>
      <c r="BC139" s="24"/>
      <c r="BD139" s="29"/>
      <c r="BE139" s="24"/>
      <c r="BF139" s="30">
        <v>464</v>
      </c>
      <c r="BG139" s="24" t="s">
        <v>5364</v>
      </c>
      <c r="BH139" s="128"/>
      <c r="BI139" s="120"/>
      <c r="BJ139" s="72"/>
      <c r="BK139" s="24"/>
      <c r="BL139" s="72"/>
      <c r="BM139" s="24"/>
      <c r="BN139" s="72"/>
      <c r="BO139" s="24"/>
      <c r="BP139" s="72"/>
      <c r="BQ139" s="24"/>
      <c r="BR139" s="72"/>
      <c r="BS139" s="24"/>
      <c r="BT139" s="72"/>
      <c r="BU139" s="24"/>
      <c r="BV139" s="72"/>
      <c r="BW139" s="24"/>
      <c r="BX139" s="72"/>
      <c r="BY139" s="24"/>
      <c r="BZ139" s="72"/>
      <c r="CA139" s="24"/>
      <c r="CB139" s="72"/>
      <c r="CC139" s="24"/>
      <c r="CD139" s="72"/>
      <c r="CE139" s="24"/>
      <c r="CF139" s="72"/>
      <c r="CG139" s="24"/>
      <c r="CH139" s="72"/>
      <c r="CI139" s="24"/>
      <c r="CJ139" s="72"/>
      <c r="CK139" s="24"/>
      <c r="CL139" s="72"/>
      <c r="CM139" s="24"/>
      <c r="CN139" s="72"/>
      <c r="CO139" s="24"/>
      <c r="CP139" s="72"/>
    </row>
    <row r="140" spans="1:94" x14ac:dyDescent="0.25">
      <c r="A140" s="41"/>
      <c r="B140" s="128"/>
      <c r="C140" s="153"/>
      <c r="D140" s="30"/>
      <c r="E140" s="15"/>
      <c r="F140" s="96">
        <v>74296.320000000007</v>
      </c>
      <c r="G140" s="15" t="s">
        <v>7922</v>
      </c>
      <c r="H140" s="30"/>
      <c r="I140" s="15"/>
      <c r="J140" s="97">
        <f>+SUM(J132:J139)</f>
        <v>175836.58</v>
      </c>
      <c r="K140" s="24"/>
      <c r="L140" s="30">
        <v>10304.59</v>
      </c>
      <c r="M140" s="15" t="s">
        <v>8283</v>
      </c>
      <c r="N140" s="122">
        <v>1579.02</v>
      </c>
      <c r="O140" s="24" t="s">
        <v>8101</v>
      </c>
      <c r="P140" s="30"/>
      <c r="Q140" s="15"/>
      <c r="R140" s="29"/>
      <c r="S140" s="15"/>
      <c r="T140" s="30">
        <v>149928.49</v>
      </c>
      <c r="U140" s="15" t="s">
        <v>8191</v>
      </c>
      <c r="V140" s="29"/>
      <c r="W140" s="24"/>
      <c r="X140" s="29"/>
      <c r="Y140" s="24"/>
      <c r="Z140" s="98"/>
      <c r="AA140" s="15"/>
      <c r="AB140" s="100">
        <f>+SUM(AB132:AB139)</f>
        <v>492333.29</v>
      </c>
      <c r="AC140" s="15"/>
      <c r="AD140" s="29"/>
      <c r="AE140" s="85"/>
      <c r="AF140" s="29"/>
      <c r="AG140" s="85"/>
      <c r="AH140" s="30">
        <v>1970</v>
      </c>
      <c r="AI140" s="15" t="s">
        <v>8550</v>
      </c>
      <c r="AJ140" s="30">
        <v>2040</v>
      </c>
      <c r="AK140" s="86" t="s">
        <v>8588</v>
      </c>
      <c r="AL140" s="30">
        <v>27553.34</v>
      </c>
      <c r="AM140" s="15" t="s">
        <v>8612</v>
      </c>
      <c r="AN140" s="30">
        <v>1970</v>
      </c>
      <c r="AO140" s="15" t="s">
        <v>8668</v>
      </c>
      <c r="AP140" s="30">
        <v>23000</v>
      </c>
      <c r="AQ140" s="185" t="s">
        <v>8737</v>
      </c>
      <c r="AR140" s="30"/>
      <c r="AS140" s="24"/>
      <c r="AT140" s="29">
        <v>1489</v>
      </c>
      <c r="AU140" s="24" t="s">
        <v>8859</v>
      </c>
      <c r="AV140" s="96">
        <v>3320</v>
      </c>
      <c r="AW140" s="15" t="s">
        <v>8901</v>
      </c>
      <c r="AX140" s="96">
        <v>3250</v>
      </c>
      <c r="AY140" s="15" t="s">
        <v>8980</v>
      </c>
      <c r="AZ140" s="30">
        <v>1970</v>
      </c>
      <c r="BA140" s="15" t="s">
        <v>9063</v>
      </c>
      <c r="BB140" s="94"/>
      <c r="BC140" s="15"/>
      <c r="BD140" s="30"/>
      <c r="BE140" s="15"/>
      <c r="BF140" s="30">
        <v>2736</v>
      </c>
      <c r="BG140" s="15" t="s">
        <v>9159</v>
      </c>
      <c r="BH140" s="183"/>
      <c r="BI140" s="127"/>
      <c r="BJ140" s="9"/>
      <c r="BK140" s="15"/>
      <c r="BL140" s="9"/>
      <c r="BM140" s="15"/>
      <c r="BN140" s="9"/>
      <c r="BO140" s="15"/>
      <c r="BP140" s="9"/>
      <c r="BQ140" s="15"/>
      <c r="BR140" s="9"/>
      <c r="BS140" s="15"/>
      <c r="BT140" s="9"/>
      <c r="BU140" s="15"/>
      <c r="BV140" s="9"/>
      <c r="BW140" s="15"/>
      <c r="BX140" s="9"/>
      <c r="BY140" s="15"/>
      <c r="BZ140" s="9"/>
      <c r="CA140" s="15"/>
      <c r="CB140" s="9"/>
      <c r="CC140" s="15"/>
      <c r="CD140" s="9"/>
      <c r="CE140" s="15"/>
      <c r="CF140" s="9"/>
      <c r="CG140" s="15"/>
      <c r="CH140" s="9"/>
      <c r="CI140" s="15"/>
      <c r="CJ140" s="9"/>
      <c r="CK140" s="15"/>
      <c r="CL140" s="9"/>
      <c r="CM140" s="15"/>
      <c r="CN140" s="9"/>
      <c r="CO140" s="15"/>
      <c r="CP140" s="9"/>
    </row>
    <row r="141" spans="1:94" x14ac:dyDescent="0.25">
      <c r="A141" s="45"/>
      <c r="B141" s="128"/>
      <c r="C141" s="153"/>
      <c r="D141" s="29"/>
      <c r="E141" s="24"/>
      <c r="F141" s="122">
        <v>269400</v>
      </c>
      <c r="G141" s="24" t="s">
        <v>7923</v>
      </c>
      <c r="H141" s="29"/>
      <c r="I141" s="24"/>
      <c r="J141" s="29"/>
      <c r="K141" s="24"/>
      <c r="L141" s="30">
        <v>96582.69</v>
      </c>
      <c r="M141" s="24" t="s">
        <v>8284</v>
      </c>
      <c r="N141" s="96">
        <v>1169</v>
      </c>
      <c r="O141" s="15" t="s">
        <v>8105</v>
      </c>
      <c r="P141" s="96"/>
      <c r="Q141" s="15"/>
      <c r="R141" s="29"/>
      <c r="S141" s="15"/>
      <c r="T141" s="29">
        <v>65000</v>
      </c>
      <c r="U141" s="24" t="s">
        <v>8193</v>
      </c>
      <c r="V141" s="29">
        <v>26787.83</v>
      </c>
      <c r="W141" s="24" t="s">
        <v>8241</v>
      </c>
      <c r="X141" s="29"/>
      <c r="Y141" s="24"/>
      <c r="Z141" s="29">
        <v>158800</v>
      </c>
      <c r="AA141" s="24" t="s">
        <v>8390</v>
      </c>
      <c r="AB141" s="29"/>
      <c r="AC141" s="24"/>
      <c r="AD141" s="29"/>
      <c r="AE141" s="85"/>
      <c r="AF141" s="29"/>
      <c r="AG141" s="85"/>
      <c r="AH141" s="97">
        <f>+SUM(AH132:AH140)</f>
        <v>662787.24</v>
      </c>
      <c r="AI141" s="24"/>
      <c r="AJ141" s="29">
        <v>3320</v>
      </c>
      <c r="AK141" s="85" t="s">
        <v>8589</v>
      </c>
      <c r="AL141" s="29">
        <v>45250.7</v>
      </c>
      <c r="AM141" s="24" t="s">
        <v>8613</v>
      </c>
      <c r="AN141" s="97">
        <f>+SUM(AN132:AN140)</f>
        <v>418555.01</v>
      </c>
      <c r="AO141" s="24"/>
      <c r="AP141" s="29">
        <v>11814.76</v>
      </c>
      <c r="AQ141" s="184" t="s">
        <v>8743</v>
      </c>
      <c r="AR141" s="30"/>
      <c r="AS141" s="24"/>
      <c r="AT141" s="96">
        <v>3320</v>
      </c>
      <c r="AU141" s="15" t="s">
        <v>8843</v>
      </c>
      <c r="AV141" s="242">
        <f>+SUM(AV132:AV140)</f>
        <v>1081887.9099999999</v>
      </c>
      <c r="AW141" s="15"/>
      <c r="AX141" s="96">
        <v>172820</v>
      </c>
      <c r="AY141" s="15" t="s">
        <v>8995</v>
      </c>
      <c r="AZ141" s="29">
        <v>3320</v>
      </c>
      <c r="BA141" s="24" t="s">
        <v>9067</v>
      </c>
      <c r="BB141" s="29">
        <v>63611.43</v>
      </c>
      <c r="BC141" s="24" t="s">
        <v>9123</v>
      </c>
      <c r="BD141" s="29"/>
      <c r="BE141" s="24"/>
      <c r="BF141" s="30">
        <v>1099</v>
      </c>
      <c r="BG141" s="15" t="s">
        <v>9154</v>
      </c>
      <c r="BH141" s="183"/>
      <c r="BI141" s="127"/>
      <c r="BJ141" s="72"/>
      <c r="BK141" s="24"/>
      <c r="BL141" s="72"/>
      <c r="BM141" s="24"/>
      <c r="BN141" s="72"/>
      <c r="BO141" s="24"/>
      <c r="BP141" s="72"/>
      <c r="BQ141" s="24"/>
      <c r="BR141" s="72"/>
      <c r="BS141" s="24"/>
      <c r="BT141" s="72"/>
      <c r="BU141" s="24"/>
      <c r="BV141" s="72"/>
      <c r="BW141" s="24"/>
      <c r="BX141" s="72"/>
      <c r="BY141" s="24"/>
      <c r="BZ141" s="72"/>
      <c r="CA141" s="24"/>
      <c r="CB141" s="72"/>
      <c r="CC141" s="24"/>
      <c r="CD141" s="72"/>
      <c r="CE141" s="24"/>
      <c r="CF141" s="72"/>
      <c r="CG141" s="24"/>
      <c r="CH141" s="72"/>
      <c r="CI141" s="24"/>
      <c r="CJ141" s="72"/>
      <c r="CK141" s="24"/>
      <c r="CL141" s="72"/>
      <c r="CM141" s="24"/>
      <c r="CN141" s="72"/>
      <c r="CO141" s="24"/>
      <c r="CP141" s="72"/>
    </row>
    <row r="142" spans="1:94" x14ac:dyDescent="0.25">
      <c r="A142" s="45"/>
      <c r="B142" s="128"/>
      <c r="C142" s="153"/>
      <c r="D142" s="29"/>
      <c r="E142" s="24"/>
      <c r="F142" s="122">
        <v>30000</v>
      </c>
      <c r="G142" s="24" t="s">
        <v>7925</v>
      </c>
      <c r="H142" s="29"/>
      <c r="I142" s="24"/>
      <c r="J142" s="29">
        <v>2871.23</v>
      </c>
      <c r="K142" s="24" t="s">
        <v>8013</v>
      </c>
      <c r="L142" s="30">
        <v>7921</v>
      </c>
      <c r="M142" s="24" t="s">
        <v>8285</v>
      </c>
      <c r="N142" s="96">
        <v>100000</v>
      </c>
      <c r="O142" s="15" t="s">
        <v>8083</v>
      </c>
      <c r="P142" s="29"/>
      <c r="Q142" s="24"/>
      <c r="R142" s="29"/>
      <c r="S142" s="24"/>
      <c r="T142" s="29">
        <v>1970</v>
      </c>
      <c r="U142" s="24" t="s">
        <v>8201</v>
      </c>
      <c r="V142" s="29">
        <v>55000</v>
      </c>
      <c r="W142" s="24" t="s">
        <v>8242</v>
      </c>
      <c r="X142" s="29"/>
      <c r="Y142" s="24"/>
      <c r="Z142" s="122">
        <v>30000</v>
      </c>
      <c r="AA142" s="24" t="s">
        <v>8391</v>
      </c>
      <c r="AB142" s="29"/>
      <c r="AC142" s="24"/>
      <c r="AD142" s="29"/>
      <c r="AE142" s="85"/>
      <c r="AF142" s="94"/>
      <c r="AG142" s="85"/>
      <c r="AH142" s="94"/>
      <c r="AI142" s="24"/>
      <c r="AJ142" s="29">
        <v>2040</v>
      </c>
      <c r="AK142" s="85" t="s">
        <v>8590</v>
      </c>
      <c r="AL142" s="29">
        <v>13042.67</v>
      </c>
      <c r="AM142" s="24" t="s">
        <v>8614</v>
      </c>
      <c r="AN142" s="29"/>
      <c r="AO142" s="24"/>
      <c r="AP142" s="29">
        <v>47215.34</v>
      </c>
      <c r="AQ142" s="184" t="s">
        <v>8744</v>
      </c>
      <c r="AR142" s="29"/>
      <c r="AS142" s="24"/>
      <c r="AT142" s="100">
        <f>+SUM(AT132:AT141)</f>
        <v>520498.29</v>
      </c>
      <c r="AU142" s="15"/>
      <c r="AV142" s="105"/>
      <c r="AW142" s="106"/>
      <c r="AX142" s="105">
        <v>87439.98</v>
      </c>
      <c r="AY142" s="106" t="s">
        <v>8996</v>
      </c>
      <c r="AZ142" s="29">
        <v>1099.01</v>
      </c>
      <c r="BA142" s="24" t="s">
        <v>9072</v>
      </c>
      <c r="BB142" s="29">
        <v>18900</v>
      </c>
      <c r="BC142" s="24" t="s">
        <v>9125</v>
      </c>
      <c r="BD142" s="29"/>
      <c r="BE142" s="24"/>
      <c r="BF142" s="97">
        <f>+SUM(BF132:BF141)</f>
        <v>435116.7</v>
      </c>
      <c r="BG142" s="24"/>
      <c r="BH142" s="183"/>
      <c r="BI142" s="127"/>
      <c r="BJ142" s="72"/>
      <c r="BK142" s="24"/>
      <c r="BL142" s="72"/>
      <c r="BM142" s="24"/>
      <c r="BN142" s="72"/>
      <c r="BO142" s="24"/>
      <c r="BP142" s="72"/>
      <c r="BQ142" s="24"/>
      <c r="BR142" s="72"/>
      <c r="BS142" s="24"/>
      <c r="BT142" s="72"/>
      <c r="BU142" s="24"/>
      <c r="BV142" s="72"/>
      <c r="BW142" s="24"/>
      <c r="BX142" s="72"/>
      <c r="BY142" s="24"/>
      <c r="BZ142" s="72"/>
      <c r="CA142" s="24"/>
      <c r="CB142" s="72"/>
      <c r="CC142" s="24"/>
      <c r="CD142" s="72"/>
      <c r="CE142" s="24"/>
      <c r="CF142" s="72"/>
      <c r="CG142" s="24"/>
      <c r="CH142" s="72"/>
      <c r="CI142" s="24"/>
      <c r="CJ142" s="72"/>
      <c r="CK142" s="24"/>
      <c r="CL142" s="72"/>
      <c r="CM142" s="24"/>
      <c r="CN142" s="72"/>
      <c r="CO142" s="24"/>
      <c r="CP142" s="72"/>
    </row>
    <row r="143" spans="1:94" x14ac:dyDescent="0.25">
      <c r="A143" s="45"/>
      <c r="B143" s="128"/>
      <c r="C143" s="153"/>
      <c r="D143" s="94"/>
      <c r="E143" s="24"/>
      <c r="F143" s="122">
        <v>201500</v>
      </c>
      <c r="G143" s="24" t="s">
        <v>7927</v>
      </c>
      <c r="H143" s="29"/>
      <c r="I143" s="24"/>
      <c r="J143" s="29">
        <v>232</v>
      </c>
      <c r="K143" s="24" t="s">
        <v>8014</v>
      </c>
      <c r="L143" s="30">
        <v>54169</v>
      </c>
      <c r="M143" s="24" t="s">
        <v>8287</v>
      </c>
      <c r="N143" s="97">
        <f>+SUM(N132:N142)</f>
        <v>691478.92999999993</v>
      </c>
      <c r="O143" s="24"/>
      <c r="P143" s="29"/>
      <c r="Q143" s="24"/>
      <c r="R143" s="29"/>
      <c r="S143" s="15"/>
      <c r="T143" s="30">
        <v>1633</v>
      </c>
      <c r="U143" s="24" t="s">
        <v>8203</v>
      </c>
      <c r="V143" s="32">
        <f>226047.95+486852.05</f>
        <v>712900</v>
      </c>
      <c r="W143" s="24" t="s">
        <v>8243</v>
      </c>
      <c r="X143" s="32"/>
      <c r="Y143" s="24"/>
      <c r="Z143" s="122">
        <v>50000</v>
      </c>
      <c r="AA143" s="24" t="s">
        <v>8394</v>
      </c>
      <c r="AB143" s="31"/>
      <c r="AC143" s="24"/>
      <c r="AD143" s="29"/>
      <c r="AE143" s="85"/>
      <c r="AF143" s="29"/>
      <c r="AG143" s="24"/>
      <c r="AH143" s="96"/>
      <c r="AI143" s="15"/>
      <c r="AJ143" s="29">
        <v>2258.42</v>
      </c>
      <c r="AK143" s="85" t="s">
        <v>8596</v>
      </c>
      <c r="AL143" s="29">
        <v>229600</v>
      </c>
      <c r="AM143" s="24" t="s">
        <v>8616</v>
      </c>
      <c r="AN143" s="29">
        <v>50000</v>
      </c>
      <c r="AO143" s="24" t="s">
        <v>8672</v>
      </c>
      <c r="AP143" s="29">
        <v>76643.67</v>
      </c>
      <c r="AQ143" s="184" t="s">
        <v>8745</v>
      </c>
      <c r="AR143" s="29"/>
      <c r="AS143" s="24"/>
      <c r="AT143" s="29"/>
      <c r="AU143" s="24"/>
      <c r="AV143" s="29">
        <v>20000</v>
      </c>
      <c r="AW143" s="108" t="s">
        <v>8919</v>
      </c>
      <c r="AX143" s="131">
        <f>+SUM(AX136:AX142)</f>
        <v>279291.43</v>
      </c>
      <c r="AY143" s="106"/>
      <c r="AZ143" s="29">
        <v>2612</v>
      </c>
      <c r="BA143" s="24" t="s">
        <v>9084</v>
      </c>
      <c r="BB143" s="29">
        <v>2920</v>
      </c>
      <c r="BC143" s="24" t="s">
        <v>9128</v>
      </c>
      <c r="BD143" s="29"/>
      <c r="BE143" s="24"/>
      <c r="BF143" s="29"/>
      <c r="BG143" s="24"/>
      <c r="BH143" s="183"/>
      <c r="BI143" s="127"/>
      <c r="BJ143" s="72"/>
      <c r="BK143" s="24"/>
      <c r="BL143" s="72"/>
      <c r="BM143" s="24"/>
      <c r="BN143" s="72"/>
      <c r="BO143" s="24"/>
      <c r="BP143" s="72"/>
      <c r="BQ143" s="24"/>
      <c r="BR143" s="72"/>
      <c r="BS143" s="24"/>
      <c r="BT143" s="72"/>
      <c r="BU143" s="24"/>
      <c r="BV143" s="72"/>
      <c r="BW143" s="24"/>
      <c r="BX143" s="72"/>
      <c r="BY143" s="24"/>
      <c r="BZ143" s="72"/>
      <c r="CA143" s="24"/>
      <c r="CB143" s="72"/>
      <c r="CC143" s="24"/>
      <c r="CD143" s="72"/>
      <c r="CE143" s="24"/>
      <c r="CF143" s="72"/>
      <c r="CG143" s="24"/>
      <c r="CH143" s="72"/>
      <c r="CI143" s="24"/>
      <c r="CJ143" s="72"/>
      <c r="CK143" s="24"/>
      <c r="CL143" s="72"/>
      <c r="CM143" s="24"/>
      <c r="CN143" s="72"/>
      <c r="CO143" s="24"/>
      <c r="CP143" s="72"/>
    </row>
    <row r="144" spans="1:94" x14ac:dyDescent="0.25">
      <c r="A144" s="45"/>
      <c r="B144" s="128"/>
      <c r="C144" s="153"/>
      <c r="D144" s="29"/>
      <c r="E144" s="24"/>
      <c r="F144" s="122">
        <v>1099</v>
      </c>
      <c r="G144" s="24" t="s">
        <v>7932</v>
      </c>
      <c r="H144" s="29"/>
      <c r="I144" s="24"/>
      <c r="J144" s="29">
        <v>230000</v>
      </c>
      <c r="K144" s="24" t="s">
        <v>8016</v>
      </c>
      <c r="L144" s="30">
        <v>14666.66</v>
      </c>
      <c r="M144" s="24" t="s">
        <v>8288</v>
      </c>
      <c r="N144" s="29"/>
      <c r="O144" s="24"/>
      <c r="P144" s="94"/>
      <c r="Q144" s="24"/>
      <c r="R144" s="29"/>
      <c r="S144" s="24"/>
      <c r="T144" s="94">
        <v>1169</v>
      </c>
      <c r="U144" s="24" t="s">
        <v>8206</v>
      </c>
      <c r="V144" s="32">
        <v>5374.22</v>
      </c>
      <c r="W144" s="24" t="s">
        <v>8246</v>
      </c>
      <c r="X144" s="32"/>
      <c r="Y144" s="24"/>
      <c r="Z144" s="122">
        <v>10000</v>
      </c>
      <c r="AA144" s="24" t="s">
        <v>8393</v>
      </c>
      <c r="AB144" s="29"/>
      <c r="AC144" s="24"/>
      <c r="AD144" s="31"/>
      <c r="AE144" s="85"/>
      <c r="AF144" s="29"/>
      <c r="AG144" s="24"/>
      <c r="AH144" s="96"/>
      <c r="AI144" s="15"/>
      <c r="AJ144" s="97">
        <f>+SUM(AJ137:AJ143)</f>
        <v>21772.43</v>
      </c>
      <c r="AK144" s="85"/>
      <c r="AL144" s="29">
        <v>275000</v>
      </c>
      <c r="AM144" s="24" t="s">
        <v>8622</v>
      </c>
      <c r="AN144" s="29">
        <v>3828</v>
      </c>
      <c r="AO144" s="24" t="s">
        <v>8674</v>
      </c>
      <c r="AP144" s="29">
        <v>2040</v>
      </c>
      <c r="AQ144" s="184" t="s">
        <v>8748</v>
      </c>
      <c r="AR144" s="29"/>
      <c r="AS144" s="24"/>
      <c r="AT144" s="29">
        <v>3200</v>
      </c>
      <c r="AU144" s="24" t="s">
        <v>8863</v>
      </c>
      <c r="AV144" s="30">
        <v>10000</v>
      </c>
      <c r="AW144" s="106" t="s">
        <v>8920</v>
      </c>
      <c r="AX144" s="105"/>
      <c r="AY144" s="106"/>
      <c r="AZ144" s="97">
        <f>+SUM(AZ134:AZ143)</f>
        <v>283134.7</v>
      </c>
      <c r="BA144" s="24"/>
      <c r="BB144" s="97">
        <f>+BB141+BB142+BB143</f>
        <v>85431.43</v>
      </c>
      <c r="BC144" s="24"/>
      <c r="BD144" s="29"/>
      <c r="BE144" s="24"/>
      <c r="BF144" s="29"/>
      <c r="BG144" s="24"/>
      <c r="BH144" s="96"/>
      <c r="BI144" s="15"/>
      <c r="BJ144" s="72"/>
      <c r="BK144" s="24"/>
      <c r="BL144" s="72"/>
      <c r="BM144" s="24"/>
      <c r="BN144" s="72"/>
      <c r="BO144" s="24"/>
      <c r="BP144" s="72"/>
      <c r="BQ144" s="24"/>
      <c r="BR144" s="72"/>
      <c r="BS144" s="24"/>
      <c r="BT144" s="72"/>
      <c r="BU144" s="24"/>
      <c r="BV144" s="72"/>
      <c r="BW144" s="24"/>
      <c r="BX144" s="72"/>
      <c r="BY144" s="24"/>
      <c r="BZ144" s="72"/>
      <c r="CA144" s="24"/>
      <c r="CB144" s="72"/>
      <c r="CC144" s="24"/>
      <c r="CD144" s="72"/>
      <c r="CE144" s="24"/>
      <c r="CF144" s="72"/>
      <c r="CG144" s="24"/>
      <c r="CH144" s="72"/>
      <c r="CI144" s="24"/>
      <c r="CJ144" s="72"/>
      <c r="CK144" s="24"/>
      <c r="CL144" s="72"/>
      <c r="CM144" s="24"/>
      <c r="CN144" s="72"/>
      <c r="CO144" s="24"/>
      <c r="CP144" s="72"/>
    </row>
    <row r="145" spans="1:94" x14ac:dyDescent="0.25">
      <c r="A145" s="45"/>
      <c r="B145" s="128"/>
      <c r="C145" s="153"/>
      <c r="D145" s="29"/>
      <c r="E145" s="24"/>
      <c r="F145" s="122">
        <v>3169</v>
      </c>
      <c r="G145" s="24" t="s">
        <v>7939</v>
      </c>
      <c r="H145" s="31"/>
      <c r="I145" s="15"/>
      <c r="J145" s="31">
        <v>50000</v>
      </c>
      <c r="K145" s="15" t="s">
        <v>8017</v>
      </c>
      <c r="L145" s="29">
        <v>7472</v>
      </c>
      <c r="M145" s="24" t="s">
        <v>8289</v>
      </c>
      <c r="N145" s="29">
        <v>20000</v>
      </c>
      <c r="O145" s="24" t="s">
        <v>8109</v>
      </c>
      <c r="P145" s="32"/>
      <c r="Q145" s="24"/>
      <c r="R145" s="32"/>
      <c r="S145" s="24"/>
      <c r="T145" s="104">
        <v>1519</v>
      </c>
      <c r="U145" s="24" t="s">
        <v>8207</v>
      </c>
      <c r="V145" s="29">
        <v>143761.54999999999</v>
      </c>
      <c r="W145" s="24" t="s">
        <v>8248</v>
      </c>
      <c r="X145" s="29"/>
      <c r="Y145" s="24"/>
      <c r="Z145" s="122">
        <v>1169</v>
      </c>
      <c r="AA145" s="24" t="s">
        <v>8396</v>
      </c>
      <c r="AB145" s="94"/>
      <c r="AC145" s="24"/>
      <c r="AD145" s="31"/>
      <c r="AE145" s="85"/>
      <c r="AF145" s="29"/>
      <c r="AG145" s="24"/>
      <c r="AH145" s="29"/>
      <c r="AI145" s="24"/>
      <c r="AJ145" s="29"/>
      <c r="AK145" s="85"/>
      <c r="AL145" s="29">
        <v>4169</v>
      </c>
      <c r="AM145" s="24" t="s">
        <v>8636</v>
      </c>
      <c r="AN145" s="29">
        <v>140000</v>
      </c>
      <c r="AO145" s="24" t="s">
        <v>8679</v>
      </c>
      <c r="AP145" s="29">
        <v>16085</v>
      </c>
      <c r="AQ145" s="184" t="s">
        <v>8757</v>
      </c>
      <c r="AR145" s="29"/>
      <c r="AS145" s="24"/>
      <c r="AT145" s="96">
        <v>261600</v>
      </c>
      <c r="AU145" s="15" t="s">
        <v>8864</v>
      </c>
      <c r="AV145" s="29">
        <v>10000</v>
      </c>
      <c r="AW145" s="108" t="s">
        <v>8921</v>
      </c>
      <c r="AX145" s="29"/>
      <c r="AY145" s="108"/>
      <c r="AZ145" s="30"/>
      <c r="BA145" s="24"/>
      <c r="BB145" s="29"/>
      <c r="BC145" s="24"/>
      <c r="BD145" s="29"/>
      <c r="BE145" s="24"/>
      <c r="BF145" s="29"/>
      <c r="BG145" s="24"/>
      <c r="BH145" s="96"/>
      <c r="BI145" s="15"/>
      <c r="BJ145" s="72"/>
      <c r="BK145" s="24"/>
      <c r="BL145" s="72"/>
      <c r="BM145" s="24"/>
      <c r="BN145" s="72"/>
      <c r="BO145" s="24"/>
      <c r="BP145" s="24"/>
      <c r="BQ145" s="24"/>
      <c r="BR145" s="72"/>
      <c r="BS145" s="24"/>
      <c r="BT145" s="72"/>
      <c r="BU145" s="24"/>
      <c r="BV145" s="72"/>
      <c r="BW145" s="24"/>
      <c r="BX145" s="72"/>
      <c r="BY145" s="24"/>
      <c r="BZ145" s="72"/>
      <c r="CA145" s="24"/>
      <c r="CB145" s="72"/>
      <c r="CC145" s="24"/>
      <c r="CD145" s="72"/>
      <c r="CE145" s="24"/>
      <c r="CF145" s="72"/>
      <c r="CG145" s="24"/>
      <c r="CH145" s="72"/>
      <c r="CI145" s="24"/>
      <c r="CJ145" s="72"/>
      <c r="CK145" s="24"/>
      <c r="CL145" s="72"/>
      <c r="CM145" s="24"/>
      <c r="CN145" s="72"/>
      <c r="CO145" s="24"/>
      <c r="CP145" s="72"/>
    </row>
    <row r="146" spans="1:94" x14ac:dyDescent="0.25">
      <c r="A146" s="41"/>
      <c r="B146" s="116"/>
      <c r="C146" s="24"/>
      <c r="D146" s="96"/>
      <c r="E146" s="26"/>
      <c r="F146" s="104">
        <v>2895</v>
      </c>
      <c r="G146" s="15" t="s">
        <v>7940</v>
      </c>
      <c r="H146" s="101"/>
      <c r="I146" s="57"/>
      <c r="J146" s="101">
        <v>13548.3</v>
      </c>
      <c r="K146" s="57" t="s">
        <v>8020</v>
      </c>
      <c r="L146" s="30">
        <v>64300</v>
      </c>
      <c r="M146" s="15" t="s">
        <v>8290</v>
      </c>
      <c r="N146" s="30">
        <v>158764.47</v>
      </c>
      <c r="O146" s="15" t="s">
        <v>8110</v>
      </c>
      <c r="P146" s="30"/>
      <c r="Q146" s="15"/>
      <c r="R146" s="30"/>
      <c r="S146" s="15"/>
      <c r="T146" s="96">
        <v>1169</v>
      </c>
      <c r="U146" s="15" t="s">
        <v>8208</v>
      </c>
      <c r="V146" s="30">
        <v>567055</v>
      </c>
      <c r="W146" s="15" t="s">
        <v>8250</v>
      </c>
      <c r="X146" s="30"/>
      <c r="Y146" s="15"/>
      <c r="Z146" s="96">
        <v>1169</v>
      </c>
      <c r="AA146" s="15" t="s">
        <v>8414</v>
      </c>
      <c r="AB146" s="98"/>
      <c r="AC146" s="15"/>
      <c r="AD146" s="31"/>
      <c r="AE146" s="86"/>
      <c r="AF146" s="29"/>
      <c r="AG146" s="24"/>
      <c r="AH146" s="30"/>
      <c r="AI146" s="15"/>
      <c r="AJ146" s="30"/>
      <c r="AK146" s="15"/>
      <c r="AL146" s="30">
        <v>2953</v>
      </c>
      <c r="AM146" s="15" t="s">
        <v>8639</v>
      </c>
      <c r="AN146" s="30">
        <v>1169</v>
      </c>
      <c r="AO146" s="15" t="s">
        <v>8685</v>
      </c>
      <c r="AP146" s="30">
        <v>3250</v>
      </c>
      <c r="AQ146" s="185" t="s">
        <v>8764</v>
      </c>
      <c r="AR146" s="30"/>
      <c r="AS146" s="15"/>
      <c r="AT146" s="94">
        <v>148536</v>
      </c>
      <c r="AU146" s="24" t="s">
        <v>8866</v>
      </c>
      <c r="AV146" s="30">
        <v>400000</v>
      </c>
      <c r="AW146" s="106" t="s">
        <v>8922</v>
      </c>
      <c r="AX146" s="30"/>
      <c r="AY146" s="106"/>
      <c r="AZ146" s="30"/>
      <c r="BA146" s="15"/>
      <c r="BB146" s="30"/>
      <c r="BC146" s="15"/>
      <c r="BD146" s="98"/>
      <c r="BE146" s="15"/>
      <c r="BF146" s="30"/>
      <c r="BG146" s="15"/>
      <c r="BH146" s="183"/>
      <c r="BI146" s="127"/>
      <c r="BJ146" s="72"/>
      <c r="BK146" s="15"/>
      <c r="BL146" s="9"/>
      <c r="BM146" s="15"/>
      <c r="BN146" s="9"/>
      <c r="BO146" s="15"/>
      <c r="BP146" s="9"/>
      <c r="BQ146" s="15"/>
      <c r="BR146" s="9"/>
      <c r="BS146" s="15"/>
      <c r="BT146" s="9"/>
      <c r="BU146" s="15"/>
      <c r="BV146" s="9"/>
      <c r="BW146" s="15"/>
      <c r="BX146" s="9"/>
      <c r="BY146" s="15"/>
      <c r="BZ146" s="9"/>
      <c r="CA146" s="15"/>
      <c r="CB146" s="9"/>
      <c r="CC146" s="15"/>
      <c r="CD146" s="9"/>
      <c r="CE146" s="15"/>
      <c r="CF146" s="9"/>
      <c r="CG146" s="15"/>
      <c r="CH146" s="9"/>
      <c r="CI146" s="15"/>
      <c r="CJ146" s="9"/>
      <c r="CK146" s="15"/>
      <c r="CL146" s="9"/>
      <c r="CM146" s="15"/>
      <c r="CN146" s="9"/>
      <c r="CO146" s="15"/>
      <c r="CP146" s="9"/>
    </row>
    <row r="147" spans="1:94" x14ac:dyDescent="0.25">
      <c r="A147" s="50"/>
      <c r="B147" s="104"/>
      <c r="C147" s="24"/>
      <c r="D147" s="32"/>
      <c r="E147" s="57"/>
      <c r="F147" s="165">
        <v>1169</v>
      </c>
      <c r="G147" s="57" t="s">
        <v>7941</v>
      </c>
      <c r="H147" s="32"/>
      <c r="I147" s="24"/>
      <c r="J147" s="31">
        <v>135000</v>
      </c>
      <c r="K147" s="24" t="s">
        <v>8021</v>
      </c>
      <c r="L147" s="104">
        <v>10330.16</v>
      </c>
      <c r="M147" s="57" t="s">
        <v>8294</v>
      </c>
      <c r="N147" s="29">
        <v>2040</v>
      </c>
      <c r="O147" s="57" t="s">
        <v>8114</v>
      </c>
      <c r="P147" s="63"/>
      <c r="Q147" s="57"/>
      <c r="R147" s="101"/>
      <c r="S147" s="57"/>
      <c r="T147" s="165">
        <v>4465</v>
      </c>
      <c r="U147" s="57" t="s">
        <v>8209</v>
      </c>
      <c r="V147" s="63">
        <v>1169</v>
      </c>
      <c r="W147" s="57" t="s">
        <v>8255</v>
      </c>
      <c r="X147" s="63"/>
      <c r="Y147" s="57"/>
      <c r="Z147" s="165">
        <v>2890</v>
      </c>
      <c r="AA147" s="57" t="s">
        <v>8416</v>
      </c>
      <c r="AB147" s="63"/>
      <c r="AC147" s="57"/>
      <c r="AD147" s="31"/>
      <c r="AE147" s="86"/>
      <c r="AF147" s="29"/>
      <c r="AG147" s="24"/>
      <c r="AH147" s="101"/>
      <c r="AI147" s="57"/>
      <c r="AJ147" s="63"/>
      <c r="AK147" s="57"/>
      <c r="AL147" s="101">
        <v>1089.75</v>
      </c>
      <c r="AM147" s="57" t="s">
        <v>8647</v>
      </c>
      <c r="AN147" s="29">
        <v>6228.84</v>
      </c>
      <c r="AO147" s="57" t="s">
        <v>8692</v>
      </c>
      <c r="AP147" s="101">
        <v>3250</v>
      </c>
      <c r="AQ147" s="186" t="s">
        <v>8768</v>
      </c>
      <c r="AR147" s="101"/>
      <c r="AS147" s="57"/>
      <c r="AT147" s="98">
        <v>200000</v>
      </c>
      <c r="AU147" s="57" t="s">
        <v>8867</v>
      </c>
      <c r="AV147" s="29">
        <v>60000</v>
      </c>
      <c r="AW147" s="108" t="s">
        <v>8923</v>
      </c>
      <c r="AX147" s="29"/>
      <c r="AY147" s="108"/>
      <c r="AZ147" s="96"/>
      <c r="BA147" s="26"/>
      <c r="BB147" s="101"/>
      <c r="BC147" s="57"/>
      <c r="BD147" s="101"/>
      <c r="BE147" s="57"/>
      <c r="BF147" s="101"/>
      <c r="BG147" s="57"/>
      <c r="BH147" s="183"/>
      <c r="BI147" s="127"/>
      <c r="BJ147" s="73"/>
      <c r="BK147" s="57"/>
      <c r="BL147" s="73"/>
      <c r="BM147" s="57"/>
      <c r="BN147" s="57"/>
      <c r="BO147" s="57"/>
      <c r="BP147" s="73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</row>
    <row r="148" spans="1:94" x14ac:dyDescent="0.25">
      <c r="A148" s="46"/>
      <c r="B148" s="114"/>
      <c r="C148" s="13"/>
      <c r="D148" s="31"/>
      <c r="E148" s="24"/>
      <c r="F148" s="104">
        <v>3624</v>
      </c>
      <c r="G148" s="24" t="s">
        <v>7942</v>
      </c>
      <c r="H148" s="32"/>
      <c r="I148" s="24"/>
      <c r="J148" s="31">
        <v>2925</v>
      </c>
      <c r="K148" s="24" t="s">
        <v>8033</v>
      </c>
      <c r="L148" s="104">
        <v>1169</v>
      </c>
      <c r="M148" s="24" t="s">
        <v>8300</v>
      </c>
      <c r="N148" s="31">
        <v>1652.62</v>
      </c>
      <c r="O148" s="24" t="s">
        <v>8118</v>
      </c>
      <c r="P148" s="31"/>
      <c r="Q148" s="24"/>
      <c r="R148" s="31"/>
      <c r="S148" s="24"/>
      <c r="T148" s="104">
        <v>1169</v>
      </c>
      <c r="U148" s="24" t="s">
        <v>8211</v>
      </c>
      <c r="V148" s="31">
        <v>6137.17</v>
      </c>
      <c r="W148" s="24" t="s">
        <v>8259</v>
      </c>
      <c r="X148" s="31"/>
      <c r="Y148" s="24"/>
      <c r="Z148" s="104">
        <v>1000</v>
      </c>
      <c r="AA148" s="24" t="s">
        <v>8417</v>
      </c>
      <c r="AB148" s="31"/>
      <c r="AC148" s="24"/>
      <c r="AD148" s="31"/>
      <c r="AE148" s="85"/>
      <c r="AF148" s="29"/>
      <c r="AG148" s="24"/>
      <c r="AH148" s="32"/>
      <c r="AI148" s="24"/>
      <c r="AJ148" s="31"/>
      <c r="AK148" s="24"/>
      <c r="AL148" s="148">
        <f>+SUM(AL139:AL147)</f>
        <v>731596.46</v>
      </c>
      <c r="AM148" s="24"/>
      <c r="AN148" s="31">
        <v>1099</v>
      </c>
      <c r="AO148" s="24" t="s">
        <v>8693</v>
      </c>
      <c r="AP148" s="31">
        <v>66.040000000000006</v>
      </c>
      <c r="AQ148" s="184" t="s">
        <v>8777</v>
      </c>
      <c r="AR148" s="31"/>
      <c r="AS148" s="24"/>
      <c r="AT148" s="30">
        <v>100000</v>
      </c>
      <c r="AU148" s="24" t="s">
        <v>8868</v>
      </c>
      <c r="AV148" s="78">
        <v>100000</v>
      </c>
      <c r="AW148" s="106" t="s">
        <v>8925</v>
      </c>
      <c r="AX148" s="78"/>
      <c r="AY148" s="106"/>
      <c r="AZ148" s="32"/>
      <c r="BA148" s="24"/>
      <c r="BB148" s="206"/>
      <c r="BC148" s="24"/>
      <c r="BD148" s="104"/>
      <c r="BE148" s="24"/>
      <c r="BF148" s="104"/>
      <c r="BG148" s="24"/>
      <c r="BH148" s="183"/>
      <c r="BI148" s="127"/>
      <c r="BJ148" s="72"/>
      <c r="BK148" s="24"/>
      <c r="BL148" s="72"/>
      <c r="BM148" s="24"/>
      <c r="BN148" s="72"/>
      <c r="BO148" s="24"/>
      <c r="BP148" s="72"/>
      <c r="BQ148" s="24"/>
      <c r="BR148" s="72"/>
      <c r="BS148" s="24"/>
      <c r="BT148" s="72"/>
      <c r="BU148" s="24"/>
      <c r="BV148" s="72"/>
      <c r="BW148" s="24"/>
      <c r="BX148" s="72"/>
      <c r="BY148" s="24"/>
      <c r="BZ148" s="72"/>
      <c r="CA148" s="24"/>
      <c r="CB148" s="72"/>
      <c r="CC148" s="24"/>
      <c r="CD148" s="72"/>
      <c r="CE148" s="24"/>
      <c r="CF148" s="72"/>
      <c r="CG148" s="24"/>
      <c r="CH148" s="72"/>
      <c r="CI148" s="24"/>
      <c r="CJ148" s="72"/>
      <c r="CK148" s="24"/>
      <c r="CL148" s="72"/>
      <c r="CM148" s="24"/>
      <c r="CN148" s="72"/>
      <c r="CO148" s="24"/>
      <c r="CP148" s="72"/>
    </row>
    <row r="149" spans="1:94" x14ac:dyDescent="0.25">
      <c r="A149" s="46"/>
      <c r="B149" s="96"/>
      <c r="C149" s="15"/>
      <c r="D149" s="31"/>
      <c r="E149" s="24"/>
      <c r="F149" s="104">
        <v>1099</v>
      </c>
      <c r="G149" s="24" t="s">
        <v>7945</v>
      </c>
      <c r="H149" s="31"/>
      <c r="I149" s="24"/>
      <c r="J149" s="104">
        <v>1169</v>
      </c>
      <c r="K149" s="24" t="s">
        <v>8034</v>
      </c>
      <c r="L149" s="31">
        <v>2770</v>
      </c>
      <c r="M149" s="24" t="s">
        <v>8308</v>
      </c>
      <c r="N149" s="31">
        <v>1960.19</v>
      </c>
      <c r="O149" s="24" t="s">
        <v>8119</v>
      </c>
      <c r="P149" s="31"/>
      <c r="Q149" s="24"/>
      <c r="R149" s="31"/>
      <c r="S149" s="24"/>
      <c r="T149" s="104">
        <v>4465</v>
      </c>
      <c r="U149" s="24" t="s">
        <v>8213</v>
      </c>
      <c r="V149" s="31">
        <v>4731.62</v>
      </c>
      <c r="W149" s="24" t="s">
        <v>8261</v>
      </c>
      <c r="X149" s="31"/>
      <c r="Y149" s="24"/>
      <c r="Z149" s="115">
        <f>+SUM(Z141:Z148)</f>
        <v>255028</v>
      </c>
      <c r="AA149" s="24"/>
      <c r="AB149" s="31"/>
      <c r="AC149" s="24"/>
      <c r="AD149" s="31"/>
      <c r="AE149" s="24"/>
      <c r="AF149" s="29"/>
      <c r="AG149" s="24"/>
      <c r="AH149" s="32"/>
      <c r="AI149" s="24"/>
      <c r="AJ149" s="31"/>
      <c r="AK149" s="24"/>
      <c r="AL149" s="32"/>
      <c r="AM149" s="24"/>
      <c r="AN149" s="31">
        <f>1302.28+8139.24</f>
        <v>9441.52</v>
      </c>
      <c r="AO149" s="24" t="s">
        <v>8710</v>
      </c>
      <c r="AP149" s="104">
        <v>12997.1</v>
      </c>
      <c r="AQ149" s="185" t="s">
        <v>8778</v>
      </c>
      <c r="AR149" s="31"/>
      <c r="AS149" s="24"/>
      <c r="AT149" s="104">
        <v>2517</v>
      </c>
      <c r="AU149" s="26" t="s">
        <v>8869</v>
      </c>
      <c r="AV149" s="78">
        <v>15452.15</v>
      </c>
      <c r="AW149" s="106" t="s">
        <v>8927</v>
      </c>
      <c r="AX149" s="78"/>
      <c r="AY149" s="106"/>
      <c r="AZ149" s="31"/>
      <c r="BA149" s="24"/>
      <c r="BB149" s="104"/>
      <c r="BC149" s="24"/>
      <c r="BD149" s="104"/>
      <c r="BE149" s="24"/>
      <c r="BF149" s="104"/>
      <c r="BG149" s="24"/>
      <c r="BH149" s="183"/>
      <c r="BI149" s="127"/>
      <c r="BJ149" s="72"/>
      <c r="BK149" s="24"/>
      <c r="BL149" s="72"/>
      <c r="BM149" s="24"/>
      <c r="BN149" s="72"/>
      <c r="BO149" s="24"/>
      <c r="BP149" s="72"/>
      <c r="BQ149" s="24"/>
      <c r="BR149" s="72"/>
      <c r="BS149" s="24"/>
      <c r="BT149" s="72"/>
      <c r="BU149" s="24"/>
      <c r="BV149" s="72"/>
      <c r="BW149" s="24"/>
      <c r="BX149" s="72"/>
      <c r="BY149" s="24"/>
      <c r="BZ149" s="72"/>
      <c r="CA149" s="24"/>
      <c r="CB149" s="72"/>
      <c r="CC149" s="24"/>
      <c r="CD149" s="72"/>
      <c r="CE149" s="24"/>
      <c r="CF149" s="72"/>
      <c r="CG149" s="24"/>
      <c r="CH149" s="72"/>
      <c r="CI149" s="24"/>
      <c r="CJ149" s="72"/>
      <c r="CK149" s="24"/>
      <c r="CL149" s="72"/>
      <c r="CM149" s="24"/>
      <c r="CN149" s="72"/>
      <c r="CO149" s="24"/>
      <c r="CP149" s="72"/>
    </row>
    <row r="150" spans="1:94" x14ac:dyDescent="0.25">
      <c r="B150" s="24"/>
      <c r="C150" s="24"/>
      <c r="D150" s="127"/>
      <c r="E150" s="127"/>
      <c r="F150" s="151">
        <f>+SUM(F138:F149)</f>
        <v>827003.08000000007</v>
      </c>
      <c r="G150" s="24"/>
      <c r="H150" s="127"/>
      <c r="I150" s="127"/>
      <c r="J150" s="151">
        <f>+SUM(J142:J149)</f>
        <v>435745.52999999997</v>
      </c>
      <c r="K150" s="24"/>
      <c r="L150" s="151">
        <f>+SUM(L137:L149)</f>
        <v>537084.78</v>
      </c>
      <c r="M150" s="127"/>
      <c r="N150" s="151">
        <f>+SUM(N145:N149)</f>
        <v>184417.28</v>
      </c>
      <c r="O150" s="127"/>
      <c r="P150" s="120"/>
      <c r="Q150" s="120"/>
      <c r="R150" s="146"/>
      <c r="S150" s="120"/>
      <c r="T150" s="173">
        <f>5500-5268</f>
        <v>232</v>
      </c>
      <c r="U150" s="24" t="s">
        <v>8214</v>
      </c>
      <c r="V150" s="128">
        <v>1169</v>
      </c>
      <c r="W150" s="24" t="s">
        <v>8264</v>
      </c>
      <c r="X150" s="120"/>
      <c r="Y150" s="120"/>
      <c r="Z150" s="183"/>
      <c r="AA150" s="24"/>
      <c r="AB150" s="31"/>
      <c r="AC150" s="24"/>
      <c r="AD150" s="31"/>
      <c r="AE150" s="85"/>
      <c r="AF150" s="29"/>
      <c r="AG150" s="24"/>
      <c r="AH150" s="96"/>
      <c r="AI150" s="127"/>
      <c r="AJ150" s="120"/>
      <c r="AK150" s="120"/>
      <c r="AL150" s="120"/>
      <c r="AM150" s="120"/>
      <c r="AN150" s="151">
        <f>+SUM(AN143:AN149)</f>
        <v>211766.36</v>
      </c>
      <c r="AO150" s="120"/>
      <c r="AP150" s="242">
        <f>+SUM(AP138:AP149)</f>
        <v>281067.69999999995</v>
      </c>
      <c r="AQ150" s="189"/>
      <c r="AR150" s="30"/>
      <c r="AS150" s="24"/>
      <c r="AT150" s="96">
        <v>13716.04</v>
      </c>
      <c r="AU150" s="120" t="s">
        <v>8874</v>
      </c>
      <c r="AV150" s="150">
        <v>60439.21</v>
      </c>
      <c r="AW150" s="106" t="s">
        <v>8928</v>
      </c>
      <c r="AX150" s="208"/>
      <c r="AY150" s="120"/>
      <c r="AZ150" s="96"/>
      <c r="BA150" s="26"/>
      <c r="BB150" s="128"/>
      <c r="BC150" s="24"/>
      <c r="BD150" s="128"/>
      <c r="BE150" s="24"/>
      <c r="BF150" s="227"/>
      <c r="BG150" s="24"/>
      <c r="BH150" s="183"/>
      <c r="BI150" s="127"/>
      <c r="BJ150" s="127"/>
      <c r="BK150" s="24"/>
      <c r="BL150" s="127"/>
      <c r="BM150" s="24"/>
      <c r="BN150" s="127"/>
      <c r="BO150" s="127"/>
      <c r="BP150" s="236"/>
      <c r="BQ150" s="127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</row>
    <row r="151" spans="1:94" x14ac:dyDescent="0.25">
      <c r="B151" s="24"/>
      <c r="C151" s="24"/>
      <c r="D151" s="127"/>
      <c r="E151" s="127"/>
      <c r="F151" s="237"/>
      <c r="G151" s="127"/>
      <c r="H151" s="127"/>
      <c r="I151" s="239"/>
      <c r="J151" s="9"/>
      <c r="K151" s="15"/>
      <c r="L151" s="127"/>
      <c r="M151" s="127"/>
      <c r="N151" s="127"/>
      <c r="O151" s="127"/>
      <c r="P151" s="120"/>
      <c r="Q151" s="120"/>
      <c r="R151" s="120"/>
      <c r="S151" s="120"/>
      <c r="T151" s="173">
        <v>5268</v>
      </c>
      <c r="U151" s="24" t="s">
        <v>8220</v>
      </c>
      <c r="V151" s="128">
        <v>2789</v>
      </c>
      <c r="W151" s="24" t="s">
        <v>8265</v>
      </c>
      <c r="X151" s="120"/>
      <c r="Y151" s="120"/>
      <c r="Z151" s="238"/>
      <c r="AA151" s="24"/>
      <c r="AB151" s="24"/>
      <c r="AC151" s="24"/>
      <c r="AD151" s="237"/>
      <c r="AE151" s="127"/>
      <c r="AF151" s="127"/>
      <c r="AG151" s="24"/>
      <c r="AH151" s="179"/>
      <c r="AI151" s="127"/>
      <c r="AJ151" s="120"/>
      <c r="AK151" s="120"/>
      <c r="AL151" s="120"/>
      <c r="AM151" s="120"/>
      <c r="AN151" s="150"/>
      <c r="AO151" s="120"/>
      <c r="AP151" s="183"/>
      <c r="AQ151" s="189"/>
      <c r="AR151" s="98"/>
      <c r="AS151" s="24"/>
      <c r="AT151" s="244">
        <v>3250</v>
      </c>
      <c r="AU151" s="120" t="s">
        <v>8878</v>
      </c>
      <c r="AV151" s="199">
        <v>25449.7</v>
      </c>
      <c r="AW151" s="106" t="s">
        <v>8929</v>
      </c>
      <c r="AX151" s="120"/>
      <c r="AY151" s="120"/>
      <c r="AZ151" s="146"/>
      <c r="BA151" s="120"/>
      <c r="BB151" s="128"/>
      <c r="BC151" s="24"/>
      <c r="BD151" s="128"/>
      <c r="BE151" s="24"/>
      <c r="BF151" s="208"/>
      <c r="BG151" s="24"/>
      <c r="BH151" s="183"/>
      <c r="BI151" s="127"/>
      <c r="BJ151" s="9"/>
      <c r="BK151" s="15"/>
      <c r="BL151" s="127"/>
      <c r="BM151" s="24"/>
      <c r="BN151" s="127"/>
      <c r="BO151" s="127"/>
      <c r="BP151" s="127"/>
      <c r="BQ151" s="127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</row>
    <row r="152" spans="1:94" x14ac:dyDescent="0.25">
      <c r="B152" s="24"/>
      <c r="C152" s="24"/>
      <c r="D152" s="127"/>
      <c r="E152" s="127"/>
      <c r="F152" s="127"/>
      <c r="G152" s="127"/>
      <c r="H152" s="127"/>
      <c r="I152" s="127"/>
      <c r="J152" s="237"/>
      <c r="K152" s="127"/>
      <c r="L152" s="127"/>
      <c r="M152" s="127"/>
      <c r="N152" s="127"/>
      <c r="O152" s="127"/>
      <c r="P152" s="120"/>
      <c r="Q152" s="120"/>
      <c r="R152" s="120"/>
      <c r="S152" s="120"/>
      <c r="T152" s="241">
        <f>+SUM(T134:T151)</f>
        <v>1043774.5700000001</v>
      </c>
      <c r="U152" s="24"/>
      <c r="V152" s="128">
        <v>4135</v>
      </c>
      <c r="W152" s="24" t="s">
        <v>8275</v>
      </c>
      <c r="X152" s="120"/>
      <c r="Y152" s="120"/>
      <c r="Z152" s="238"/>
      <c r="AA152" s="24"/>
      <c r="AB152" s="72"/>
      <c r="AC152" s="127"/>
      <c r="AD152" s="127"/>
      <c r="AE152" s="127"/>
      <c r="AF152" s="127"/>
      <c r="AG152" s="24"/>
      <c r="AH152" s="128"/>
      <c r="AI152" s="120"/>
      <c r="AJ152" s="120"/>
      <c r="AK152" s="120"/>
      <c r="AL152" s="120"/>
      <c r="AM152" s="120"/>
      <c r="AN152" s="128"/>
      <c r="AO152" s="120"/>
      <c r="AP152" s="128"/>
      <c r="AQ152" s="189"/>
      <c r="AR152" s="32"/>
      <c r="AS152" s="127"/>
      <c r="AT152" s="245">
        <f>5173</f>
        <v>5173</v>
      </c>
      <c r="AU152" s="120" t="s">
        <v>8881</v>
      </c>
      <c r="AV152" s="146">
        <v>26342.46</v>
      </c>
      <c r="AW152" s="106" t="s">
        <v>8930</v>
      </c>
      <c r="AX152" s="120"/>
      <c r="AY152" s="120"/>
      <c r="AZ152" s="128"/>
      <c r="BA152" s="120"/>
      <c r="BB152" s="128"/>
      <c r="BC152" s="24"/>
      <c r="BD152" s="128"/>
      <c r="BE152" s="24"/>
      <c r="BF152" s="128"/>
      <c r="BG152" s="24"/>
      <c r="BH152" s="183"/>
      <c r="BI152" s="153"/>
      <c r="BJ152" s="237"/>
      <c r="BK152" s="127"/>
      <c r="BL152" s="127"/>
      <c r="BM152" s="24"/>
      <c r="BN152" s="127"/>
      <c r="BO152" s="127"/>
      <c r="BP152" s="127"/>
      <c r="BQ152" s="127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</row>
    <row r="153" spans="1:94" x14ac:dyDescent="0.25">
      <c r="B153" s="24"/>
      <c r="C153" s="24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0"/>
      <c r="Q153" s="120"/>
      <c r="R153" s="120"/>
      <c r="S153" s="120"/>
      <c r="T153" s="173"/>
      <c r="U153" s="24"/>
      <c r="V153" s="151">
        <f>+SUM(V141:V152)</f>
        <v>1531009.39</v>
      </c>
      <c r="W153" s="120"/>
      <c r="X153" s="120"/>
      <c r="Y153" s="120"/>
      <c r="Z153" s="238"/>
      <c r="AA153" s="24"/>
      <c r="AB153" s="127"/>
      <c r="AC153" s="127"/>
      <c r="AD153" s="127"/>
      <c r="AE153" s="127"/>
      <c r="AF153" s="127"/>
      <c r="AG153" s="24"/>
      <c r="AH153" s="128"/>
      <c r="AI153" s="127"/>
      <c r="AJ153" s="120"/>
      <c r="AK153" s="120"/>
      <c r="AL153" s="120"/>
      <c r="AM153" s="120"/>
      <c r="AN153" s="146"/>
      <c r="AO153" s="120"/>
      <c r="AP153" s="146"/>
      <c r="AQ153" s="189"/>
      <c r="AR153" s="128"/>
      <c r="AS153" s="127"/>
      <c r="AT153" s="246">
        <f>+SUM(AT144:AT152)</f>
        <v>737992.04</v>
      </c>
      <c r="AU153" s="120"/>
      <c r="AV153" s="120">
        <v>578216</v>
      </c>
      <c r="AW153" s="106" t="s">
        <v>8932</v>
      </c>
      <c r="AX153" s="120"/>
      <c r="AY153" s="120"/>
      <c r="AZ153" s="128"/>
      <c r="BA153" s="120"/>
      <c r="BB153" s="128"/>
      <c r="BC153" s="239"/>
      <c r="BD153" s="128"/>
      <c r="BE153" s="24"/>
      <c r="BF153" s="128"/>
      <c r="BG153" s="24"/>
      <c r="BH153" s="199"/>
      <c r="BI153" s="127"/>
      <c r="BJ153" s="127"/>
      <c r="BK153" s="127"/>
      <c r="BL153" s="127"/>
      <c r="BM153" s="24"/>
      <c r="BN153" s="127"/>
      <c r="BO153" s="127"/>
      <c r="BP153" s="127"/>
      <c r="BQ153" s="127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</row>
    <row r="154" spans="1:94" x14ac:dyDescent="0.25">
      <c r="B154" s="72"/>
      <c r="C154" s="24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0"/>
      <c r="Q154" s="120"/>
      <c r="R154" s="120"/>
      <c r="S154" s="120"/>
      <c r="T154" s="191"/>
      <c r="U154" s="120"/>
      <c r="V154" s="120"/>
      <c r="W154" s="120"/>
      <c r="X154" s="120"/>
      <c r="Y154" s="120"/>
      <c r="Z154" s="238"/>
      <c r="AA154" s="24"/>
      <c r="AB154" s="127"/>
      <c r="AC154" s="127"/>
      <c r="AD154" s="127"/>
      <c r="AE154" s="127"/>
      <c r="AF154" s="127"/>
      <c r="AG154" s="24"/>
      <c r="AH154" s="146"/>
      <c r="AI154" s="120"/>
      <c r="AJ154" s="120"/>
      <c r="AK154" s="120"/>
      <c r="AL154" s="120"/>
      <c r="AM154" s="120"/>
      <c r="AN154" s="128"/>
      <c r="AO154" s="120"/>
      <c r="AP154" s="146"/>
      <c r="AQ154" s="127"/>
      <c r="AR154" s="128"/>
      <c r="AS154" s="127"/>
      <c r="AT154" s="120"/>
      <c r="AU154" s="120"/>
      <c r="AV154" s="120">
        <v>55000</v>
      </c>
      <c r="AW154" s="106" t="s">
        <v>8933</v>
      </c>
      <c r="AX154" s="120"/>
      <c r="AY154" s="120"/>
      <c r="AZ154" s="128"/>
      <c r="BA154" s="127"/>
      <c r="BB154" s="128"/>
      <c r="BC154" s="24"/>
      <c r="BD154" s="128"/>
      <c r="BE154" s="24"/>
      <c r="BF154" s="128"/>
      <c r="BG154" s="24"/>
      <c r="BH154" s="183"/>
      <c r="BI154" s="127"/>
      <c r="BJ154" s="127"/>
      <c r="BK154" s="127"/>
      <c r="BL154" s="9"/>
      <c r="BM154" s="15"/>
      <c r="BN154" s="127"/>
      <c r="BO154" s="127"/>
      <c r="BP154" s="127"/>
      <c r="BQ154" s="127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</row>
    <row r="155" spans="1:94" x14ac:dyDescent="0.25">
      <c r="B155" s="54"/>
      <c r="C155" s="54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9"/>
      <c r="AA155" s="15"/>
      <c r="AB155" s="127"/>
      <c r="AC155" s="127"/>
      <c r="AD155" s="127"/>
      <c r="AE155" s="127"/>
      <c r="AF155" s="127"/>
      <c r="AG155" s="24"/>
      <c r="AH155" s="128"/>
      <c r="AI155" s="120"/>
      <c r="AJ155" s="120"/>
      <c r="AK155" s="120"/>
      <c r="AL155" s="120"/>
      <c r="AM155" s="120"/>
      <c r="AN155" s="120"/>
      <c r="AO155" s="120"/>
      <c r="AP155" s="128"/>
      <c r="AQ155" s="120"/>
      <c r="AR155" s="128"/>
      <c r="AS155" s="127"/>
      <c r="AT155" s="120"/>
      <c r="AU155" s="120"/>
      <c r="AV155" s="120">
        <v>1969.1</v>
      </c>
      <c r="AW155" s="106" t="s">
        <v>8936</v>
      </c>
      <c r="AX155" s="120"/>
      <c r="AY155" s="120"/>
      <c r="AZ155" s="128"/>
      <c r="BA155" s="127"/>
      <c r="BB155" s="128"/>
      <c r="BC155" s="24"/>
      <c r="BD155" s="128"/>
      <c r="BE155" s="24"/>
      <c r="BF155" s="150"/>
      <c r="BG155" s="120"/>
      <c r="BH155" s="240"/>
      <c r="BI155" s="120"/>
      <c r="BJ155" s="127"/>
      <c r="BK155" s="127"/>
      <c r="BL155" s="229"/>
      <c r="BM155" s="127"/>
      <c r="BN155" s="127"/>
      <c r="BO155" s="127"/>
      <c r="BP155" s="127"/>
      <c r="BQ155" s="127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</row>
    <row r="156" spans="1:94" x14ac:dyDescent="0.25">
      <c r="B156" s="72"/>
      <c r="C156" s="24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237"/>
      <c r="AA156" s="127"/>
      <c r="AB156" s="127"/>
      <c r="AC156" s="127"/>
      <c r="AD156" s="127"/>
      <c r="AE156" s="127"/>
      <c r="AF156" s="127"/>
      <c r="AG156" s="24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240"/>
      <c r="AS156" s="127"/>
      <c r="AT156" s="120"/>
      <c r="AU156" s="120"/>
      <c r="AV156" s="127">
        <v>3239</v>
      </c>
      <c r="AW156" s="106" t="s">
        <v>4970</v>
      </c>
      <c r="AX156" s="120"/>
      <c r="AY156" s="120"/>
      <c r="AZ156" s="128"/>
      <c r="BA156" s="127"/>
      <c r="BB156" s="128"/>
      <c r="BC156" s="24"/>
      <c r="BD156" s="199"/>
      <c r="BE156" s="24"/>
      <c r="BF156" s="120"/>
      <c r="BG156" s="120"/>
      <c r="BH156" s="128"/>
      <c r="BI156" s="120"/>
      <c r="BJ156" s="127"/>
      <c r="BK156" s="127"/>
      <c r="BL156" s="127"/>
      <c r="BM156" s="127"/>
      <c r="BN156" s="127"/>
      <c r="BO156" s="127"/>
      <c r="BP156" s="127"/>
      <c r="BQ156" s="127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</row>
    <row r="157" spans="1:94" x14ac:dyDescent="0.25">
      <c r="B157" s="72"/>
      <c r="C157" s="24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7"/>
      <c r="AA157" s="127"/>
      <c r="AB157" s="127"/>
      <c r="AC157" s="127"/>
      <c r="AD157" s="127"/>
      <c r="AE157" s="127"/>
      <c r="AF157" s="237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7"/>
      <c r="AT157" s="120"/>
      <c r="AU157" s="120"/>
      <c r="AV157" s="127">
        <v>2919.99</v>
      </c>
      <c r="AW157" s="106" t="s">
        <v>8942</v>
      </c>
      <c r="AX157" s="120"/>
      <c r="AY157" s="120"/>
      <c r="AZ157" s="146"/>
      <c r="BA157" s="120"/>
      <c r="BB157" s="146"/>
      <c r="BC157" s="127"/>
      <c r="BD157" s="146"/>
      <c r="BE157" s="24"/>
      <c r="BF157" s="120"/>
      <c r="BG157" s="120"/>
      <c r="BH157" s="120"/>
      <c r="BI157" s="120"/>
      <c r="BJ157" s="127"/>
      <c r="BK157" s="127"/>
      <c r="BL157" s="127"/>
      <c r="BM157" s="127"/>
      <c r="BN157" s="127"/>
      <c r="BO157" s="127"/>
      <c r="BP157" s="127"/>
      <c r="BQ157" s="127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</row>
    <row r="158" spans="1:94" x14ac:dyDescent="0.25">
      <c r="B158" s="72"/>
      <c r="C158" s="24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7"/>
      <c r="AA158" s="127"/>
      <c r="AB158" s="127"/>
      <c r="AC158" s="127"/>
      <c r="AD158" s="127"/>
      <c r="AE158" s="127"/>
      <c r="AF158" s="127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7"/>
      <c r="AT158" s="120"/>
      <c r="AU158" s="120"/>
      <c r="AV158" s="127">
        <v>1169</v>
      </c>
      <c r="AW158" s="106" t="s">
        <v>8945</v>
      </c>
      <c r="AX158" s="120"/>
      <c r="AY158" s="120"/>
      <c r="AZ158" s="128"/>
      <c r="BA158" s="127"/>
      <c r="BB158" s="120"/>
      <c r="BC158" s="127"/>
      <c r="BD158" s="94"/>
      <c r="BE158" s="15"/>
      <c r="BF158" s="9"/>
      <c r="BG158" s="120"/>
      <c r="BH158" s="120"/>
      <c r="BI158" s="120"/>
      <c r="BJ158" s="127"/>
      <c r="BK158" s="127"/>
      <c r="BL158" s="127"/>
      <c r="BM158" s="127"/>
      <c r="BN158" s="127"/>
      <c r="BO158" s="127"/>
      <c r="BP158" s="127"/>
      <c r="BQ158" s="127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</row>
    <row r="159" spans="1:94" x14ac:dyDescent="0.25">
      <c r="B159" s="74"/>
      <c r="C159" s="58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7"/>
      <c r="AA159" s="127"/>
      <c r="AB159" s="127"/>
      <c r="AC159" s="127"/>
      <c r="AD159" s="127"/>
      <c r="AE159" s="127"/>
      <c r="AF159" s="127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7"/>
      <c r="AT159" s="120"/>
      <c r="AU159" s="120"/>
      <c r="AV159" s="127">
        <v>3250</v>
      </c>
      <c r="AW159" s="106" t="s">
        <v>8949</v>
      </c>
      <c r="AX159" s="120"/>
      <c r="AY159" s="120"/>
      <c r="AZ159" s="120"/>
      <c r="BA159" s="120"/>
      <c r="BB159" s="120"/>
      <c r="BC159" s="127"/>
      <c r="BD159" s="94"/>
      <c r="BE159" s="120"/>
      <c r="BF159" s="120"/>
      <c r="BG159" s="120"/>
      <c r="BH159" s="120"/>
      <c r="BI159" s="120"/>
      <c r="BJ159" s="127"/>
      <c r="BK159" s="127"/>
      <c r="BL159" s="228"/>
      <c r="BM159" s="127"/>
      <c r="BN159" s="127"/>
      <c r="BO159" s="127"/>
      <c r="BP159" s="127"/>
      <c r="BQ159" s="127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</row>
    <row r="160" spans="1:94" x14ac:dyDescent="0.25">
      <c r="B160" s="72"/>
      <c r="C160" s="24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7"/>
      <c r="AT160" s="120"/>
      <c r="AU160" s="120"/>
      <c r="AV160" s="247">
        <f>+SUM(AV143:AV159)</f>
        <v>1373446.61</v>
      </c>
      <c r="AW160" s="120"/>
      <c r="AX160" s="120"/>
      <c r="AY160" s="120"/>
      <c r="AZ160" s="120"/>
      <c r="BA160" s="120"/>
      <c r="BB160" s="120"/>
      <c r="BC160" s="120"/>
      <c r="BD160" s="128"/>
      <c r="BE160" s="120"/>
      <c r="BF160" s="120"/>
      <c r="BG160" s="120"/>
      <c r="BH160" s="120"/>
      <c r="BI160" s="120"/>
      <c r="BJ160" s="127"/>
      <c r="BK160" s="127"/>
      <c r="BL160" s="127"/>
      <c r="BM160" s="127"/>
      <c r="BN160" s="127"/>
      <c r="BO160" s="127"/>
      <c r="BP160" s="127"/>
      <c r="BQ160" s="127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</row>
    <row r="161" spans="2:69" x14ac:dyDescent="0.25">
      <c r="B161" s="11"/>
      <c r="C161" s="13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7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5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</row>
    <row r="162" spans="2:69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7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4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</row>
    <row r="163" spans="2:69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</row>
    <row r="164" spans="2:69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</row>
    <row r="165" spans="2:69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</row>
    <row r="166" spans="2:69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</row>
    <row r="167" spans="2:69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</row>
    <row r="168" spans="2:69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</row>
    <row r="169" spans="2:69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</row>
    <row r="170" spans="2:69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</row>
    <row r="171" spans="2:69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</row>
    <row r="172" spans="2:69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</row>
    <row r="173" spans="2:69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</row>
    <row r="174" spans="2:69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</row>
    <row r="175" spans="2:69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</row>
    <row r="176" spans="2:69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</row>
    <row r="177" spans="2:49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</row>
    <row r="178" spans="2:49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</row>
    <row r="179" spans="2:49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</row>
    <row r="180" spans="2:49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</row>
    <row r="181" spans="2:49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</row>
    <row r="182" spans="2:49" x14ac:dyDescent="0.25"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</row>
    <row r="183" spans="2:49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</row>
    <row r="184" spans="2:49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</row>
    <row r="185" spans="2:49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</row>
    <row r="186" spans="2:49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</row>
    <row r="187" spans="2:49" x14ac:dyDescent="0.25"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87"/>
  <sheetViews>
    <sheetView zoomScale="110" zoomScaleNormal="110" workbookViewId="0">
      <pane xSplit="1" ySplit="1" topLeftCell="AY2" activePane="bottomRight" state="frozen"/>
      <selection pane="topRight" activeCell="B1" sqref="B1"/>
      <selection pane="bottomLeft" activeCell="A2" sqref="A2"/>
      <selection pane="bottomRight" activeCell="BF51" sqref="BF51:BF53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4.5703125" bestFit="1" customWidth="1"/>
    <col min="8" max="8" width="13.42578125" bestFit="1" customWidth="1"/>
    <col min="9" max="9" width="12.28515625" bestFit="1" customWidth="1"/>
    <col min="10" max="10" width="13.42578125" bestFit="1" customWidth="1"/>
    <col min="12" max="12" width="13.42578125" bestFit="1" customWidth="1"/>
    <col min="14" max="14" width="13.140625" bestFit="1" customWidth="1"/>
    <col min="16" max="16" width="13.42578125" bestFit="1" customWidth="1"/>
    <col min="18" max="18" width="14.85546875" bestFit="1" customWidth="1"/>
    <col min="20" max="20" width="14.5703125" bestFit="1" customWidth="1"/>
    <col min="22" max="22" width="13.140625" bestFit="1" customWidth="1"/>
    <col min="24" max="24" width="14.5703125" bestFit="1" customWidth="1"/>
    <col min="26" max="26" width="13.5703125" bestFit="1" customWidth="1"/>
    <col min="28" max="28" width="13.42578125" bestFit="1" customWidth="1"/>
    <col min="30" max="30" width="14.5703125" customWidth="1"/>
    <col min="32" max="32" width="13.85546875" bestFit="1" customWidth="1"/>
    <col min="33" max="33" width="13.140625" bestFit="1" customWidth="1"/>
    <col min="34" max="34" width="14.85546875" customWidth="1"/>
    <col min="36" max="36" width="13.5703125" bestFit="1" customWidth="1"/>
    <col min="38" max="38" width="13.42578125" bestFit="1" customWidth="1"/>
    <col min="40" max="40" width="15.28515625" bestFit="1" customWidth="1"/>
    <col min="42" max="42" width="13.85546875" bestFit="1" customWidth="1"/>
    <col min="44" max="44" width="13.7109375" customWidth="1"/>
    <col min="46" max="46" width="13" bestFit="1" customWidth="1"/>
    <col min="48" max="48" width="13.85546875" bestFit="1" customWidth="1"/>
    <col min="50" max="50" width="12.7109375" bestFit="1" customWidth="1"/>
    <col min="52" max="52" width="13.85546875" bestFit="1" customWidth="1"/>
    <col min="54" max="54" width="13.85546875" bestFit="1" customWidth="1"/>
    <col min="56" max="56" width="13.85546875" bestFit="1" customWidth="1"/>
    <col min="57" max="57" width="12.7109375" bestFit="1" customWidth="1"/>
    <col min="58" max="58" width="13.85546875" bestFit="1" customWidth="1"/>
    <col min="60" max="60" width="13.85546875" bestFit="1" customWidth="1"/>
    <col min="62" max="62" width="13.140625" bestFit="1" customWidth="1"/>
    <col min="63" max="63" width="11.5703125" bestFit="1" customWidth="1"/>
    <col min="64" max="64" width="13.42578125" bestFit="1" customWidth="1"/>
    <col min="66" max="66" width="13.42578125" bestFit="1" customWidth="1"/>
    <col min="68" max="68" width="15.28515625" bestFit="1" customWidth="1"/>
  </cols>
  <sheetData>
    <row r="1" spans="1:94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4" x14ac:dyDescent="0.25">
      <c r="A2" s="47"/>
      <c r="B2" s="142">
        <v>42948</v>
      </c>
      <c r="C2" s="142"/>
      <c r="D2" s="141">
        <v>42949</v>
      </c>
      <c r="E2" s="142"/>
      <c r="F2" s="141">
        <v>42950</v>
      </c>
      <c r="G2" s="142"/>
      <c r="H2" s="141">
        <v>42951</v>
      </c>
      <c r="I2" s="142"/>
      <c r="J2" s="141">
        <v>42952</v>
      </c>
      <c r="K2" s="142"/>
      <c r="L2" s="141">
        <v>42953</v>
      </c>
      <c r="M2" s="142"/>
      <c r="N2" s="141">
        <v>42954</v>
      </c>
      <c r="O2" s="142"/>
      <c r="P2" s="141">
        <v>42955</v>
      </c>
      <c r="Q2" s="142"/>
      <c r="R2" s="141">
        <v>42956</v>
      </c>
      <c r="S2" s="142"/>
      <c r="T2" s="141">
        <v>42957</v>
      </c>
      <c r="U2" s="142"/>
      <c r="V2" s="141">
        <v>42958</v>
      </c>
      <c r="W2" s="142"/>
      <c r="X2" s="141">
        <v>42959</v>
      </c>
      <c r="Y2" s="142"/>
      <c r="Z2" s="141">
        <v>42961</v>
      </c>
      <c r="AA2" s="142"/>
      <c r="AB2" s="141">
        <v>42962</v>
      </c>
      <c r="AC2" s="142"/>
      <c r="AD2" s="141">
        <v>42963</v>
      </c>
      <c r="AE2" s="142"/>
      <c r="AF2" s="141">
        <v>42964</v>
      </c>
      <c r="AG2" s="142"/>
      <c r="AH2" s="141">
        <v>42965</v>
      </c>
      <c r="AI2" s="142"/>
      <c r="AJ2" s="141">
        <v>42966</v>
      </c>
      <c r="AK2" s="142"/>
      <c r="AL2" s="141">
        <v>42967</v>
      </c>
      <c r="AM2" s="142"/>
      <c r="AN2" s="141">
        <v>42968</v>
      </c>
      <c r="AO2" s="142"/>
      <c r="AP2" s="141">
        <v>42969</v>
      </c>
      <c r="AQ2" s="142"/>
      <c r="AR2" s="141">
        <v>42970</v>
      </c>
      <c r="AS2" s="142"/>
      <c r="AT2" s="141">
        <v>42971</v>
      </c>
      <c r="AU2" s="142"/>
      <c r="AV2" s="141">
        <v>42972</v>
      </c>
      <c r="AW2" s="142"/>
      <c r="AX2" s="141">
        <v>42973</v>
      </c>
      <c r="AY2" s="142"/>
      <c r="AZ2" s="141">
        <v>42975</v>
      </c>
      <c r="BA2" s="142"/>
      <c r="BB2" s="141">
        <v>42976</v>
      </c>
      <c r="BC2" s="142"/>
      <c r="BD2" s="141">
        <v>42977</v>
      </c>
      <c r="BE2" s="142"/>
      <c r="BF2" s="141">
        <v>42978</v>
      </c>
      <c r="BG2" s="142"/>
      <c r="BH2" s="141"/>
      <c r="BI2" s="142"/>
      <c r="BJ2" s="231"/>
      <c r="BK2" s="232"/>
      <c r="BL2" s="231"/>
      <c r="BM2" s="232"/>
      <c r="BN2" s="231"/>
      <c r="BO2" s="232"/>
      <c r="BP2" s="231"/>
      <c r="BQ2" s="232"/>
      <c r="BR2" s="231"/>
      <c r="BS2" s="232"/>
      <c r="BT2" s="231"/>
      <c r="BU2" s="232"/>
      <c r="BV2" s="231"/>
      <c r="BW2" s="232"/>
      <c r="BX2" s="231"/>
      <c r="BY2" s="232"/>
      <c r="BZ2" s="231"/>
      <c r="CA2" s="232"/>
      <c r="CB2" s="231"/>
      <c r="CC2" s="232"/>
      <c r="CD2" s="231"/>
      <c r="CE2" s="232"/>
      <c r="CF2" s="65"/>
      <c r="CG2" s="233"/>
      <c r="CH2" s="65"/>
      <c r="CI2" s="233"/>
      <c r="CJ2" s="65"/>
      <c r="CK2" s="233"/>
      <c r="CL2" s="65"/>
      <c r="CM2" s="233"/>
      <c r="CN2" s="65"/>
      <c r="CO2" s="233"/>
      <c r="CP2" s="65"/>
    </row>
    <row r="3" spans="1:94" x14ac:dyDescent="0.25">
      <c r="A3" s="38" t="s">
        <v>0</v>
      </c>
      <c r="B3" s="98">
        <v>6879.14</v>
      </c>
      <c r="C3" s="15"/>
      <c r="D3" s="143">
        <v>23892.99</v>
      </c>
      <c r="E3" s="15"/>
      <c r="F3" s="143">
        <v>13303.01</v>
      </c>
      <c r="G3" s="15"/>
      <c r="H3" s="143">
        <v>203417.46</v>
      </c>
      <c r="I3" s="15"/>
      <c r="J3" s="143">
        <v>243194.53</v>
      </c>
      <c r="K3" s="15"/>
      <c r="L3" s="143">
        <v>1000</v>
      </c>
      <c r="M3" s="15"/>
      <c r="N3" s="143">
        <v>22076.880000000001</v>
      </c>
      <c r="O3" s="15"/>
      <c r="P3" s="143">
        <v>46857.5</v>
      </c>
      <c r="Q3" s="15"/>
      <c r="R3" s="143">
        <v>140293.29</v>
      </c>
      <c r="S3" s="15"/>
      <c r="T3" s="143">
        <v>12151.07</v>
      </c>
      <c r="U3" s="15"/>
      <c r="V3" s="143">
        <v>90322.81</v>
      </c>
      <c r="W3" s="15"/>
      <c r="X3" s="143">
        <v>46258.42</v>
      </c>
      <c r="Y3" s="15"/>
      <c r="Z3" s="143">
        <v>10992.93</v>
      </c>
      <c r="AA3" s="15"/>
      <c r="AB3" s="98">
        <v>96461.97</v>
      </c>
      <c r="AC3" s="15"/>
      <c r="AD3" s="143">
        <v>11438.08</v>
      </c>
      <c r="AE3" s="15"/>
      <c r="AF3" s="143">
        <v>15801.44</v>
      </c>
      <c r="AG3" s="15"/>
      <c r="AH3" s="143">
        <v>3805</v>
      </c>
      <c r="AI3" s="15"/>
      <c r="AJ3" s="143">
        <v>114988.37</v>
      </c>
      <c r="AK3" s="15"/>
      <c r="AL3" s="143"/>
      <c r="AM3" s="15"/>
      <c r="AN3" s="143">
        <v>129194.2</v>
      </c>
      <c r="AO3" s="15"/>
      <c r="AP3" s="143">
        <v>175685.98</v>
      </c>
      <c r="AQ3" s="15"/>
      <c r="AR3" s="143">
        <v>20272.09</v>
      </c>
      <c r="AS3" s="15"/>
      <c r="AT3" s="143">
        <v>11588.86</v>
      </c>
      <c r="AU3" s="15"/>
      <c r="AV3" s="143">
        <v>22332.7</v>
      </c>
      <c r="AW3" s="15"/>
      <c r="AX3" s="143">
        <v>21746.76</v>
      </c>
      <c r="AY3" s="15"/>
      <c r="AZ3" s="143">
        <v>57387.56</v>
      </c>
      <c r="BA3" s="15"/>
      <c r="BB3" s="143">
        <v>13312.36</v>
      </c>
      <c r="BC3" s="15"/>
      <c r="BD3" s="143">
        <v>41029.620000000003</v>
      </c>
      <c r="BE3" s="15"/>
      <c r="BF3" s="98">
        <v>14962.43</v>
      </c>
      <c r="BG3" s="15"/>
      <c r="BH3" s="143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</row>
    <row r="4" spans="1:94" x14ac:dyDescent="0.25">
      <c r="A4" s="39"/>
      <c r="B4" s="98">
        <v>152643.63</v>
      </c>
      <c r="C4" s="15"/>
      <c r="D4" s="98">
        <v>17580.98</v>
      </c>
      <c r="E4" s="15"/>
      <c r="F4" s="98">
        <v>66290.350000000006</v>
      </c>
      <c r="G4" s="15"/>
      <c r="H4" s="98">
        <v>40908.400000000001</v>
      </c>
      <c r="I4" s="15"/>
      <c r="J4" s="98"/>
      <c r="K4" s="15"/>
      <c r="L4" s="98"/>
      <c r="M4" s="15"/>
      <c r="N4" s="98">
        <v>65296.69</v>
      </c>
      <c r="O4" s="15"/>
      <c r="P4" s="98">
        <v>29094.32</v>
      </c>
      <c r="Q4" s="15"/>
      <c r="R4" s="98">
        <v>161633.75</v>
      </c>
      <c r="S4" s="15"/>
      <c r="T4" s="98">
        <v>70905.19</v>
      </c>
      <c r="U4" s="15"/>
      <c r="V4" s="98"/>
      <c r="W4" s="15"/>
      <c r="X4" s="98"/>
      <c r="Y4" s="15"/>
      <c r="Z4" s="98">
        <v>21803.49</v>
      </c>
      <c r="AA4" s="15"/>
      <c r="AB4" s="98">
        <v>116933.17</v>
      </c>
      <c r="AC4" s="15"/>
      <c r="AD4" s="98">
        <v>150857.96</v>
      </c>
      <c r="AE4" s="15"/>
      <c r="AF4" s="98">
        <v>24454.22</v>
      </c>
      <c r="AG4" s="15"/>
      <c r="AH4" s="98">
        <v>59271.48</v>
      </c>
      <c r="AI4" s="15"/>
      <c r="AJ4" s="98"/>
      <c r="AK4" s="15"/>
      <c r="AL4" s="98"/>
      <c r="AM4" s="15"/>
      <c r="AN4" s="98">
        <v>303184.21999999997</v>
      </c>
      <c r="AO4" s="15"/>
      <c r="AP4" s="98">
        <v>24738.1</v>
      </c>
      <c r="AQ4" s="15"/>
      <c r="AR4" s="98">
        <v>22041.45</v>
      </c>
      <c r="AS4" s="15"/>
      <c r="AT4" s="98">
        <v>78027.56</v>
      </c>
      <c r="AU4" s="15"/>
      <c r="AV4" s="98">
        <v>41672.6</v>
      </c>
      <c r="AW4" s="15"/>
      <c r="AX4" s="98"/>
      <c r="AY4" s="15"/>
      <c r="AZ4" s="98">
        <v>399142.05</v>
      </c>
      <c r="BA4" s="15"/>
      <c r="BB4" s="98">
        <v>223255.78</v>
      </c>
      <c r="BC4" s="15"/>
      <c r="BD4" s="98">
        <v>78788.63</v>
      </c>
      <c r="BE4" s="15"/>
      <c r="BF4" s="98">
        <v>204305.07</v>
      </c>
      <c r="BG4" s="15"/>
      <c r="BH4" s="98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</row>
    <row r="5" spans="1:94" x14ac:dyDescent="0.25">
      <c r="A5" s="48"/>
      <c r="B5" s="18"/>
      <c r="C5" s="59"/>
      <c r="D5" s="18"/>
      <c r="E5" s="59"/>
      <c r="F5" s="18"/>
      <c r="G5" s="59"/>
      <c r="H5" s="75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75"/>
      <c r="Y5" s="59"/>
      <c r="Z5" s="18"/>
      <c r="AA5" s="59"/>
      <c r="AB5" s="18"/>
      <c r="AC5" s="59"/>
      <c r="AD5" s="18"/>
      <c r="AE5" s="59"/>
      <c r="AF5" s="18"/>
      <c r="AG5" s="59"/>
      <c r="AH5" s="18"/>
      <c r="AI5" s="59"/>
      <c r="AJ5" s="18"/>
      <c r="AK5" s="59"/>
      <c r="AL5" s="75"/>
      <c r="AM5" s="25"/>
      <c r="AN5" s="75"/>
      <c r="AO5" s="59"/>
      <c r="AP5" s="75"/>
      <c r="AQ5" s="59"/>
      <c r="AR5" s="18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75"/>
      <c r="BK5" s="25"/>
      <c r="BL5" s="75"/>
      <c r="BM5" s="25"/>
      <c r="BN5" s="75"/>
      <c r="BO5" s="25"/>
      <c r="BP5" s="75"/>
      <c r="BQ5" s="25"/>
      <c r="BR5" s="75"/>
      <c r="BS5" s="25"/>
      <c r="BT5" s="75"/>
      <c r="BU5" s="25"/>
      <c r="BV5" s="75"/>
      <c r="BW5" s="25"/>
      <c r="BX5" s="75"/>
      <c r="BY5" s="25"/>
      <c r="BZ5" s="75"/>
      <c r="CA5" s="25"/>
      <c r="CB5" s="75"/>
      <c r="CC5" s="25"/>
      <c r="CD5" s="75"/>
      <c r="CE5" s="25"/>
      <c r="CF5" s="76"/>
      <c r="CG5" s="234"/>
      <c r="CH5" s="76"/>
      <c r="CI5" s="234"/>
      <c r="CJ5" s="76"/>
      <c r="CK5" s="234"/>
      <c r="CL5" s="76"/>
      <c r="CM5" s="234"/>
      <c r="CN5" s="76"/>
      <c r="CO5" s="234"/>
      <c r="CP5" s="76"/>
    </row>
    <row r="6" spans="1:94" x14ac:dyDescent="0.25">
      <c r="A6" s="41"/>
      <c r="B6" s="9">
        <v>175</v>
      </c>
      <c r="C6" s="15" t="s">
        <v>9161</v>
      </c>
      <c r="D6" s="9">
        <v>395</v>
      </c>
      <c r="E6" s="15" t="s">
        <v>9174</v>
      </c>
      <c r="F6" s="9">
        <v>121.66</v>
      </c>
      <c r="G6" s="15" t="s">
        <v>9184</v>
      </c>
      <c r="H6" s="9">
        <v>29000</v>
      </c>
      <c r="I6" s="15" t="s">
        <v>9294</v>
      </c>
      <c r="J6" s="9">
        <v>1000</v>
      </c>
      <c r="K6" s="15" t="s">
        <v>9350</v>
      </c>
      <c r="L6" s="9">
        <v>1000</v>
      </c>
      <c r="M6" s="15" t="s">
        <v>9392</v>
      </c>
      <c r="N6" s="9">
        <v>2380.59</v>
      </c>
      <c r="O6" s="15" t="s">
        <v>9394</v>
      </c>
      <c r="P6" s="9">
        <v>7800</v>
      </c>
      <c r="Q6" s="15" t="s">
        <v>9441</v>
      </c>
      <c r="R6" s="9">
        <v>125000</v>
      </c>
      <c r="S6" s="15" t="s">
        <v>9458</v>
      </c>
      <c r="T6" s="9">
        <v>483.64</v>
      </c>
      <c r="U6" s="15" t="s">
        <v>9551</v>
      </c>
      <c r="V6" s="9">
        <v>54000</v>
      </c>
      <c r="W6" s="15" t="s">
        <v>9608</v>
      </c>
      <c r="X6" s="9">
        <v>5000</v>
      </c>
      <c r="Y6" s="15" t="s">
        <v>9664</v>
      </c>
      <c r="Z6" s="9">
        <v>683.15</v>
      </c>
      <c r="AA6" s="15" t="s">
        <v>9703</v>
      </c>
      <c r="AB6" s="9">
        <v>92000</v>
      </c>
      <c r="AC6" s="15" t="s">
        <v>9746</v>
      </c>
      <c r="AD6" s="72">
        <v>3200</v>
      </c>
      <c r="AE6" s="86" t="s">
        <v>9803</v>
      </c>
      <c r="AF6" s="72">
        <v>2900</v>
      </c>
      <c r="AG6" s="15" t="s">
        <v>9851</v>
      </c>
      <c r="AH6" s="9">
        <v>1436</v>
      </c>
      <c r="AI6" s="15" t="s">
        <v>9897</v>
      </c>
      <c r="AJ6" s="72">
        <v>500</v>
      </c>
      <c r="AK6" s="15" t="s">
        <v>9936</v>
      </c>
      <c r="AL6" s="9"/>
      <c r="AM6" s="15"/>
      <c r="AN6" s="9">
        <v>1500</v>
      </c>
      <c r="AO6" s="26" t="s">
        <v>9981</v>
      </c>
      <c r="AP6" s="9">
        <v>120000</v>
      </c>
      <c r="AQ6" s="15" t="s">
        <v>10028</v>
      </c>
      <c r="AR6" s="9">
        <v>3809.1</v>
      </c>
      <c r="AS6" s="15" t="s">
        <v>10084</v>
      </c>
      <c r="AT6" s="9">
        <v>1301.6500000000001</v>
      </c>
      <c r="AU6" s="15" t="s">
        <v>10096</v>
      </c>
      <c r="AV6" s="9">
        <v>3208.4</v>
      </c>
      <c r="AW6" s="15" t="s">
        <v>10167</v>
      </c>
      <c r="AX6" s="9">
        <v>4878.84</v>
      </c>
      <c r="AY6" s="15" t="s">
        <v>10203</v>
      </c>
      <c r="AZ6" s="9">
        <v>500</v>
      </c>
      <c r="BA6" s="15" t="s">
        <v>10239</v>
      </c>
      <c r="BB6" s="7">
        <v>100</v>
      </c>
      <c r="BC6" s="26" t="s">
        <v>10300</v>
      </c>
      <c r="BD6" s="9">
        <v>1843.32</v>
      </c>
      <c r="BE6" s="15" t="s">
        <v>10388</v>
      </c>
      <c r="BF6" s="9">
        <v>917.47</v>
      </c>
      <c r="BG6" s="26" t="s">
        <v>10411</v>
      </c>
      <c r="BH6" s="7"/>
      <c r="BI6" s="26"/>
      <c r="BJ6" s="9"/>
      <c r="BK6" s="15"/>
      <c r="BL6" s="9"/>
      <c r="BM6" s="15"/>
      <c r="BN6" s="9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  <c r="CO6" s="15"/>
      <c r="CP6" s="9"/>
    </row>
    <row r="7" spans="1:94" x14ac:dyDescent="0.25">
      <c r="A7" s="41"/>
      <c r="B7" s="9">
        <v>2761.27</v>
      </c>
      <c r="C7" s="15" t="s">
        <v>9164</v>
      </c>
      <c r="D7" s="7">
        <v>2039.99</v>
      </c>
      <c r="E7" s="26" t="s">
        <v>9178</v>
      </c>
      <c r="F7" s="9">
        <v>694.14</v>
      </c>
      <c r="G7" s="26" t="s">
        <v>9183</v>
      </c>
      <c r="H7" s="9">
        <v>2208.42</v>
      </c>
      <c r="I7" s="15" t="s">
        <v>9295</v>
      </c>
      <c r="J7" s="9">
        <v>220000</v>
      </c>
      <c r="K7" s="26" t="s">
        <v>9355</v>
      </c>
      <c r="L7" s="7"/>
      <c r="M7" s="26"/>
      <c r="N7" s="7">
        <v>7000</v>
      </c>
      <c r="O7" s="26" t="s">
        <v>9397</v>
      </c>
      <c r="P7" s="9">
        <v>20000</v>
      </c>
      <c r="Q7" s="26" t="s">
        <v>9442</v>
      </c>
      <c r="R7" s="9">
        <v>9400</v>
      </c>
      <c r="S7" s="26" t="s">
        <v>9460</v>
      </c>
      <c r="T7" s="7">
        <v>52.18</v>
      </c>
      <c r="U7" s="26" t="s">
        <v>9552</v>
      </c>
      <c r="V7" s="9">
        <v>20000</v>
      </c>
      <c r="W7" s="26" t="s">
        <v>9609</v>
      </c>
      <c r="X7" s="9">
        <v>13000</v>
      </c>
      <c r="Y7" s="26" t="s">
        <v>9670</v>
      </c>
      <c r="Z7" s="7">
        <v>1904.77</v>
      </c>
      <c r="AA7" s="26" t="s">
        <v>9705</v>
      </c>
      <c r="AB7" s="9">
        <v>465.23</v>
      </c>
      <c r="AC7" s="15" t="s">
        <v>9749</v>
      </c>
      <c r="AD7" s="72">
        <v>1928.56</v>
      </c>
      <c r="AE7" s="86" t="s">
        <v>9804</v>
      </c>
      <c r="AF7" s="72">
        <v>2040</v>
      </c>
      <c r="AG7" s="26" t="s">
        <v>9852</v>
      </c>
      <c r="AH7" s="7">
        <v>1169</v>
      </c>
      <c r="AI7" s="26" t="s">
        <v>9898</v>
      </c>
      <c r="AJ7" s="87">
        <v>230.91</v>
      </c>
      <c r="AK7" s="26" t="s">
        <v>9938</v>
      </c>
      <c r="AL7" s="9"/>
      <c r="AM7" s="15"/>
      <c r="AN7" s="9">
        <v>464</v>
      </c>
      <c r="AO7" s="15" t="s">
        <v>9982</v>
      </c>
      <c r="AP7" s="9">
        <v>117.46</v>
      </c>
      <c r="AQ7" s="26" t="s">
        <v>10030</v>
      </c>
      <c r="AR7" s="9">
        <v>8500</v>
      </c>
      <c r="AS7" s="26" t="s">
        <v>10085</v>
      </c>
      <c r="AT7" s="72">
        <v>7735</v>
      </c>
      <c r="AU7" s="24" t="s">
        <v>10101</v>
      </c>
      <c r="AV7" s="7">
        <v>100</v>
      </c>
      <c r="AW7" s="26" t="s">
        <v>10169</v>
      </c>
      <c r="AX7" s="7">
        <v>3239</v>
      </c>
      <c r="AY7" s="26" t="s">
        <v>10204</v>
      </c>
      <c r="AZ7" s="7">
        <v>177.49</v>
      </c>
      <c r="BA7" s="26" t="s">
        <v>10242</v>
      </c>
      <c r="BB7" s="9">
        <v>547.47</v>
      </c>
      <c r="BC7" s="15" t="s">
        <v>10305</v>
      </c>
      <c r="BD7" s="9">
        <v>5000</v>
      </c>
      <c r="BE7" s="26" t="s">
        <v>10389</v>
      </c>
      <c r="BF7" s="9">
        <v>1556.13</v>
      </c>
      <c r="BG7" s="26" t="s">
        <v>10412</v>
      </c>
      <c r="BH7" s="9"/>
      <c r="BI7" s="15"/>
      <c r="BJ7" s="9"/>
      <c r="BK7" s="15"/>
      <c r="BL7" s="9"/>
      <c r="BM7" s="15"/>
      <c r="BN7" s="9"/>
      <c r="BO7" s="15"/>
      <c r="BP7" s="9"/>
      <c r="BQ7" s="15"/>
      <c r="BR7" s="9"/>
      <c r="BS7" s="15"/>
      <c r="BT7" s="9"/>
      <c r="BU7" s="15"/>
      <c r="BV7" s="9"/>
      <c r="BW7" s="15"/>
      <c r="BX7" s="9"/>
      <c r="BY7" s="15"/>
      <c r="BZ7" s="9"/>
      <c r="CA7" s="15"/>
      <c r="CB7" s="9"/>
      <c r="CC7" s="15"/>
      <c r="CD7" s="9"/>
      <c r="CE7" s="15"/>
      <c r="CF7" s="9"/>
      <c r="CG7" s="15"/>
      <c r="CH7" s="9"/>
      <c r="CI7" s="15"/>
      <c r="CJ7" s="9"/>
      <c r="CK7" s="15"/>
      <c r="CL7" s="9"/>
      <c r="CM7" s="15"/>
      <c r="CN7" s="9"/>
      <c r="CO7" s="15"/>
      <c r="CP7" s="9"/>
    </row>
    <row r="8" spans="1:94" x14ac:dyDescent="0.25">
      <c r="A8" s="41"/>
      <c r="B8" s="120">
        <v>204</v>
      </c>
      <c r="C8" s="15" t="s">
        <v>9166</v>
      </c>
      <c r="D8" s="7">
        <v>19133.009999999998</v>
      </c>
      <c r="E8" s="26" t="s">
        <v>9179</v>
      </c>
      <c r="F8" s="9">
        <v>85.84</v>
      </c>
      <c r="G8" s="26" t="s">
        <v>9186</v>
      </c>
      <c r="H8" s="9">
        <v>2500</v>
      </c>
      <c r="I8" s="15" t="s">
        <v>9296</v>
      </c>
      <c r="J8" s="9">
        <v>16.21</v>
      </c>
      <c r="K8" s="26" t="s">
        <v>9356</v>
      </c>
      <c r="L8" s="7"/>
      <c r="M8" s="26"/>
      <c r="N8" s="7">
        <v>3766.69</v>
      </c>
      <c r="O8" s="26" t="s">
        <v>9398</v>
      </c>
      <c r="P8" s="9">
        <v>398.22</v>
      </c>
      <c r="Q8" s="26" t="s">
        <v>9443</v>
      </c>
      <c r="R8" s="9">
        <f>3320-2800</f>
        <v>520</v>
      </c>
      <c r="S8" s="26" t="s">
        <v>9462</v>
      </c>
      <c r="T8" s="7">
        <v>3500</v>
      </c>
      <c r="U8" s="26" t="s">
        <v>9554</v>
      </c>
      <c r="V8" s="9">
        <v>175</v>
      </c>
      <c r="W8" s="15" t="s">
        <v>9612</v>
      </c>
      <c r="X8" s="9">
        <v>1169</v>
      </c>
      <c r="Y8" s="15" t="s">
        <v>9671</v>
      </c>
      <c r="Z8" s="9">
        <v>4395.01</v>
      </c>
      <c r="AA8" s="26" t="s">
        <v>9707</v>
      </c>
      <c r="AB8" s="9">
        <v>1099.1099999999999</v>
      </c>
      <c r="AC8" s="26" t="s">
        <v>9757</v>
      </c>
      <c r="AD8" s="72">
        <v>1500</v>
      </c>
      <c r="AE8" s="13" t="s">
        <v>9805</v>
      </c>
      <c r="AF8" s="127">
        <v>992.3</v>
      </c>
      <c r="AG8" s="15" t="s">
        <v>9853</v>
      </c>
      <c r="AH8" s="112">
        <v>1200</v>
      </c>
      <c r="AI8" s="15" t="s">
        <v>9901</v>
      </c>
      <c r="AJ8" s="87">
        <v>96.05</v>
      </c>
      <c r="AK8" s="26" t="s">
        <v>9939</v>
      </c>
      <c r="AL8" s="9"/>
      <c r="AM8" s="15"/>
      <c r="AN8" s="9">
        <v>500</v>
      </c>
      <c r="AO8" s="15" t="s">
        <v>9984</v>
      </c>
      <c r="AP8" s="9">
        <v>9190</v>
      </c>
      <c r="AQ8" s="26" t="s">
        <v>10032</v>
      </c>
      <c r="AR8" s="9">
        <v>1479.01</v>
      </c>
      <c r="AS8" s="26" t="s">
        <v>10088</v>
      </c>
      <c r="AT8" s="9">
        <v>1994.99</v>
      </c>
      <c r="AU8" s="15" t="s">
        <v>10102</v>
      </c>
      <c r="AV8" s="7">
        <v>893.26</v>
      </c>
      <c r="AW8" s="26" t="s">
        <v>10173</v>
      </c>
      <c r="AX8" s="7">
        <v>254.92</v>
      </c>
      <c r="AY8" s="26" t="s">
        <v>10205</v>
      </c>
      <c r="AZ8" s="7">
        <v>10657.64</v>
      </c>
      <c r="BA8" s="26" t="s">
        <v>10243</v>
      </c>
      <c r="BB8" s="7">
        <v>2728.37</v>
      </c>
      <c r="BC8" s="26" t="s">
        <v>10306</v>
      </c>
      <c r="BD8" s="9">
        <v>3353.29</v>
      </c>
      <c r="BE8" s="26" t="s">
        <v>10390</v>
      </c>
      <c r="BF8" s="9">
        <v>1642.01</v>
      </c>
      <c r="BG8" s="26" t="s">
        <v>10415</v>
      </c>
      <c r="BH8" s="7"/>
      <c r="BI8" s="26"/>
      <c r="BJ8" s="9"/>
      <c r="BK8" s="15"/>
      <c r="BL8" s="9"/>
      <c r="BM8" s="15"/>
      <c r="BN8" s="9"/>
      <c r="BO8" s="15"/>
      <c r="BP8" s="9"/>
      <c r="BQ8" s="15"/>
      <c r="BR8" s="9"/>
      <c r="BS8" s="15"/>
      <c r="BT8" s="9"/>
      <c r="BU8" s="15"/>
      <c r="BV8" s="9"/>
      <c r="BW8" s="15"/>
      <c r="BX8" s="9"/>
      <c r="BY8" s="15"/>
      <c r="BZ8" s="9"/>
      <c r="CA8" s="15"/>
      <c r="CB8" s="9"/>
      <c r="CC8" s="15"/>
      <c r="CD8" s="9"/>
      <c r="CE8" s="15"/>
      <c r="CF8" s="9"/>
      <c r="CG8" s="15"/>
      <c r="CH8" s="9"/>
      <c r="CI8" s="15"/>
      <c r="CJ8" s="9"/>
      <c r="CK8" s="15"/>
      <c r="CL8" s="9"/>
      <c r="CM8" s="15"/>
      <c r="CN8" s="9"/>
      <c r="CO8" s="15"/>
      <c r="CP8" s="9"/>
    </row>
    <row r="9" spans="1:94" x14ac:dyDescent="0.25">
      <c r="A9" s="41"/>
      <c r="B9" s="9">
        <v>923.66</v>
      </c>
      <c r="C9" s="15" t="s">
        <v>9167</v>
      </c>
      <c r="D9" s="9">
        <v>2324.9899999999998</v>
      </c>
      <c r="E9" s="15" t="s">
        <v>9180</v>
      </c>
      <c r="F9" s="9">
        <v>50</v>
      </c>
      <c r="G9" s="15" t="s">
        <v>9187</v>
      </c>
      <c r="H9" s="9">
        <v>85000</v>
      </c>
      <c r="I9" s="15" t="s">
        <v>9299</v>
      </c>
      <c r="J9" s="96">
        <v>5000</v>
      </c>
      <c r="K9" s="15" t="s">
        <v>9357</v>
      </c>
      <c r="L9" s="9"/>
      <c r="M9" s="15"/>
      <c r="N9" s="9">
        <v>5189.29</v>
      </c>
      <c r="O9" s="15" t="s">
        <v>9399</v>
      </c>
      <c r="P9" s="9">
        <v>12650.84</v>
      </c>
      <c r="Q9" s="15" t="s">
        <v>9444</v>
      </c>
      <c r="R9" s="9">
        <v>2040</v>
      </c>
      <c r="S9" s="15" t="s">
        <v>9465</v>
      </c>
      <c r="T9" s="9">
        <v>1916.36</v>
      </c>
      <c r="U9" s="15" t="s">
        <v>9555</v>
      </c>
      <c r="V9" s="9">
        <v>1363.08</v>
      </c>
      <c r="W9" s="15" t="s">
        <v>9614</v>
      </c>
      <c r="X9" s="9">
        <v>636.65</v>
      </c>
      <c r="Y9" s="15" t="s">
        <v>9676</v>
      </c>
      <c r="Z9" s="9">
        <v>1970</v>
      </c>
      <c r="AA9" s="15" t="s">
        <v>9710</v>
      </c>
      <c r="AB9" s="9">
        <v>2040</v>
      </c>
      <c r="AC9" s="15" t="s">
        <v>9759</v>
      </c>
      <c r="AD9" s="72">
        <v>723.56</v>
      </c>
      <c r="AE9" s="85" t="s">
        <v>9806</v>
      </c>
      <c r="AF9" s="72">
        <v>654.07000000000005</v>
      </c>
      <c r="AG9" s="15" t="s">
        <v>9854</v>
      </c>
      <c r="AH9" s="9"/>
      <c r="AI9" s="15"/>
      <c r="AJ9" s="72">
        <v>122.47</v>
      </c>
      <c r="AK9" s="15" t="s">
        <v>9940</v>
      </c>
      <c r="AL9" s="9"/>
      <c r="AM9" s="15"/>
      <c r="AN9" s="9">
        <v>125000</v>
      </c>
      <c r="AO9" s="26" t="s">
        <v>9985</v>
      </c>
      <c r="AP9" s="9">
        <v>1649</v>
      </c>
      <c r="AQ9" s="15" t="s">
        <v>10040</v>
      </c>
      <c r="AR9" s="9">
        <v>1169</v>
      </c>
      <c r="AS9" s="15" t="s">
        <v>10089</v>
      </c>
      <c r="AT9" s="7">
        <f>5323.21-4765.99</f>
        <v>557.22000000000025</v>
      </c>
      <c r="AU9" s="26" t="s">
        <v>10104</v>
      </c>
      <c r="AV9" s="9">
        <v>2040</v>
      </c>
      <c r="AW9" s="15" t="s">
        <v>10180</v>
      </c>
      <c r="AX9" s="9">
        <v>1000</v>
      </c>
      <c r="AY9" s="15" t="s">
        <v>10206</v>
      </c>
      <c r="AZ9" s="9">
        <v>4500</v>
      </c>
      <c r="BA9" s="15" t="s">
        <v>10247</v>
      </c>
      <c r="BB9" s="7">
        <v>159.69</v>
      </c>
      <c r="BC9" s="26" t="s">
        <v>10307</v>
      </c>
      <c r="BD9" s="72">
        <v>2000</v>
      </c>
      <c r="BE9" s="24" t="s">
        <v>10391</v>
      </c>
      <c r="BF9" s="9">
        <v>7500</v>
      </c>
      <c r="BG9" s="26" t="s">
        <v>10417</v>
      </c>
      <c r="BH9" s="9"/>
      <c r="BI9" s="15"/>
      <c r="BJ9" s="9"/>
      <c r="BK9" s="15"/>
      <c r="BL9" s="9"/>
      <c r="BM9" s="15"/>
      <c r="BN9" s="9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  <c r="CO9" s="15"/>
      <c r="CP9" s="9"/>
    </row>
    <row r="10" spans="1:94" x14ac:dyDescent="0.25">
      <c r="A10" s="41"/>
      <c r="B10" s="9">
        <v>244.71</v>
      </c>
      <c r="C10" s="15" t="s">
        <v>9168</v>
      </c>
      <c r="D10" s="7"/>
      <c r="E10" s="26"/>
      <c r="F10" s="9">
        <v>350</v>
      </c>
      <c r="G10" s="26" t="s">
        <v>9188</v>
      </c>
      <c r="H10" s="9">
        <v>72500</v>
      </c>
      <c r="I10" s="15" t="s">
        <v>9306</v>
      </c>
      <c r="J10" s="9">
        <v>3529</v>
      </c>
      <c r="K10" s="26" t="s">
        <v>9367</v>
      </c>
      <c r="L10" s="7"/>
      <c r="M10" s="26"/>
      <c r="N10" s="7">
        <v>1169</v>
      </c>
      <c r="O10" s="26" t="s">
        <v>9405</v>
      </c>
      <c r="P10" s="9">
        <v>100</v>
      </c>
      <c r="Q10" s="26" t="s">
        <v>9445</v>
      </c>
      <c r="R10" s="9">
        <v>1099.01</v>
      </c>
      <c r="S10" s="26" t="s">
        <v>9466</v>
      </c>
      <c r="T10" s="7">
        <v>2683.14</v>
      </c>
      <c r="U10" s="26" t="s">
        <v>9557</v>
      </c>
      <c r="V10" s="9">
        <v>175</v>
      </c>
      <c r="W10" s="26" t="s">
        <v>9616</v>
      </c>
      <c r="X10" s="9">
        <v>1058.8900000000001</v>
      </c>
      <c r="Y10" s="26" t="s">
        <v>9680</v>
      </c>
      <c r="Z10" s="9">
        <v>2039.99</v>
      </c>
      <c r="AA10" s="26" t="s">
        <v>9713</v>
      </c>
      <c r="AB10" s="9">
        <v>857.63</v>
      </c>
      <c r="AC10" s="26" t="s">
        <v>9761</v>
      </c>
      <c r="AD10" s="72">
        <v>934</v>
      </c>
      <c r="AE10" s="86" t="s">
        <v>9811</v>
      </c>
      <c r="AF10" s="72">
        <v>1874.92</v>
      </c>
      <c r="AG10" s="26" t="s">
        <v>9856</v>
      </c>
      <c r="AH10" s="7">
        <v>9907.41</v>
      </c>
      <c r="AI10" s="26" t="s">
        <v>9903</v>
      </c>
      <c r="AJ10" s="87">
        <v>150</v>
      </c>
      <c r="AK10" s="26" t="s">
        <v>9941</v>
      </c>
      <c r="AL10" s="9"/>
      <c r="AM10" s="15"/>
      <c r="AN10" s="9">
        <v>1169</v>
      </c>
      <c r="AO10" s="26" t="s">
        <v>9986</v>
      </c>
      <c r="AP10" s="9">
        <v>1099.01</v>
      </c>
      <c r="AQ10" s="26" t="s">
        <v>10044</v>
      </c>
      <c r="AR10" s="9">
        <v>1994.99</v>
      </c>
      <c r="AS10" s="26" t="s">
        <v>10090</v>
      </c>
      <c r="AT10" s="7">
        <v>59928</v>
      </c>
      <c r="AU10" s="26" t="s">
        <v>10139</v>
      </c>
      <c r="AV10" s="7">
        <v>3459</v>
      </c>
      <c r="AW10" s="26" t="s">
        <v>10182</v>
      </c>
      <c r="AX10" s="9">
        <v>2420</v>
      </c>
      <c r="AY10" s="26" t="s">
        <v>10209</v>
      </c>
      <c r="AZ10" s="7">
        <v>382.38</v>
      </c>
      <c r="BA10" s="26" t="s">
        <v>10250</v>
      </c>
      <c r="BB10" s="9">
        <v>400</v>
      </c>
      <c r="BC10" s="15" t="s">
        <v>10309</v>
      </c>
      <c r="BD10" s="9">
        <v>100</v>
      </c>
      <c r="BE10" s="26" t="s">
        <v>10392</v>
      </c>
      <c r="BF10" s="9">
        <v>613.29999999999995</v>
      </c>
      <c r="BG10" s="26" t="s">
        <v>10419</v>
      </c>
      <c r="BH10" s="9"/>
      <c r="BI10" s="15"/>
      <c r="BJ10" s="9"/>
      <c r="BK10" s="15"/>
      <c r="BL10" s="9"/>
      <c r="BM10" s="15"/>
      <c r="BN10" s="9"/>
      <c r="BO10" s="15"/>
      <c r="BP10" s="9"/>
      <c r="BQ10" s="15"/>
      <c r="BR10" s="9"/>
      <c r="BS10" s="15"/>
      <c r="BT10" s="9"/>
      <c r="BU10" s="15"/>
      <c r="BV10" s="9"/>
      <c r="BW10" s="15"/>
      <c r="BX10" s="9"/>
      <c r="BY10" s="15"/>
      <c r="BZ10" s="9"/>
      <c r="CA10" s="15"/>
      <c r="CB10" s="9"/>
      <c r="CC10" s="15"/>
      <c r="CD10" s="9"/>
      <c r="CE10" s="15"/>
      <c r="CF10" s="9"/>
      <c r="CG10" s="15"/>
      <c r="CH10" s="9"/>
      <c r="CI10" s="15"/>
      <c r="CJ10" s="9"/>
      <c r="CK10" s="15"/>
      <c r="CL10" s="9"/>
      <c r="CM10" s="15"/>
      <c r="CN10" s="9"/>
      <c r="CO10" s="15"/>
      <c r="CP10" s="9"/>
    </row>
    <row r="11" spans="1:94" x14ac:dyDescent="0.25">
      <c r="A11" s="41"/>
      <c r="B11" s="9">
        <v>232</v>
      </c>
      <c r="C11" s="15" t="s">
        <v>9169</v>
      </c>
      <c r="D11" s="7">
        <v>10000</v>
      </c>
      <c r="E11" s="7" t="s">
        <v>9239</v>
      </c>
      <c r="F11" s="9">
        <v>9663.3700000000008</v>
      </c>
      <c r="G11" s="26" t="s">
        <v>9190</v>
      </c>
      <c r="H11" s="9">
        <v>127.46</v>
      </c>
      <c r="I11" s="15" t="s">
        <v>9307</v>
      </c>
      <c r="J11" s="9">
        <v>3316</v>
      </c>
      <c r="K11" s="26" t="s">
        <v>9368</v>
      </c>
      <c r="L11" s="7"/>
      <c r="M11" s="26"/>
      <c r="N11" s="7">
        <v>1168.99</v>
      </c>
      <c r="O11" s="26" t="s">
        <v>9406</v>
      </c>
      <c r="P11" s="9">
        <v>3168.99</v>
      </c>
      <c r="Q11" s="26" t="s">
        <v>9448</v>
      </c>
      <c r="R11" s="9">
        <v>1169</v>
      </c>
      <c r="S11" s="26" t="s">
        <v>9467</v>
      </c>
      <c r="T11" s="7">
        <v>330.76</v>
      </c>
      <c r="U11" s="26" t="s">
        <v>9559</v>
      </c>
      <c r="V11" s="9">
        <v>1169</v>
      </c>
      <c r="W11" s="26" t="s">
        <v>9618</v>
      </c>
      <c r="X11" s="9">
        <v>1969.99</v>
      </c>
      <c r="Y11" s="26" t="s">
        <v>9682</v>
      </c>
      <c r="Z11" s="9"/>
      <c r="AA11" s="26"/>
      <c r="AB11" s="9"/>
      <c r="AC11" s="26"/>
      <c r="AD11" s="24">
        <v>883.95</v>
      </c>
      <c r="AE11" s="85" t="s">
        <v>9812</v>
      </c>
      <c r="AF11" s="9">
        <v>2201.46</v>
      </c>
      <c r="AG11" s="15" t="s">
        <v>9857</v>
      </c>
      <c r="AH11" s="72">
        <v>7638.31</v>
      </c>
      <c r="AI11" s="15" t="s">
        <v>9905</v>
      </c>
      <c r="AJ11" s="87">
        <v>100000</v>
      </c>
      <c r="AK11" s="26" t="s">
        <v>9942</v>
      </c>
      <c r="AL11" s="9"/>
      <c r="AM11" s="15"/>
      <c r="AN11" s="9">
        <v>561.20000000000005</v>
      </c>
      <c r="AO11" s="26" t="s">
        <v>9989</v>
      </c>
      <c r="AP11" s="9">
        <v>350</v>
      </c>
      <c r="AQ11" s="26" t="s">
        <v>10046</v>
      </c>
      <c r="AR11" s="9">
        <v>3319.99</v>
      </c>
      <c r="AS11" s="15" t="s">
        <v>10092</v>
      </c>
      <c r="AT11" s="9">
        <v>5000</v>
      </c>
      <c r="AU11" s="15" t="s">
        <v>10141</v>
      </c>
      <c r="AV11" s="9">
        <v>3250.01</v>
      </c>
      <c r="AW11" s="26" t="s">
        <v>10185</v>
      </c>
      <c r="AX11" s="9">
        <v>304.14999999999998</v>
      </c>
      <c r="AY11" s="26" t="s">
        <v>10212</v>
      </c>
      <c r="AZ11" s="7">
        <v>34370</v>
      </c>
      <c r="BA11" s="26" t="s">
        <v>10251</v>
      </c>
      <c r="BB11" s="9">
        <v>443.83</v>
      </c>
      <c r="BC11" s="15" t="s">
        <v>10310</v>
      </c>
      <c r="BD11" s="9">
        <v>94</v>
      </c>
      <c r="BE11" s="15" t="s">
        <v>10393</v>
      </c>
      <c r="BF11" s="9">
        <v>464.35</v>
      </c>
      <c r="BG11" s="26" t="s">
        <v>10421</v>
      </c>
      <c r="BH11" s="9"/>
      <c r="BI11" s="15"/>
      <c r="BJ11" s="9"/>
      <c r="BK11" s="15"/>
      <c r="BL11" s="9"/>
      <c r="BM11" s="15"/>
      <c r="BN11" s="9"/>
      <c r="BO11" s="15"/>
      <c r="BP11" s="9"/>
      <c r="BQ11" s="15"/>
      <c r="BR11" s="9"/>
      <c r="BS11" s="15"/>
      <c r="BT11" s="9"/>
      <c r="BU11" s="15"/>
      <c r="BV11" s="9"/>
      <c r="BW11" s="15"/>
      <c r="BX11" s="9"/>
      <c r="BY11" s="15"/>
      <c r="BZ11" s="9"/>
      <c r="CA11" s="15"/>
      <c r="CB11" s="9"/>
      <c r="CC11" s="15"/>
      <c r="CD11" s="9"/>
      <c r="CE11" s="15"/>
      <c r="CF11" s="9"/>
      <c r="CG11" s="15"/>
      <c r="CH11" s="9"/>
      <c r="CI11" s="15"/>
      <c r="CJ11" s="9"/>
      <c r="CK11" s="15"/>
      <c r="CL11" s="9"/>
      <c r="CM11" s="15"/>
      <c r="CN11" s="9"/>
      <c r="CO11" s="15"/>
      <c r="CP11" s="9"/>
    </row>
    <row r="12" spans="1:94" x14ac:dyDescent="0.25">
      <c r="A12" s="41"/>
      <c r="B12" s="9">
        <v>1169</v>
      </c>
      <c r="C12" s="15" t="s">
        <v>9171</v>
      </c>
      <c r="D12" s="9">
        <v>1000</v>
      </c>
      <c r="E12" s="15" t="s">
        <v>9241</v>
      </c>
      <c r="F12" s="9">
        <v>1169</v>
      </c>
      <c r="G12" s="15" t="s">
        <v>9192</v>
      </c>
      <c r="H12" s="9">
        <v>1169</v>
      </c>
      <c r="I12" s="15" t="s">
        <v>9313</v>
      </c>
      <c r="J12" s="96">
        <v>2040</v>
      </c>
      <c r="K12" s="15" t="s">
        <v>9371</v>
      </c>
      <c r="L12" s="9"/>
      <c r="M12" s="15"/>
      <c r="N12" s="9">
        <v>760.88</v>
      </c>
      <c r="O12" s="15" t="s">
        <v>9407</v>
      </c>
      <c r="P12" s="9">
        <v>2064.9899999999998</v>
      </c>
      <c r="Q12" s="15" t="s">
        <v>9453</v>
      </c>
      <c r="R12" s="9">
        <v>165.28</v>
      </c>
      <c r="S12" s="15" t="s">
        <v>9470</v>
      </c>
      <c r="T12" s="9">
        <f>9654.96-7000</f>
        <v>2654.9599999999991</v>
      </c>
      <c r="U12" s="15" t="s">
        <v>9560</v>
      </c>
      <c r="V12" s="9">
        <v>3319.99</v>
      </c>
      <c r="W12" s="15" t="s">
        <v>9620</v>
      </c>
      <c r="X12" s="9">
        <v>1350.01</v>
      </c>
      <c r="Y12" s="15" t="s">
        <v>9683</v>
      </c>
      <c r="Z12" s="9">
        <v>524.46</v>
      </c>
      <c r="AA12" s="26" t="s">
        <v>9720</v>
      </c>
      <c r="AB12" s="9">
        <v>100000</v>
      </c>
      <c r="AC12" s="26" t="s">
        <v>9767</v>
      </c>
      <c r="AD12" s="72">
        <v>1169</v>
      </c>
      <c r="AE12" s="86" t="s">
        <v>9814</v>
      </c>
      <c r="AF12" s="72">
        <v>1169</v>
      </c>
      <c r="AG12" s="15" t="s">
        <v>9178</v>
      </c>
      <c r="AH12" s="72">
        <v>2900</v>
      </c>
      <c r="AI12" s="26" t="s">
        <v>9906</v>
      </c>
      <c r="AJ12" s="29">
        <v>1099.01</v>
      </c>
      <c r="AK12" s="85" t="s">
        <v>9947</v>
      </c>
      <c r="AL12" s="9"/>
      <c r="AM12" s="15"/>
      <c r="AN12" s="9">
        <v>95.82</v>
      </c>
      <c r="AO12" s="15" t="s">
        <v>9995</v>
      </c>
      <c r="AP12" s="9">
        <v>419.36</v>
      </c>
      <c r="AQ12" s="15" t="s">
        <v>10047</v>
      </c>
      <c r="AR12" s="9"/>
      <c r="AS12" s="15"/>
      <c r="AT12" s="9">
        <v>1763</v>
      </c>
      <c r="AU12" s="15" t="s">
        <v>10143</v>
      </c>
      <c r="AV12" s="222">
        <v>1099.01</v>
      </c>
      <c r="AW12" s="106" t="s">
        <v>10186</v>
      </c>
      <c r="AX12" s="9">
        <v>92.87</v>
      </c>
      <c r="AY12" s="15" t="s">
        <v>10214</v>
      </c>
      <c r="AZ12" s="9">
        <v>396.11</v>
      </c>
      <c r="BA12" s="15" t="s">
        <v>10252</v>
      </c>
      <c r="BB12" s="7">
        <v>1143.1099999999999</v>
      </c>
      <c r="BC12" s="26" t="s">
        <v>10313</v>
      </c>
      <c r="BD12" s="9">
        <v>20000</v>
      </c>
      <c r="BE12" s="15" t="s">
        <v>10397</v>
      </c>
      <c r="BF12" s="9">
        <v>1099.01</v>
      </c>
      <c r="BG12" s="15" t="s">
        <v>10425</v>
      </c>
      <c r="BH12" s="120"/>
      <c r="BI12" s="15"/>
      <c r="BJ12" s="9"/>
      <c r="BK12" s="15"/>
      <c r="BL12" s="9"/>
      <c r="BM12" s="15"/>
      <c r="BN12" s="9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  <c r="CO12" s="15"/>
      <c r="CP12" s="9"/>
    </row>
    <row r="13" spans="1:94" x14ac:dyDescent="0.25">
      <c r="A13" s="41"/>
      <c r="B13" s="9">
        <v>1169</v>
      </c>
      <c r="C13" s="15" t="s">
        <v>9172</v>
      </c>
      <c r="D13" s="9">
        <v>1970</v>
      </c>
      <c r="E13" s="15" t="s">
        <v>9247</v>
      </c>
      <c r="F13" s="9">
        <v>1169</v>
      </c>
      <c r="G13" s="15" t="s">
        <v>9193</v>
      </c>
      <c r="H13" s="9">
        <f>2040-536.29</f>
        <v>1503.71</v>
      </c>
      <c r="I13" s="15" t="s">
        <v>9316</v>
      </c>
      <c r="J13" s="9">
        <v>2744.95</v>
      </c>
      <c r="K13" s="15" t="s">
        <v>9377</v>
      </c>
      <c r="L13" s="9"/>
      <c r="M13" s="15"/>
      <c r="N13" s="9">
        <v>80.239999999999995</v>
      </c>
      <c r="O13" s="15" t="s">
        <v>9411</v>
      </c>
      <c r="P13" s="9">
        <v>556.29</v>
      </c>
      <c r="Q13" s="15" t="s">
        <v>9456</v>
      </c>
      <c r="R13" s="9">
        <v>900</v>
      </c>
      <c r="S13" s="15" t="s">
        <v>9471</v>
      </c>
      <c r="T13" s="9">
        <v>460.03</v>
      </c>
      <c r="U13" s="15" t="s">
        <v>9561</v>
      </c>
      <c r="V13" s="9">
        <v>2140</v>
      </c>
      <c r="W13" s="15" t="s">
        <v>9621</v>
      </c>
      <c r="X13" s="9">
        <v>1970.02</v>
      </c>
      <c r="Y13" s="15" t="s">
        <v>9685</v>
      </c>
      <c r="Z13" s="9">
        <v>1169</v>
      </c>
      <c r="AA13" s="15" t="s">
        <v>9724</v>
      </c>
      <c r="AB13" s="9">
        <v>228.31</v>
      </c>
      <c r="AC13" s="15" t="s">
        <v>9771</v>
      </c>
      <c r="AD13" s="72">
        <v>1099.01</v>
      </c>
      <c r="AE13" s="86" t="s">
        <v>9816</v>
      </c>
      <c r="AF13" s="72">
        <v>301.99</v>
      </c>
      <c r="AG13" s="15" t="s">
        <v>9859</v>
      </c>
      <c r="AH13" s="9">
        <v>8662.58</v>
      </c>
      <c r="AI13" s="15" t="s">
        <v>9909</v>
      </c>
      <c r="AJ13" s="87">
        <v>1970</v>
      </c>
      <c r="AK13" s="26" t="s">
        <v>9953</v>
      </c>
      <c r="AL13" s="9"/>
      <c r="AM13" s="15"/>
      <c r="AN13" s="9">
        <v>1692.62</v>
      </c>
      <c r="AO13" s="26" t="s">
        <v>9997</v>
      </c>
      <c r="AP13" s="9">
        <v>1218.0999999999999</v>
      </c>
      <c r="AQ13" s="26" t="s">
        <v>10048</v>
      </c>
      <c r="AR13" s="9">
        <v>1000</v>
      </c>
      <c r="AS13" s="26" t="s">
        <v>10106</v>
      </c>
      <c r="AT13" s="7">
        <v>1902</v>
      </c>
      <c r="AU13" s="26" t="s">
        <v>10144</v>
      </c>
      <c r="AV13" s="222">
        <v>1995</v>
      </c>
      <c r="AW13" s="106" t="s">
        <v>10188</v>
      </c>
      <c r="AX13" s="9">
        <v>3250.01</v>
      </c>
      <c r="AY13" s="15" t="s">
        <v>10215</v>
      </c>
      <c r="AZ13" s="9">
        <v>92.87</v>
      </c>
      <c r="BA13" s="15" t="s">
        <v>10253</v>
      </c>
      <c r="BB13" s="7">
        <f>349.36-117.46</f>
        <v>231.90000000000003</v>
      </c>
      <c r="BC13" s="26" t="s">
        <v>10315</v>
      </c>
      <c r="BD13" s="9">
        <v>2250.0100000000002</v>
      </c>
      <c r="BE13" s="15" t="s">
        <v>10400</v>
      </c>
      <c r="BF13" s="9">
        <v>1170.1600000000001</v>
      </c>
      <c r="BG13" s="15" t="s">
        <v>10428</v>
      </c>
      <c r="BH13" s="9"/>
      <c r="BI13" s="15"/>
      <c r="BJ13" s="9"/>
      <c r="BK13" s="15"/>
      <c r="BL13" s="9"/>
      <c r="BM13" s="15"/>
      <c r="BN13" s="9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  <c r="CO13" s="15"/>
      <c r="CP13" s="9"/>
    </row>
    <row r="14" spans="1:94" x14ac:dyDescent="0.25">
      <c r="A14" s="41"/>
      <c r="B14" s="9"/>
      <c r="C14" s="15"/>
      <c r="D14" s="7">
        <v>2389.9899999999998</v>
      </c>
      <c r="E14" s="26" t="s">
        <v>9248</v>
      </c>
      <c r="F14" s="9"/>
      <c r="G14" s="26"/>
      <c r="H14" s="9">
        <v>896</v>
      </c>
      <c r="I14" s="15" t="s">
        <v>9318</v>
      </c>
      <c r="J14" s="9">
        <v>2040</v>
      </c>
      <c r="K14" s="26" t="s">
        <v>9379</v>
      </c>
      <c r="L14" s="9"/>
      <c r="M14" s="15"/>
      <c r="N14" s="7">
        <v>561.20000000000005</v>
      </c>
      <c r="O14" s="26" t="s">
        <v>9412</v>
      </c>
      <c r="P14" s="9">
        <v>118.17</v>
      </c>
      <c r="Q14" s="26" t="s">
        <v>9422</v>
      </c>
      <c r="R14" s="9"/>
      <c r="S14" s="26"/>
      <c r="T14" s="7">
        <v>0.01</v>
      </c>
      <c r="U14" s="26" t="s">
        <v>9566</v>
      </c>
      <c r="V14" s="9">
        <v>2040</v>
      </c>
      <c r="W14" s="26" t="s">
        <v>9623</v>
      </c>
      <c r="X14" s="9">
        <v>1649</v>
      </c>
      <c r="Y14" s="26" t="s">
        <v>9687</v>
      </c>
      <c r="Z14" s="9">
        <v>2040</v>
      </c>
      <c r="AA14" s="15" t="s">
        <v>9725</v>
      </c>
      <c r="AB14" s="9">
        <v>3527.76</v>
      </c>
      <c r="AC14" s="15" t="s">
        <v>9772</v>
      </c>
      <c r="AD14" s="72">
        <v>133000</v>
      </c>
      <c r="AE14" s="86" t="s">
        <v>9825</v>
      </c>
      <c r="AF14" s="72">
        <v>3667.71</v>
      </c>
      <c r="AG14" s="26" t="s">
        <v>9860</v>
      </c>
      <c r="AH14" s="7">
        <v>808.01</v>
      </c>
      <c r="AI14" s="26" t="s">
        <v>9912</v>
      </c>
      <c r="AJ14" s="87">
        <v>1169</v>
      </c>
      <c r="AK14" s="26" t="s">
        <v>9957</v>
      </c>
      <c r="AL14" s="9"/>
      <c r="AM14" s="15"/>
      <c r="AN14" s="9">
        <v>20000</v>
      </c>
      <c r="AO14" s="26" t="s">
        <v>10003</v>
      </c>
      <c r="AP14" s="9">
        <v>643.05999999999995</v>
      </c>
      <c r="AQ14" s="26" t="s">
        <v>10049</v>
      </c>
      <c r="AR14" s="9">
        <v>2489.35</v>
      </c>
      <c r="AS14" s="26" t="s">
        <v>10107</v>
      </c>
      <c r="AT14" s="7">
        <v>450.92</v>
      </c>
      <c r="AU14" s="26" t="s">
        <v>10146</v>
      </c>
      <c r="AV14" s="9">
        <v>1099.01</v>
      </c>
      <c r="AW14" s="26" t="s">
        <v>10189</v>
      </c>
      <c r="AX14" s="9">
        <v>575</v>
      </c>
      <c r="AY14" s="26" t="s">
        <v>10216</v>
      </c>
      <c r="AZ14" s="7">
        <f>1078.57-985.7</f>
        <v>92.869999999999891</v>
      </c>
      <c r="BA14" s="26" t="s">
        <v>10254</v>
      </c>
      <c r="BB14" s="7">
        <v>3250</v>
      </c>
      <c r="BC14" s="26" t="s">
        <v>10316</v>
      </c>
      <c r="BD14" s="9">
        <v>1169</v>
      </c>
      <c r="BE14" s="26" t="s">
        <v>10403</v>
      </c>
      <c r="BF14" s="9"/>
      <c r="BG14" s="26"/>
      <c r="BH14" s="9"/>
      <c r="BI14" s="15"/>
      <c r="BJ14" s="9"/>
      <c r="BK14" s="15"/>
      <c r="BL14" s="9"/>
      <c r="BM14" s="15"/>
      <c r="BN14" s="9"/>
      <c r="BO14" s="15"/>
      <c r="BP14" s="9"/>
      <c r="BQ14" s="15"/>
      <c r="BR14" s="9"/>
      <c r="BS14" s="15"/>
      <c r="BT14" s="9"/>
      <c r="BU14" s="15"/>
      <c r="BV14" s="9"/>
      <c r="BW14" s="15"/>
      <c r="BX14" s="9"/>
      <c r="BY14" s="15"/>
      <c r="BZ14" s="9"/>
      <c r="CA14" s="15"/>
      <c r="CB14" s="9"/>
      <c r="CC14" s="15"/>
      <c r="CD14" s="9"/>
      <c r="CE14" s="15"/>
      <c r="CF14" s="9"/>
      <c r="CG14" s="15"/>
      <c r="CH14" s="9"/>
      <c r="CI14" s="15"/>
      <c r="CJ14" s="9"/>
      <c r="CK14" s="15"/>
      <c r="CL14" s="9"/>
      <c r="CM14" s="15"/>
      <c r="CN14" s="9"/>
      <c r="CO14" s="15"/>
      <c r="CP14" s="9"/>
    </row>
    <row r="15" spans="1:94" x14ac:dyDescent="0.25">
      <c r="A15" s="41"/>
      <c r="B15" s="9">
        <v>4500</v>
      </c>
      <c r="C15" s="15" t="s">
        <v>9194</v>
      </c>
      <c r="D15" s="7">
        <v>1168.99</v>
      </c>
      <c r="E15" s="26" t="s">
        <v>9249</v>
      </c>
      <c r="F15" s="9">
        <v>50000</v>
      </c>
      <c r="G15" s="26" t="s">
        <v>9255</v>
      </c>
      <c r="H15" s="9">
        <v>1589</v>
      </c>
      <c r="I15" s="15" t="s">
        <v>9319</v>
      </c>
      <c r="J15" s="96">
        <v>1099.01</v>
      </c>
      <c r="K15" s="26" t="s">
        <v>9382</v>
      </c>
      <c r="L15" s="7"/>
      <c r="M15" s="26"/>
      <c r="N15" s="7"/>
      <c r="O15" s="26"/>
      <c r="P15" s="9"/>
      <c r="Q15" s="26"/>
      <c r="R15" s="9">
        <v>4759</v>
      </c>
      <c r="S15" s="26" t="s">
        <v>9508</v>
      </c>
      <c r="T15" s="7">
        <v>69.989999999999995</v>
      </c>
      <c r="U15" s="26" t="s">
        <v>9568</v>
      </c>
      <c r="V15" s="7">
        <v>4465</v>
      </c>
      <c r="W15" s="26" t="s">
        <v>9624</v>
      </c>
      <c r="X15" s="7">
        <v>8486.86</v>
      </c>
      <c r="Y15" s="26" t="s">
        <v>9692</v>
      </c>
      <c r="Z15" s="9">
        <v>5000</v>
      </c>
      <c r="AA15" s="26" t="s">
        <v>9730</v>
      </c>
      <c r="AB15" s="9">
        <v>1099.01</v>
      </c>
      <c r="AC15" s="15" t="s">
        <v>9781</v>
      </c>
      <c r="AD15" s="72">
        <v>1000</v>
      </c>
      <c r="AE15" s="86" t="s">
        <v>9827</v>
      </c>
      <c r="AF15" s="72"/>
      <c r="AG15" s="26"/>
      <c r="AH15" s="7">
        <v>1560.17</v>
      </c>
      <c r="AI15" s="26" t="s">
        <v>9918</v>
      </c>
      <c r="AJ15" s="87">
        <v>2420</v>
      </c>
      <c r="AK15" s="9" t="s">
        <v>9965</v>
      </c>
      <c r="AL15" s="9"/>
      <c r="AM15" s="15"/>
      <c r="AN15" s="9">
        <v>148000</v>
      </c>
      <c r="AO15" s="26" t="s">
        <v>10005</v>
      </c>
      <c r="AP15" s="11">
        <v>41000</v>
      </c>
      <c r="AQ15" s="12" t="s">
        <v>10050</v>
      </c>
      <c r="AR15" s="9">
        <v>3959.4</v>
      </c>
      <c r="AS15" s="26" t="s">
        <v>10108</v>
      </c>
      <c r="AT15" s="7">
        <v>1449.01</v>
      </c>
      <c r="AU15" s="26" t="s">
        <v>10147</v>
      </c>
      <c r="AV15" s="9">
        <v>1995</v>
      </c>
      <c r="AW15" s="26" t="s">
        <v>10191</v>
      </c>
      <c r="AX15" s="9">
        <v>1168.99</v>
      </c>
      <c r="AY15" s="26" t="s">
        <v>10221</v>
      </c>
      <c r="AZ15" s="7">
        <v>1671.24</v>
      </c>
      <c r="BA15" s="26" t="s">
        <v>10255</v>
      </c>
      <c r="BB15" s="7">
        <v>1168.99</v>
      </c>
      <c r="BC15" s="26" t="s">
        <v>10317</v>
      </c>
      <c r="BD15" s="9">
        <v>1970</v>
      </c>
      <c r="BE15" s="26" t="s">
        <v>10405</v>
      </c>
      <c r="BF15" s="9">
        <v>185000</v>
      </c>
      <c r="BG15" s="26" t="s">
        <v>10470</v>
      </c>
      <c r="BH15" s="9"/>
      <c r="BI15" s="15"/>
      <c r="BJ15" s="9"/>
      <c r="BK15" s="15"/>
      <c r="BL15" s="9"/>
      <c r="BM15" s="15"/>
      <c r="BN15" s="9"/>
      <c r="BO15" s="15"/>
      <c r="BP15" s="9"/>
      <c r="BQ15" s="15"/>
      <c r="BR15" s="9"/>
      <c r="BS15" s="15"/>
      <c r="BT15" s="9"/>
      <c r="BU15" s="15"/>
      <c r="BV15" s="9"/>
      <c r="BW15" s="15"/>
      <c r="BX15" s="9"/>
      <c r="BY15" s="15"/>
      <c r="BZ15" s="9"/>
      <c r="CA15" s="15"/>
      <c r="CB15" s="9"/>
      <c r="CC15" s="15"/>
      <c r="CD15" s="9"/>
      <c r="CE15" s="15"/>
      <c r="CF15" s="9"/>
      <c r="CG15" s="15"/>
      <c r="CH15" s="9"/>
      <c r="CI15" s="15"/>
      <c r="CJ15" s="9"/>
      <c r="CK15" s="15"/>
      <c r="CL15" s="9"/>
      <c r="CM15" s="15"/>
      <c r="CN15" s="9"/>
      <c r="CO15" s="15"/>
      <c r="CP15" s="9"/>
    </row>
    <row r="16" spans="1:94" x14ac:dyDescent="0.25">
      <c r="A16" s="41"/>
      <c r="B16" s="9">
        <v>4500</v>
      </c>
      <c r="C16" s="15" t="s">
        <v>9195</v>
      </c>
      <c r="D16" s="7">
        <v>232</v>
      </c>
      <c r="E16" s="26" t="s">
        <v>9253</v>
      </c>
      <c r="F16" s="9">
        <v>1500</v>
      </c>
      <c r="G16" s="26" t="s">
        <v>9259</v>
      </c>
      <c r="H16" s="9">
        <v>464</v>
      </c>
      <c r="I16" s="15" t="s">
        <v>9332</v>
      </c>
      <c r="J16" s="96">
        <v>2039.99</v>
      </c>
      <c r="K16" s="26" t="s">
        <v>9384</v>
      </c>
      <c r="L16" s="7"/>
      <c r="M16" s="26"/>
      <c r="N16" s="7">
        <v>55000</v>
      </c>
      <c r="O16" s="26" t="s">
        <v>9416</v>
      </c>
      <c r="P16" s="9">
        <v>5000</v>
      </c>
      <c r="Q16" s="26" t="s">
        <v>9472</v>
      </c>
      <c r="R16" s="9">
        <v>150000</v>
      </c>
      <c r="S16" s="26" t="s">
        <v>9509</v>
      </c>
      <c r="T16" s="7"/>
      <c r="U16" s="26"/>
      <c r="V16" s="9">
        <v>1040</v>
      </c>
      <c r="W16" s="26" t="s">
        <v>9625</v>
      </c>
      <c r="X16" s="9">
        <v>1840</v>
      </c>
      <c r="Y16" s="26" t="s">
        <v>9693</v>
      </c>
      <c r="Z16" s="9">
        <v>1099.01</v>
      </c>
      <c r="AA16" s="26" t="s">
        <v>9732</v>
      </c>
      <c r="AB16" s="9">
        <v>2360</v>
      </c>
      <c r="AC16" s="15" t="s">
        <v>9782</v>
      </c>
      <c r="AD16" s="72">
        <v>171.48</v>
      </c>
      <c r="AE16" s="86" t="s">
        <v>9828</v>
      </c>
      <c r="AF16" s="72">
        <v>12513.24</v>
      </c>
      <c r="AG16" s="26" t="s">
        <v>9865</v>
      </c>
      <c r="AH16" s="7">
        <v>3248</v>
      </c>
      <c r="AI16" s="26" t="s">
        <v>9919</v>
      </c>
      <c r="AJ16" s="87">
        <v>1169</v>
      </c>
      <c r="AK16" s="26" t="s">
        <v>6173</v>
      </c>
      <c r="AL16" s="9"/>
      <c r="AM16" s="15"/>
      <c r="AN16" s="9">
        <v>833.57</v>
      </c>
      <c r="AO16" s="26" t="s">
        <v>10006</v>
      </c>
      <c r="AP16" s="9"/>
      <c r="AQ16" s="26"/>
      <c r="AR16" s="9">
        <v>4765.99</v>
      </c>
      <c r="AS16" s="7" t="s">
        <v>10110</v>
      </c>
      <c r="AT16" s="7">
        <v>1969.99</v>
      </c>
      <c r="AU16" s="26" t="s">
        <v>10150</v>
      </c>
      <c r="AV16" s="9">
        <v>1099.01</v>
      </c>
      <c r="AW16" s="26" t="s">
        <v>10194</v>
      </c>
      <c r="AX16" s="9">
        <v>464</v>
      </c>
      <c r="AY16" s="26" t="s">
        <v>10230</v>
      </c>
      <c r="AZ16" s="7">
        <v>1056.02</v>
      </c>
      <c r="BA16" s="26" t="s">
        <v>10256</v>
      </c>
      <c r="BB16" s="7">
        <v>1169</v>
      </c>
      <c r="BC16" s="26" t="s">
        <v>10318</v>
      </c>
      <c r="BD16" s="9">
        <v>3250</v>
      </c>
      <c r="BE16" s="26" t="s">
        <v>10406</v>
      </c>
      <c r="BF16" s="9">
        <v>464</v>
      </c>
      <c r="BG16" s="26" t="s">
        <v>10479</v>
      </c>
      <c r="BH16" s="120"/>
      <c r="BI16" s="120"/>
      <c r="BJ16" s="9"/>
      <c r="BK16" s="15"/>
      <c r="BL16" s="9"/>
      <c r="BM16" s="15"/>
      <c r="BN16" s="9"/>
      <c r="BO16" s="15"/>
      <c r="BP16" s="9"/>
      <c r="BQ16" s="15"/>
      <c r="BR16" s="9"/>
      <c r="BS16" s="15"/>
      <c r="BT16" s="9"/>
      <c r="BU16" s="15"/>
      <c r="BV16" s="9"/>
      <c r="BW16" s="15"/>
      <c r="BX16" s="9"/>
      <c r="BY16" s="15"/>
      <c r="BZ16" s="9"/>
      <c r="CA16" s="15"/>
      <c r="CB16" s="9"/>
      <c r="CC16" s="15"/>
      <c r="CD16" s="9"/>
      <c r="CE16" s="15"/>
      <c r="CF16" s="9"/>
      <c r="CG16" s="15"/>
      <c r="CH16" s="9"/>
      <c r="CI16" s="15"/>
      <c r="CJ16" s="9"/>
      <c r="CK16" s="15"/>
      <c r="CL16" s="9"/>
      <c r="CM16" s="15"/>
      <c r="CN16" s="9"/>
      <c r="CO16" s="15"/>
      <c r="CP16" s="9"/>
    </row>
    <row r="17" spans="1:94" x14ac:dyDescent="0.25">
      <c r="A17" s="41"/>
      <c r="B17" s="9">
        <v>377.99</v>
      </c>
      <c r="C17" s="15" t="s">
        <v>9198</v>
      </c>
      <c r="D17" s="7">
        <v>820</v>
      </c>
      <c r="E17" s="26" t="s">
        <v>9254</v>
      </c>
      <c r="F17" s="9">
        <v>1000</v>
      </c>
      <c r="G17" s="26" t="s">
        <v>9269</v>
      </c>
      <c r="H17" s="9">
        <v>1099.01</v>
      </c>
      <c r="I17" s="15" t="s">
        <v>9333</v>
      </c>
      <c r="J17" s="9">
        <v>85.84</v>
      </c>
      <c r="K17" s="9" t="s">
        <v>9388</v>
      </c>
      <c r="L17" s="7"/>
      <c r="M17" s="26"/>
      <c r="N17" s="7">
        <v>923.66</v>
      </c>
      <c r="O17" s="26" t="s">
        <v>9420</v>
      </c>
      <c r="P17" s="9">
        <v>5000</v>
      </c>
      <c r="Q17" s="26" t="s">
        <v>9473</v>
      </c>
      <c r="R17" s="9">
        <v>364.45</v>
      </c>
      <c r="S17" s="15" t="s">
        <v>9527</v>
      </c>
      <c r="T17" s="96">
        <v>1000</v>
      </c>
      <c r="U17" s="26" t="s">
        <v>9573</v>
      </c>
      <c r="V17" s="9">
        <v>150</v>
      </c>
      <c r="W17" s="26" t="s">
        <v>9631</v>
      </c>
      <c r="X17" s="9">
        <v>1469</v>
      </c>
      <c r="Y17" s="26" t="s">
        <v>9694</v>
      </c>
      <c r="Z17" s="9">
        <v>1099</v>
      </c>
      <c r="AA17" s="26" t="s">
        <v>9735</v>
      </c>
      <c r="AB17" s="9">
        <v>1149.99</v>
      </c>
      <c r="AC17" s="26" t="s">
        <v>9784</v>
      </c>
      <c r="AD17" s="72">
        <v>181.5</v>
      </c>
      <c r="AE17" s="86" t="s">
        <v>9829</v>
      </c>
      <c r="AF17" s="72">
        <v>1099</v>
      </c>
      <c r="AG17" s="26" t="s">
        <v>9872</v>
      </c>
      <c r="AH17" s="7">
        <v>5929</v>
      </c>
      <c r="AI17" s="26" t="s">
        <v>9922</v>
      </c>
      <c r="AJ17" s="72">
        <v>1169</v>
      </c>
      <c r="AK17" s="15" t="s">
        <v>9966</v>
      </c>
      <c r="AL17" s="9"/>
      <c r="AM17" s="15"/>
      <c r="AN17" s="9">
        <v>115000</v>
      </c>
      <c r="AO17" s="26" t="s">
        <v>10008</v>
      </c>
      <c r="AP17" s="9">
        <v>1000</v>
      </c>
      <c r="AQ17" s="26" t="s">
        <v>10051</v>
      </c>
      <c r="AR17" s="9">
        <v>1011.9</v>
      </c>
      <c r="AS17" s="26" t="s">
        <v>10111</v>
      </c>
      <c r="AT17" s="7">
        <v>1261.3399999999999</v>
      </c>
      <c r="AU17" s="26" t="s">
        <v>10154</v>
      </c>
      <c r="AV17" s="9">
        <v>2095.0100000000002</v>
      </c>
      <c r="AW17" s="26" t="s">
        <v>10196</v>
      </c>
      <c r="AX17" s="9">
        <v>1099</v>
      </c>
      <c r="AY17" s="26" t="s">
        <v>10233</v>
      </c>
      <c r="AZ17" s="7">
        <v>1050.24</v>
      </c>
      <c r="BA17" s="26" t="s">
        <v>10257</v>
      </c>
      <c r="BB17" s="7">
        <v>1970</v>
      </c>
      <c r="BC17" s="26" t="s">
        <v>10320</v>
      </c>
      <c r="BD17" s="9"/>
      <c r="BE17" s="26"/>
      <c r="BF17" s="9">
        <v>2434</v>
      </c>
      <c r="BG17" s="26" t="s">
        <v>10484</v>
      </c>
      <c r="BH17" s="9"/>
      <c r="BI17" s="15"/>
      <c r="BJ17" s="9"/>
      <c r="BK17" s="15"/>
      <c r="BL17" s="9"/>
      <c r="BM17" s="15"/>
      <c r="BN17" s="9"/>
      <c r="BO17" s="15"/>
      <c r="BP17" s="9"/>
      <c r="BQ17" s="15"/>
      <c r="BR17" s="9"/>
      <c r="BS17" s="15"/>
      <c r="BT17" s="9"/>
      <c r="BU17" s="15"/>
      <c r="BV17" s="9"/>
      <c r="BW17" s="15"/>
      <c r="BX17" s="9"/>
      <c r="BY17" s="15"/>
      <c r="BZ17" s="9"/>
      <c r="CA17" s="15"/>
      <c r="CB17" s="9"/>
      <c r="CC17" s="15"/>
      <c r="CD17" s="9"/>
      <c r="CE17" s="15"/>
      <c r="CF17" s="9"/>
      <c r="CG17" s="15"/>
      <c r="CH17" s="9"/>
      <c r="CI17" s="15"/>
      <c r="CJ17" s="9"/>
      <c r="CK17" s="15"/>
      <c r="CL17" s="9"/>
      <c r="CM17" s="15"/>
      <c r="CN17" s="9"/>
      <c r="CO17" s="15"/>
      <c r="CP17" s="9"/>
    </row>
    <row r="18" spans="1:94" x14ac:dyDescent="0.25">
      <c r="A18" s="41"/>
      <c r="B18" s="9">
        <v>20000</v>
      </c>
      <c r="C18" s="15" t="s">
        <v>9199</v>
      </c>
      <c r="D18" s="7"/>
      <c r="E18" s="26"/>
      <c r="F18" s="9">
        <v>464</v>
      </c>
      <c r="G18" s="26" t="s">
        <v>9270</v>
      </c>
      <c r="H18" s="9">
        <v>160.47</v>
      </c>
      <c r="I18" s="15" t="s">
        <v>9334</v>
      </c>
      <c r="J18" s="9">
        <v>86</v>
      </c>
      <c r="K18" s="15" t="s">
        <v>9389</v>
      </c>
      <c r="L18" s="7"/>
      <c r="M18" s="26"/>
      <c r="N18" s="7">
        <v>923.66</v>
      </c>
      <c r="O18" s="26" t="s">
        <v>9421</v>
      </c>
      <c r="P18" s="9">
        <v>5000</v>
      </c>
      <c r="Q18" s="26" t="s">
        <v>9474</v>
      </c>
      <c r="R18" s="9">
        <v>626.72</v>
      </c>
      <c r="S18" s="15" t="s">
        <v>9529</v>
      </c>
      <c r="T18" s="96">
        <v>50000</v>
      </c>
      <c r="U18" s="26" t="s">
        <v>9576</v>
      </c>
      <c r="V18" s="9">
        <v>100</v>
      </c>
      <c r="W18" s="26" t="s">
        <v>9633</v>
      </c>
      <c r="X18" s="9">
        <v>4239</v>
      </c>
      <c r="Y18" s="26" t="s">
        <v>9697</v>
      </c>
      <c r="Z18" s="9">
        <v>1169</v>
      </c>
      <c r="AA18" s="26" t="s">
        <v>9737</v>
      </c>
      <c r="AB18" s="9">
        <v>1168.99</v>
      </c>
      <c r="AC18" s="26" t="s">
        <v>9785</v>
      </c>
      <c r="AD18" s="72">
        <v>1169</v>
      </c>
      <c r="AE18" s="86" t="s">
        <v>6032</v>
      </c>
      <c r="AF18" s="72">
        <v>1000</v>
      </c>
      <c r="AG18" s="26" t="s">
        <v>9873</v>
      </c>
      <c r="AH18" s="7">
        <v>4395.01</v>
      </c>
      <c r="AI18" s="26" t="s">
        <v>9924</v>
      </c>
      <c r="AJ18" s="87">
        <v>4464.99</v>
      </c>
      <c r="AK18" s="26" t="s">
        <v>9969</v>
      </c>
      <c r="AL18" s="9"/>
      <c r="AM18" s="15"/>
      <c r="AN18" s="9">
        <v>561.20000000000005</v>
      </c>
      <c r="AO18" s="26" t="s">
        <v>10010</v>
      </c>
      <c r="AP18" s="9">
        <v>112.46</v>
      </c>
      <c r="AQ18" s="26" t="s">
        <v>10052</v>
      </c>
      <c r="AR18" s="9">
        <v>959.41</v>
      </c>
      <c r="AS18" s="15" t="s">
        <v>10114</v>
      </c>
      <c r="AT18" s="7">
        <v>1261.3399999999999</v>
      </c>
      <c r="AU18" s="26" t="s">
        <v>10155</v>
      </c>
      <c r="AV18" s="9"/>
      <c r="AW18" s="26"/>
      <c r="AX18" s="9">
        <v>3000.02</v>
      </c>
      <c r="AY18" s="26" t="s">
        <v>10237</v>
      </c>
      <c r="AZ18" s="7">
        <v>2040</v>
      </c>
      <c r="BA18" s="26" t="s">
        <v>10263</v>
      </c>
      <c r="BB18" s="9">
        <v>130000</v>
      </c>
      <c r="BC18" s="15" t="s">
        <v>10350</v>
      </c>
      <c r="BD18" s="9">
        <v>35000</v>
      </c>
      <c r="BE18" s="26" t="s">
        <v>10429</v>
      </c>
      <c r="BF18" s="9">
        <v>3250</v>
      </c>
      <c r="BG18" s="26" t="s">
        <v>10485</v>
      </c>
      <c r="BH18" s="9"/>
      <c r="BI18" s="15"/>
      <c r="BJ18" s="9"/>
      <c r="BK18" s="15"/>
      <c r="BL18" s="9"/>
      <c r="BM18" s="15"/>
      <c r="BN18" s="9"/>
      <c r="BO18" s="15"/>
      <c r="BP18" s="9"/>
      <c r="BQ18" s="15"/>
      <c r="BR18" s="9"/>
      <c r="BS18" s="15"/>
      <c r="BT18" s="9"/>
      <c r="BU18" s="15"/>
      <c r="BV18" s="9"/>
      <c r="BW18" s="15"/>
      <c r="BX18" s="9"/>
      <c r="BY18" s="15"/>
      <c r="BZ18" s="9"/>
      <c r="CA18" s="15"/>
      <c r="CB18" s="9"/>
      <c r="CC18" s="15"/>
      <c r="CD18" s="9"/>
      <c r="CE18" s="15"/>
      <c r="CF18" s="9"/>
      <c r="CG18" s="15"/>
      <c r="CH18" s="9"/>
      <c r="CI18" s="15"/>
      <c r="CJ18" s="9"/>
      <c r="CK18" s="15"/>
      <c r="CL18" s="9"/>
      <c r="CM18" s="15"/>
      <c r="CN18" s="9"/>
      <c r="CO18" s="15"/>
      <c r="CP18" s="9"/>
    </row>
    <row r="19" spans="1:94" x14ac:dyDescent="0.25">
      <c r="A19" s="41"/>
      <c r="B19" s="9">
        <v>100000</v>
      </c>
      <c r="C19" s="15" t="s">
        <v>9202</v>
      </c>
      <c r="D19" s="7"/>
      <c r="E19" s="26"/>
      <c r="F19" s="9">
        <v>464</v>
      </c>
      <c r="G19" s="26" t="s">
        <v>9273</v>
      </c>
      <c r="H19" s="9">
        <v>822.39</v>
      </c>
      <c r="I19" s="15" t="s">
        <v>9335</v>
      </c>
      <c r="J19" s="9">
        <v>104.66</v>
      </c>
      <c r="K19" s="15" t="s">
        <v>9390</v>
      </c>
      <c r="L19" s="7"/>
      <c r="M19" s="26"/>
      <c r="N19" s="7">
        <v>336.37</v>
      </c>
      <c r="O19" s="26" t="s">
        <v>9422</v>
      </c>
      <c r="P19" s="9">
        <v>5000</v>
      </c>
      <c r="Q19" s="26" t="s">
        <v>9414</v>
      </c>
      <c r="R19" s="9">
        <v>1857.39</v>
      </c>
      <c r="S19" s="26" t="s">
        <v>9530</v>
      </c>
      <c r="T19" s="96">
        <v>159.69</v>
      </c>
      <c r="U19" s="26" t="s">
        <v>9581</v>
      </c>
      <c r="V19" s="9">
        <v>185.74</v>
      </c>
      <c r="W19" s="26" t="s">
        <v>9635</v>
      </c>
      <c r="X19" s="9">
        <v>1970</v>
      </c>
      <c r="Y19" s="26" t="s">
        <v>9698</v>
      </c>
      <c r="Z19" s="9">
        <v>1099.01</v>
      </c>
      <c r="AA19" s="26" t="s">
        <v>9738</v>
      </c>
      <c r="AB19" s="9">
        <v>2040</v>
      </c>
      <c r="AC19" s="26" t="s">
        <v>9786</v>
      </c>
      <c r="AD19" s="72">
        <v>6579.98</v>
      </c>
      <c r="AE19" s="86" t="s">
        <v>9838</v>
      </c>
      <c r="AF19" s="72">
        <v>1548.99</v>
      </c>
      <c r="AG19" s="26" t="s">
        <v>9875</v>
      </c>
      <c r="AH19" s="9">
        <v>696</v>
      </c>
      <c r="AI19" s="15" t="s">
        <v>9927</v>
      </c>
      <c r="AJ19" s="87">
        <v>150</v>
      </c>
      <c r="AK19" s="26" t="s">
        <v>9972</v>
      </c>
      <c r="AL19" s="9"/>
      <c r="AM19" s="15"/>
      <c r="AN19" s="9">
        <v>1169</v>
      </c>
      <c r="AO19" s="26" t="s">
        <v>10011</v>
      </c>
      <c r="AP19" s="9">
        <v>14210.62</v>
      </c>
      <c r="AQ19" s="26" t="s">
        <v>10057</v>
      </c>
      <c r="AR19" s="7">
        <v>92.87</v>
      </c>
      <c r="AS19" s="26" t="s">
        <v>10115</v>
      </c>
      <c r="AT19" s="7">
        <v>1942.34</v>
      </c>
      <c r="AU19" s="26" t="s">
        <v>10156</v>
      </c>
      <c r="AV19" s="9">
        <v>150</v>
      </c>
      <c r="AW19" s="26" t="s">
        <v>10271</v>
      </c>
      <c r="AX19" s="9"/>
      <c r="AY19" s="26"/>
      <c r="AZ19" s="7">
        <v>400</v>
      </c>
      <c r="BA19" s="26" t="s">
        <v>10265</v>
      </c>
      <c r="BB19" s="9">
        <v>16000</v>
      </c>
      <c r="BC19" s="15" t="s">
        <v>10353</v>
      </c>
      <c r="BD19" s="9">
        <v>203</v>
      </c>
      <c r="BE19" s="26" t="s">
        <v>10430</v>
      </c>
      <c r="BF19" s="9">
        <v>3319.99</v>
      </c>
      <c r="BG19" s="26" t="s">
        <v>10492</v>
      </c>
      <c r="BH19" s="9"/>
      <c r="BI19" s="15"/>
      <c r="BJ19" s="9"/>
      <c r="BK19" s="15"/>
      <c r="BL19" s="9"/>
      <c r="BM19" s="15"/>
      <c r="BN19" s="9"/>
      <c r="BO19" s="15"/>
      <c r="BP19" s="9"/>
      <c r="BQ19" s="15"/>
      <c r="BR19" s="9"/>
      <c r="BS19" s="15"/>
      <c r="BT19" s="9"/>
      <c r="BU19" s="15"/>
      <c r="BV19" s="9"/>
      <c r="BW19" s="15"/>
      <c r="BX19" s="9"/>
      <c r="BY19" s="15"/>
      <c r="BZ19" s="9"/>
      <c r="CA19" s="15"/>
      <c r="CB19" s="9"/>
      <c r="CC19" s="15"/>
      <c r="CD19" s="9"/>
      <c r="CE19" s="15"/>
      <c r="CF19" s="9"/>
      <c r="CG19" s="15"/>
      <c r="CH19" s="9"/>
      <c r="CI19" s="15"/>
      <c r="CJ19" s="9"/>
      <c r="CK19" s="15"/>
      <c r="CL19" s="9"/>
      <c r="CM19" s="15"/>
      <c r="CN19" s="9"/>
      <c r="CO19" s="15"/>
      <c r="CP19" s="9"/>
    </row>
    <row r="20" spans="1:94" x14ac:dyDescent="0.25">
      <c r="A20" s="41"/>
      <c r="B20" s="9">
        <v>1099.01</v>
      </c>
      <c r="C20" s="15" t="s">
        <v>9209</v>
      </c>
      <c r="D20" s="7"/>
      <c r="E20" s="26"/>
      <c r="F20" s="9">
        <v>1168.99</v>
      </c>
      <c r="G20" s="26" t="s">
        <v>9283</v>
      </c>
      <c r="H20" s="9">
        <v>1169</v>
      </c>
      <c r="I20" s="15" t="s">
        <v>9328</v>
      </c>
      <c r="J20" s="9">
        <v>92.87</v>
      </c>
      <c r="K20" s="15" t="s">
        <v>9391</v>
      </c>
      <c r="L20" s="9"/>
      <c r="M20" s="15"/>
      <c r="N20" s="7">
        <v>2040</v>
      </c>
      <c r="O20" s="26" t="s">
        <v>9423</v>
      </c>
      <c r="P20" s="9">
        <v>1583</v>
      </c>
      <c r="Q20" s="26" t="s">
        <v>9476</v>
      </c>
      <c r="R20" s="9">
        <v>52.2</v>
      </c>
      <c r="S20" s="26" t="s">
        <v>9534</v>
      </c>
      <c r="T20" s="96">
        <v>1169</v>
      </c>
      <c r="U20" s="26" t="s">
        <v>9585</v>
      </c>
      <c r="V20" s="9"/>
      <c r="W20" s="26"/>
      <c r="X20" s="9">
        <v>450</v>
      </c>
      <c r="Y20" s="26" t="s">
        <v>9699</v>
      </c>
      <c r="Z20" s="9">
        <v>2065</v>
      </c>
      <c r="AA20" s="26" t="s">
        <v>9739</v>
      </c>
      <c r="AB20" s="9">
        <v>1970</v>
      </c>
      <c r="AC20" s="26" t="s">
        <v>9788</v>
      </c>
      <c r="AD20" s="72">
        <v>2040</v>
      </c>
      <c r="AE20" s="86" t="s">
        <v>9841</v>
      </c>
      <c r="AF20" s="72">
        <v>500.01</v>
      </c>
      <c r="AG20" s="26" t="s">
        <v>9877</v>
      </c>
      <c r="AH20" s="9">
        <v>4215.99</v>
      </c>
      <c r="AI20" s="15" t="s">
        <v>9929</v>
      </c>
      <c r="AJ20" s="87">
        <v>277.94</v>
      </c>
      <c r="AK20" s="26" t="s">
        <v>9974</v>
      </c>
      <c r="AL20" s="9"/>
      <c r="AM20" s="15"/>
      <c r="AN20" s="9">
        <v>1099.01</v>
      </c>
      <c r="AO20" s="26" t="s">
        <v>10012</v>
      </c>
      <c r="AP20" s="9">
        <v>1970</v>
      </c>
      <c r="AQ20" s="15" t="s">
        <v>10062</v>
      </c>
      <c r="AR20" s="72">
        <v>654.07000000000005</v>
      </c>
      <c r="AS20" s="24" t="s">
        <v>10118</v>
      </c>
      <c r="AT20" s="9">
        <v>1099.01</v>
      </c>
      <c r="AU20" s="15" t="s">
        <v>10159</v>
      </c>
      <c r="AV20" s="9">
        <v>175</v>
      </c>
      <c r="AW20" s="26" t="s">
        <v>10272</v>
      </c>
      <c r="AX20" s="9"/>
      <c r="AY20" s="26"/>
      <c r="AZ20" s="7"/>
      <c r="BA20" s="26"/>
      <c r="BB20" s="9">
        <v>70000</v>
      </c>
      <c r="BC20" s="15" t="s">
        <v>10354</v>
      </c>
      <c r="BD20" s="9">
        <v>171.48</v>
      </c>
      <c r="BE20" s="26" t="s">
        <v>10431</v>
      </c>
      <c r="BF20" s="9">
        <v>1970</v>
      </c>
      <c r="BG20" s="26" t="s">
        <v>10493</v>
      </c>
      <c r="BH20" s="9"/>
      <c r="BI20" s="15"/>
      <c r="BJ20" s="9"/>
      <c r="BK20" s="15"/>
      <c r="BL20" s="9"/>
      <c r="BM20" s="15"/>
      <c r="BN20" s="9"/>
      <c r="BO20" s="15"/>
      <c r="BP20" s="9"/>
      <c r="BQ20" s="15"/>
      <c r="BR20" s="9"/>
      <c r="BS20" s="15"/>
      <c r="BT20" s="9"/>
      <c r="BU20" s="15"/>
      <c r="BV20" s="9"/>
      <c r="BW20" s="15"/>
      <c r="BX20" s="9"/>
      <c r="BY20" s="15"/>
      <c r="BZ20" s="9"/>
      <c r="CA20" s="15"/>
      <c r="CB20" s="9"/>
      <c r="CC20" s="15"/>
      <c r="CD20" s="9"/>
      <c r="CE20" s="15"/>
      <c r="CF20" s="9"/>
      <c r="CG20" s="15"/>
      <c r="CH20" s="9"/>
      <c r="CI20" s="15"/>
      <c r="CJ20" s="9"/>
      <c r="CK20" s="15"/>
      <c r="CL20" s="9"/>
      <c r="CM20" s="15"/>
      <c r="CN20" s="9"/>
      <c r="CO20" s="15"/>
      <c r="CP20" s="9"/>
    </row>
    <row r="21" spans="1:94" x14ac:dyDescent="0.25">
      <c r="A21" s="41"/>
      <c r="B21" s="9">
        <v>1168.99</v>
      </c>
      <c r="C21" s="15" t="s">
        <v>9213</v>
      </c>
      <c r="D21" s="7"/>
      <c r="E21" s="26"/>
      <c r="F21" s="9">
        <v>2040</v>
      </c>
      <c r="G21" s="26" t="s">
        <v>9285</v>
      </c>
      <c r="H21" s="9">
        <v>2040</v>
      </c>
      <c r="I21" s="15" t="s">
        <v>9329</v>
      </c>
      <c r="J21" s="9"/>
      <c r="K21" s="26"/>
      <c r="L21" s="7"/>
      <c r="M21" s="26"/>
      <c r="N21" s="7">
        <v>1099.01</v>
      </c>
      <c r="O21" s="26" t="s">
        <v>9428</v>
      </c>
      <c r="P21" s="9">
        <v>500</v>
      </c>
      <c r="Q21" s="26" t="s">
        <v>9486</v>
      </c>
      <c r="R21" s="9">
        <v>69.989999999999995</v>
      </c>
      <c r="S21" s="15" t="s">
        <v>9540</v>
      </c>
      <c r="T21" s="96">
        <v>1168.99</v>
      </c>
      <c r="U21" s="26" t="s">
        <v>9588</v>
      </c>
      <c r="V21" s="9">
        <v>500</v>
      </c>
      <c r="W21" s="26" t="s">
        <v>9637</v>
      </c>
      <c r="X21" s="9"/>
      <c r="Y21" s="26"/>
      <c r="Z21" s="9">
        <v>1970</v>
      </c>
      <c r="AA21" s="26" t="s">
        <v>9740</v>
      </c>
      <c r="AB21" s="9">
        <v>2520</v>
      </c>
      <c r="AC21" s="26" t="s">
        <v>9789</v>
      </c>
      <c r="AD21" s="72">
        <v>1169</v>
      </c>
      <c r="AE21" s="86" t="s">
        <v>9843</v>
      </c>
      <c r="AF21" s="72">
        <v>1169</v>
      </c>
      <c r="AG21" s="26" t="s">
        <v>9879</v>
      </c>
      <c r="AH21" s="7">
        <v>2040</v>
      </c>
      <c r="AI21" s="26" t="s">
        <v>9930</v>
      </c>
      <c r="AJ21" s="87"/>
      <c r="AK21" s="26"/>
      <c r="AL21" s="9"/>
      <c r="AM21" s="15"/>
      <c r="AN21" s="9">
        <v>1169</v>
      </c>
      <c r="AO21" s="26" t="s">
        <v>10013</v>
      </c>
      <c r="AP21" s="9">
        <v>1099.01</v>
      </c>
      <c r="AQ21" s="26" t="s">
        <v>10065</v>
      </c>
      <c r="AR21" s="9">
        <v>79.44</v>
      </c>
      <c r="AS21" s="15" t="s">
        <v>10119</v>
      </c>
      <c r="AT21" s="7"/>
      <c r="AU21" s="26"/>
      <c r="AV21" s="9">
        <v>30000</v>
      </c>
      <c r="AW21" s="26" t="s">
        <v>10273</v>
      </c>
      <c r="AX21" s="9"/>
      <c r="AY21" s="26"/>
      <c r="AZ21" s="7">
        <v>120000</v>
      </c>
      <c r="BA21" s="26" t="s">
        <v>10324</v>
      </c>
      <c r="BB21" s="9">
        <v>94.45</v>
      </c>
      <c r="BC21" s="15" t="s">
        <v>10356</v>
      </c>
      <c r="BD21" s="9">
        <v>159.69</v>
      </c>
      <c r="BE21" s="26" t="s">
        <v>10436</v>
      </c>
      <c r="BF21" s="9">
        <v>1099.01</v>
      </c>
      <c r="BG21" s="26" t="s">
        <v>10495</v>
      </c>
      <c r="BH21" s="9"/>
      <c r="BI21" s="26"/>
      <c r="BJ21" s="9"/>
      <c r="BK21" s="15"/>
      <c r="BL21" s="11"/>
      <c r="BM21" s="13"/>
      <c r="BN21" s="9"/>
      <c r="BO21" s="15"/>
      <c r="BP21" s="9"/>
      <c r="BQ21" s="15"/>
      <c r="BR21" s="9"/>
      <c r="BS21" s="15"/>
      <c r="BT21" s="9"/>
      <c r="BU21" s="15"/>
      <c r="BV21" s="9"/>
      <c r="BW21" s="15"/>
      <c r="BX21" s="9"/>
      <c r="BY21" s="15"/>
      <c r="BZ21" s="9"/>
      <c r="CA21" s="15"/>
      <c r="CB21" s="9"/>
      <c r="CC21" s="15"/>
      <c r="CD21" s="9"/>
      <c r="CE21" s="15"/>
      <c r="CF21" s="9"/>
      <c r="CG21" s="15"/>
      <c r="CH21" s="9"/>
      <c r="CI21" s="15"/>
      <c r="CJ21" s="9"/>
      <c r="CK21" s="15"/>
      <c r="CL21" s="9"/>
      <c r="CM21" s="15"/>
      <c r="CN21" s="9"/>
      <c r="CO21" s="15"/>
      <c r="CP21" s="9"/>
    </row>
    <row r="22" spans="1:94" x14ac:dyDescent="0.25">
      <c r="A22" s="41"/>
      <c r="B22" s="9">
        <v>3319.99</v>
      </c>
      <c r="C22" s="15" t="s">
        <v>9220</v>
      </c>
      <c r="D22" s="7"/>
      <c r="E22" s="26"/>
      <c r="F22" s="9">
        <v>3250</v>
      </c>
      <c r="G22" s="26" t="s">
        <v>9288</v>
      </c>
      <c r="H22" s="15">
        <v>1169</v>
      </c>
      <c r="I22" s="15" t="s">
        <v>9330</v>
      </c>
      <c r="J22" s="9"/>
      <c r="K22" s="26"/>
      <c r="L22" s="7"/>
      <c r="M22" s="26"/>
      <c r="N22" s="7">
        <v>1589</v>
      </c>
      <c r="O22" s="26" t="s">
        <v>9429</v>
      </c>
      <c r="P22" s="9">
        <v>1301.45</v>
      </c>
      <c r="Q22" s="15" t="s">
        <v>9487</v>
      </c>
      <c r="R22" s="9">
        <v>2315</v>
      </c>
      <c r="S22" s="15" t="s">
        <v>9543</v>
      </c>
      <c r="T22" s="96">
        <v>1168.99</v>
      </c>
      <c r="U22" s="15" t="s">
        <v>9596</v>
      </c>
      <c r="V22" s="9">
        <v>2</v>
      </c>
      <c r="W22" s="26" t="s">
        <v>9638</v>
      </c>
      <c r="X22" s="9"/>
      <c r="Y22" s="26"/>
      <c r="Z22" s="9">
        <v>1970</v>
      </c>
      <c r="AA22" s="9" t="s">
        <v>9741</v>
      </c>
      <c r="AB22" s="9">
        <v>696</v>
      </c>
      <c r="AC22" s="26" t="s">
        <v>9790</v>
      </c>
      <c r="AD22" s="72">
        <v>1169</v>
      </c>
      <c r="AE22" s="86" t="s">
        <v>9844</v>
      </c>
      <c r="AF22" s="9">
        <v>4285.99</v>
      </c>
      <c r="AG22" s="86" t="s">
        <v>9881</v>
      </c>
      <c r="AH22" s="7">
        <v>4218.99</v>
      </c>
      <c r="AI22" s="26" t="s">
        <v>9931</v>
      </c>
      <c r="AJ22" s="87"/>
      <c r="AK22" s="26"/>
      <c r="AL22" s="9"/>
      <c r="AM22" s="15"/>
      <c r="AN22" s="9">
        <v>1169</v>
      </c>
      <c r="AO22" s="26" t="s">
        <v>10014</v>
      </c>
      <c r="AP22" s="9">
        <v>1970</v>
      </c>
      <c r="AQ22" s="26" t="s">
        <v>10071</v>
      </c>
      <c r="AR22" s="9">
        <v>1995.03</v>
      </c>
      <c r="AS22" s="15" t="s">
        <v>10121</v>
      </c>
      <c r="AT22" s="7"/>
      <c r="AU22" s="26"/>
      <c r="AV22" s="9">
        <v>985.7</v>
      </c>
      <c r="AW22" s="26" t="s">
        <v>10277</v>
      </c>
      <c r="AX22" s="9"/>
      <c r="AY22" s="26"/>
      <c r="AZ22" s="7">
        <v>256000</v>
      </c>
      <c r="BA22" s="26" t="s">
        <v>10326</v>
      </c>
      <c r="BB22" s="9">
        <v>616.33000000000004</v>
      </c>
      <c r="BC22" s="15" t="s">
        <v>10359</v>
      </c>
      <c r="BD22" s="9">
        <v>2500</v>
      </c>
      <c r="BE22" s="26" t="s">
        <v>10437</v>
      </c>
      <c r="BF22" s="9">
        <v>200</v>
      </c>
      <c r="BG22" s="26" t="s">
        <v>10500</v>
      </c>
      <c r="BH22" s="9"/>
      <c r="BI22" s="26"/>
      <c r="BJ22" s="9"/>
      <c r="BK22" s="15"/>
      <c r="BL22" s="11"/>
      <c r="BM22" s="13"/>
      <c r="BN22" s="9"/>
      <c r="BO22" s="15"/>
      <c r="BP22" s="9"/>
      <c r="BQ22" s="15"/>
      <c r="BR22" s="9"/>
      <c r="BS22" s="15"/>
      <c r="BT22" s="9"/>
      <c r="BU22" s="15"/>
      <c r="BV22" s="9"/>
      <c r="BW22" s="15"/>
      <c r="BX22" s="9"/>
      <c r="BY22" s="15"/>
      <c r="BZ22" s="9"/>
      <c r="CA22" s="15"/>
      <c r="CB22" s="9"/>
      <c r="CC22" s="15"/>
      <c r="CD22" s="9"/>
      <c r="CE22" s="15"/>
      <c r="CF22" s="9"/>
      <c r="CG22" s="15"/>
      <c r="CH22" s="9"/>
      <c r="CI22" s="15"/>
      <c r="CJ22" s="9"/>
      <c r="CK22" s="15"/>
      <c r="CL22" s="9"/>
      <c r="CM22" s="15"/>
      <c r="CN22" s="9"/>
      <c r="CO22" s="15"/>
      <c r="CP22" s="9"/>
    </row>
    <row r="23" spans="1:94" x14ac:dyDescent="0.25">
      <c r="A23" s="41"/>
      <c r="B23" s="9">
        <v>2535.9899999999998</v>
      </c>
      <c r="C23" s="15" t="s">
        <v>9224</v>
      </c>
      <c r="D23" s="7"/>
      <c r="E23" s="26"/>
      <c r="F23" s="9">
        <v>2894.99</v>
      </c>
      <c r="G23" s="26" t="s">
        <v>9289</v>
      </c>
      <c r="H23" s="9"/>
      <c r="I23" s="15"/>
      <c r="J23" s="9"/>
      <c r="K23" s="15"/>
      <c r="L23" s="9"/>
      <c r="M23" s="15"/>
      <c r="N23" s="9">
        <v>1665.01</v>
      </c>
      <c r="O23" s="15" t="s">
        <v>9431</v>
      </c>
      <c r="P23" s="9">
        <v>92.87</v>
      </c>
      <c r="Q23" s="15" t="s">
        <v>9490</v>
      </c>
      <c r="R23" s="9">
        <v>1589</v>
      </c>
      <c r="S23" s="15" t="s">
        <v>9544</v>
      </c>
      <c r="T23" s="96">
        <v>1169</v>
      </c>
      <c r="U23" s="15" t="s">
        <v>9600</v>
      </c>
      <c r="V23" s="9">
        <v>7000</v>
      </c>
      <c r="W23" s="15" t="s">
        <v>9641</v>
      </c>
      <c r="X23" s="9"/>
      <c r="Y23" s="15"/>
      <c r="Z23" s="9">
        <v>1099.01</v>
      </c>
      <c r="AA23" s="26" t="s">
        <v>9742</v>
      </c>
      <c r="AB23" s="9">
        <v>80.239999999999995</v>
      </c>
      <c r="AC23" s="15" t="s">
        <v>9795</v>
      </c>
      <c r="AD23" s="72">
        <v>1099.01</v>
      </c>
      <c r="AE23" s="86" t="s">
        <v>9846</v>
      </c>
      <c r="AF23" s="72">
        <v>1169</v>
      </c>
      <c r="AG23" s="26" t="s">
        <v>9885</v>
      </c>
      <c r="AH23" s="72">
        <v>1469</v>
      </c>
      <c r="AI23" s="24" t="s">
        <v>9932</v>
      </c>
      <c r="AJ23" s="87"/>
      <c r="AK23" s="26"/>
      <c r="AL23" s="9"/>
      <c r="AM23" s="15"/>
      <c r="AN23" s="9">
        <v>1169</v>
      </c>
      <c r="AO23" s="26" t="s">
        <v>10015</v>
      </c>
      <c r="AP23" s="9">
        <v>1169</v>
      </c>
      <c r="AQ23" s="26" t="s">
        <v>10075</v>
      </c>
      <c r="AR23" s="9">
        <v>1169</v>
      </c>
      <c r="AS23" s="26" t="s">
        <v>10122</v>
      </c>
      <c r="AT23" s="7"/>
      <c r="AU23" s="26"/>
      <c r="AV23" s="9">
        <v>1000</v>
      </c>
      <c r="AW23" s="15" t="s">
        <v>10280</v>
      </c>
      <c r="AX23" s="9"/>
      <c r="AY23" s="15"/>
      <c r="AZ23" s="7">
        <v>4323</v>
      </c>
      <c r="BA23" s="26" t="s">
        <v>10327</v>
      </c>
      <c r="BB23" s="9">
        <v>1099.01</v>
      </c>
      <c r="BC23" s="15" t="s">
        <v>10361</v>
      </c>
      <c r="BD23" s="9">
        <v>21500</v>
      </c>
      <c r="BE23" s="26" t="s">
        <v>10438</v>
      </c>
      <c r="BF23" s="9">
        <v>2039.99</v>
      </c>
      <c r="BG23" s="26" t="s">
        <v>10502</v>
      </c>
      <c r="BH23" s="9"/>
      <c r="BI23" s="26"/>
      <c r="BJ23" s="9"/>
      <c r="BK23" s="15"/>
      <c r="BL23" s="9"/>
      <c r="BM23" s="15"/>
      <c r="BN23" s="9"/>
      <c r="BO23" s="15"/>
      <c r="BP23" s="9"/>
      <c r="BQ23" s="15"/>
      <c r="BR23" s="9"/>
      <c r="BS23" s="15"/>
      <c r="BT23" s="9"/>
      <c r="BU23" s="15"/>
      <c r="BV23" s="9"/>
      <c r="BW23" s="15"/>
      <c r="BX23" s="9"/>
      <c r="BY23" s="15"/>
      <c r="BZ23" s="9"/>
      <c r="CA23" s="15"/>
      <c r="CB23" s="9"/>
      <c r="CC23" s="15"/>
      <c r="CD23" s="9"/>
      <c r="CE23" s="15"/>
      <c r="CF23" s="9"/>
      <c r="CG23" s="15"/>
      <c r="CH23" s="9"/>
      <c r="CI23" s="15"/>
      <c r="CJ23" s="9"/>
      <c r="CK23" s="15"/>
      <c r="CL23" s="9"/>
      <c r="CM23" s="15"/>
      <c r="CN23" s="9"/>
      <c r="CO23" s="15"/>
      <c r="CP23" s="9"/>
    </row>
    <row r="24" spans="1:94" x14ac:dyDescent="0.25">
      <c r="A24" s="41"/>
      <c r="B24" s="9">
        <v>1169</v>
      </c>
      <c r="C24" s="15" t="s">
        <v>9225</v>
      </c>
      <c r="D24" s="7"/>
      <c r="E24" s="26"/>
      <c r="F24" s="9">
        <v>1169</v>
      </c>
      <c r="G24" s="26" t="s">
        <v>9290</v>
      </c>
      <c r="H24" s="9">
        <v>253</v>
      </c>
      <c r="I24" s="15" t="s">
        <v>9338</v>
      </c>
      <c r="J24" s="9"/>
      <c r="K24" s="15"/>
      <c r="L24" s="9"/>
      <c r="M24" s="15"/>
      <c r="N24" s="9">
        <v>1720</v>
      </c>
      <c r="O24" s="15" t="s">
        <v>9437</v>
      </c>
      <c r="P24" s="9">
        <v>1169</v>
      </c>
      <c r="Q24" s="15" t="s">
        <v>9491</v>
      </c>
      <c r="R24" s="9"/>
      <c r="S24" s="15"/>
      <c r="T24" s="96">
        <v>3239</v>
      </c>
      <c r="U24" s="15" t="s">
        <v>9601</v>
      </c>
      <c r="V24" s="9">
        <v>25000</v>
      </c>
      <c r="W24" s="15" t="s">
        <v>9646</v>
      </c>
      <c r="X24" s="9"/>
      <c r="Y24" s="15"/>
      <c r="Z24" s="9">
        <v>1500</v>
      </c>
      <c r="AA24" s="15" t="s">
        <v>9715</v>
      </c>
      <c r="AB24" s="9">
        <v>92.87</v>
      </c>
      <c r="AC24" s="15" t="s">
        <v>9798</v>
      </c>
      <c r="AD24" s="72">
        <v>69.989999999999995</v>
      </c>
      <c r="AE24" s="86" t="s">
        <v>9847</v>
      </c>
      <c r="AF24" s="9">
        <v>1168.99</v>
      </c>
      <c r="AG24" s="15" t="s">
        <v>9892</v>
      </c>
      <c r="AH24" s="7">
        <v>1583.01</v>
      </c>
      <c r="AI24" s="26" t="s">
        <v>9934</v>
      </c>
      <c r="AJ24" s="87"/>
      <c r="AK24" s="26"/>
      <c r="AL24" s="9"/>
      <c r="AM24" s="15"/>
      <c r="AN24" s="9">
        <v>1099.01</v>
      </c>
      <c r="AO24" s="26" t="s">
        <v>10018</v>
      </c>
      <c r="AP24" s="9">
        <v>575</v>
      </c>
      <c r="AQ24" s="26" t="s">
        <v>10078</v>
      </c>
      <c r="AR24" s="9">
        <v>3168.99</v>
      </c>
      <c r="AS24" s="26" t="s">
        <v>10132</v>
      </c>
      <c r="AT24" s="7"/>
      <c r="AU24" s="26"/>
      <c r="AV24" s="72">
        <v>254.72</v>
      </c>
      <c r="AW24" s="15" t="s">
        <v>10281</v>
      </c>
      <c r="AX24" s="9"/>
      <c r="AY24" s="15"/>
      <c r="AZ24" s="7">
        <v>5000</v>
      </c>
      <c r="BA24" s="26" t="s">
        <v>10328</v>
      </c>
      <c r="BB24" s="9">
        <v>1169</v>
      </c>
      <c r="BC24" s="15" t="s">
        <v>10366</v>
      </c>
      <c r="BD24" s="9">
        <v>1099.01</v>
      </c>
      <c r="BE24" s="15" t="s">
        <v>10445</v>
      </c>
      <c r="BF24" s="9">
        <v>4465</v>
      </c>
      <c r="BG24" s="26" t="s">
        <v>10503</v>
      </c>
      <c r="BH24" s="9"/>
      <c r="BI24" s="26"/>
      <c r="BJ24" s="9"/>
      <c r="BK24" s="15"/>
      <c r="BL24" s="9"/>
      <c r="BM24" s="15"/>
      <c r="BN24" s="9"/>
      <c r="BO24" s="15"/>
      <c r="BP24" s="9"/>
      <c r="BQ24" s="15"/>
      <c r="BR24" s="9"/>
      <c r="BS24" s="15"/>
      <c r="BT24" s="9"/>
      <c r="BU24" s="15"/>
      <c r="BV24" s="9"/>
      <c r="BW24" s="15"/>
      <c r="BX24" s="9"/>
      <c r="BY24" s="15"/>
      <c r="BZ24" s="9"/>
      <c r="CA24" s="15"/>
      <c r="CB24" s="9"/>
      <c r="CC24" s="15"/>
      <c r="CD24" s="9"/>
      <c r="CE24" s="15"/>
      <c r="CF24" s="9"/>
      <c r="CG24" s="15"/>
      <c r="CH24" s="9"/>
      <c r="CI24" s="15"/>
      <c r="CJ24" s="9"/>
      <c r="CK24" s="15"/>
      <c r="CL24" s="9"/>
      <c r="CM24" s="15"/>
      <c r="CN24" s="9"/>
      <c r="CO24" s="15"/>
      <c r="CP24" s="9"/>
    </row>
    <row r="25" spans="1:94" x14ac:dyDescent="0.25">
      <c r="A25" s="41"/>
      <c r="B25" s="9">
        <v>765.99</v>
      </c>
      <c r="C25" s="15" t="s">
        <v>9226</v>
      </c>
      <c r="D25" s="7"/>
      <c r="E25" s="26"/>
      <c r="F25" s="9">
        <v>224.11</v>
      </c>
      <c r="G25" s="26" t="s">
        <v>9291</v>
      </c>
      <c r="H25" s="9">
        <v>3000</v>
      </c>
      <c r="I25" s="9" t="s">
        <v>9339</v>
      </c>
      <c r="J25" s="9"/>
      <c r="K25" s="15"/>
      <c r="L25" s="9"/>
      <c r="M25" s="15"/>
      <c r="N25" s="9"/>
      <c r="O25" s="15"/>
      <c r="P25" s="9">
        <v>2040</v>
      </c>
      <c r="Q25" s="15" t="s">
        <v>9497</v>
      </c>
      <c r="R25" s="9"/>
      <c r="S25" s="15"/>
      <c r="T25" s="104">
        <v>1169</v>
      </c>
      <c r="U25" s="24" t="s">
        <v>9602</v>
      </c>
      <c r="V25" s="9">
        <v>414.34</v>
      </c>
      <c r="W25" s="15" t="s">
        <v>9654</v>
      </c>
      <c r="X25" s="9"/>
      <c r="Y25" s="15"/>
      <c r="Z25" s="9"/>
      <c r="AA25" s="15"/>
      <c r="AB25" s="9"/>
      <c r="AC25" s="15"/>
      <c r="AD25" s="72">
        <v>1970</v>
      </c>
      <c r="AE25" s="86" t="s">
        <v>9848</v>
      </c>
      <c r="AF25" s="9"/>
      <c r="AG25" s="26"/>
      <c r="AH25" s="7"/>
      <c r="AI25" s="26"/>
      <c r="AJ25" s="87"/>
      <c r="AK25" s="26"/>
      <c r="AL25" s="9"/>
      <c r="AM25" s="15"/>
      <c r="AN25" s="9">
        <v>1970</v>
      </c>
      <c r="AO25" s="26" t="s">
        <v>10019</v>
      </c>
      <c r="AP25" s="9">
        <v>2632.01</v>
      </c>
      <c r="AQ25" s="15" t="s">
        <v>10079</v>
      </c>
      <c r="AR25" s="9">
        <v>696</v>
      </c>
      <c r="AS25" s="26" t="s">
        <v>10136</v>
      </c>
      <c r="AT25" s="7"/>
      <c r="AU25" s="26"/>
      <c r="AV25" s="9">
        <v>1099</v>
      </c>
      <c r="AW25" s="15" t="s">
        <v>10288</v>
      </c>
      <c r="AX25" s="9"/>
      <c r="AY25" s="15"/>
      <c r="AZ25" s="72">
        <v>2040</v>
      </c>
      <c r="BA25" s="15" t="s">
        <v>10329</v>
      </c>
      <c r="BB25" s="9">
        <v>1169</v>
      </c>
      <c r="BC25" s="15" t="s">
        <v>10368</v>
      </c>
      <c r="BD25" s="9">
        <v>1970</v>
      </c>
      <c r="BE25" s="15" t="s">
        <v>10448</v>
      </c>
      <c r="BF25" s="9">
        <v>63.08</v>
      </c>
      <c r="BG25" s="26" t="s">
        <v>10504</v>
      </c>
      <c r="BH25" s="72"/>
      <c r="BI25" s="24"/>
      <c r="BJ25" s="9"/>
      <c r="BK25" s="15"/>
      <c r="BL25" s="9"/>
      <c r="BM25" s="15"/>
      <c r="BN25" s="9"/>
      <c r="BO25" s="15"/>
      <c r="BP25" s="9"/>
      <c r="BQ25" s="15"/>
      <c r="BR25" s="9"/>
      <c r="BS25" s="15"/>
      <c r="BT25" s="9"/>
      <c r="BU25" s="15"/>
      <c r="BV25" s="9"/>
      <c r="BW25" s="15"/>
      <c r="BX25" s="9"/>
      <c r="BY25" s="15"/>
      <c r="BZ25" s="9"/>
      <c r="CA25" s="15"/>
      <c r="CB25" s="9"/>
      <c r="CC25" s="15"/>
      <c r="CD25" s="9"/>
      <c r="CE25" s="15"/>
      <c r="CF25" s="9"/>
      <c r="CG25" s="15"/>
      <c r="CH25" s="9"/>
      <c r="CI25" s="15"/>
      <c r="CJ25" s="9"/>
      <c r="CK25" s="15"/>
      <c r="CL25" s="9"/>
      <c r="CM25" s="15"/>
      <c r="CN25" s="9"/>
      <c r="CO25" s="15"/>
      <c r="CP25" s="9"/>
    </row>
    <row r="26" spans="1:94" x14ac:dyDescent="0.25">
      <c r="A26" s="41"/>
      <c r="B26" s="9">
        <v>85.84</v>
      </c>
      <c r="C26" s="15" t="s">
        <v>9230</v>
      </c>
      <c r="D26" s="7"/>
      <c r="E26" s="26"/>
      <c r="F26" s="7">
        <v>2115.2600000000002</v>
      </c>
      <c r="G26" s="26" t="s">
        <v>9293</v>
      </c>
      <c r="H26" s="9">
        <v>1169</v>
      </c>
      <c r="I26" s="15" t="s">
        <v>9343</v>
      </c>
      <c r="J26" s="9"/>
      <c r="K26" s="15"/>
      <c r="L26" s="9"/>
      <c r="M26" s="15"/>
      <c r="N26" s="9"/>
      <c r="O26" s="15"/>
      <c r="P26" s="7">
        <v>1239</v>
      </c>
      <c r="Q26" s="26" t="s">
        <v>9500</v>
      </c>
      <c r="R26" s="7"/>
      <c r="S26" s="26"/>
      <c r="T26" s="96">
        <f>8480.11-1500</f>
        <v>6980.1100000000006</v>
      </c>
      <c r="U26" s="26" t="s">
        <v>9603</v>
      </c>
      <c r="V26" s="9">
        <v>1168.99</v>
      </c>
      <c r="W26" s="15" t="s">
        <v>9655</v>
      </c>
      <c r="X26" s="9"/>
      <c r="Y26" s="15"/>
      <c r="Z26" s="9"/>
      <c r="AA26" s="15"/>
      <c r="AB26" s="9"/>
      <c r="AC26" s="15"/>
      <c r="AD26" s="228">
        <v>1169</v>
      </c>
      <c r="AE26" s="86" t="s">
        <v>9849</v>
      </c>
      <c r="AF26" s="87"/>
      <c r="AG26" s="26"/>
      <c r="AH26" s="7"/>
      <c r="AI26" s="26"/>
      <c r="AJ26" s="87"/>
      <c r="AK26" s="26"/>
      <c r="AL26" s="9"/>
      <c r="AM26" s="15"/>
      <c r="AN26" s="9">
        <v>1169</v>
      </c>
      <c r="AO26" s="26" t="s">
        <v>10020</v>
      </c>
      <c r="AP26" s="9"/>
      <c r="AQ26" s="15"/>
      <c r="AR26" s="9"/>
      <c r="AS26" s="26"/>
      <c r="AT26" s="7"/>
      <c r="AU26" s="26"/>
      <c r="AV26" s="7">
        <v>3169</v>
      </c>
      <c r="AW26" s="26" t="s">
        <v>10289</v>
      </c>
      <c r="AX26" s="9"/>
      <c r="AY26" s="26"/>
      <c r="AZ26" s="9">
        <v>69.989999999999995</v>
      </c>
      <c r="BA26" s="15" t="s">
        <v>10334</v>
      </c>
      <c r="BB26" s="9">
        <v>1938.99</v>
      </c>
      <c r="BC26" s="15" t="s">
        <v>10380</v>
      </c>
      <c r="BD26" s="9">
        <v>409.12</v>
      </c>
      <c r="BE26" s="15" t="s">
        <v>10449</v>
      </c>
      <c r="BF26" s="72"/>
      <c r="BG26" s="24"/>
      <c r="BH26" s="9"/>
      <c r="BI26" s="26"/>
      <c r="BJ26" s="9"/>
      <c r="BK26" s="15"/>
      <c r="BL26" s="9"/>
      <c r="BM26" s="15"/>
      <c r="BN26" s="9"/>
      <c r="BO26" s="15"/>
      <c r="BP26" s="9"/>
      <c r="BQ26" s="15"/>
      <c r="BR26" s="9"/>
      <c r="BS26" s="15"/>
      <c r="BT26" s="9"/>
      <c r="BU26" s="15"/>
      <c r="BV26" s="9"/>
      <c r="BW26" s="15"/>
      <c r="BX26" s="9"/>
      <c r="BY26" s="15"/>
      <c r="BZ26" s="9"/>
      <c r="CA26" s="15"/>
      <c r="CB26" s="9"/>
      <c r="CC26" s="15"/>
      <c r="CD26" s="9"/>
      <c r="CE26" s="15"/>
      <c r="CF26" s="9"/>
      <c r="CG26" s="15"/>
      <c r="CH26" s="9"/>
      <c r="CI26" s="15"/>
      <c r="CJ26" s="9"/>
      <c r="CK26" s="15"/>
      <c r="CL26" s="9"/>
      <c r="CM26" s="15"/>
      <c r="CN26" s="9"/>
      <c r="CO26" s="15"/>
      <c r="CP26" s="9"/>
    </row>
    <row r="27" spans="1:94" x14ac:dyDescent="0.25">
      <c r="A27" s="41"/>
      <c r="B27" s="9">
        <v>506.46</v>
      </c>
      <c r="C27" s="15" t="s">
        <v>9231</v>
      </c>
      <c r="D27" s="7"/>
      <c r="E27" s="15"/>
      <c r="F27" s="7"/>
      <c r="G27" s="26"/>
      <c r="H27" s="9">
        <v>18943.060000000001</v>
      </c>
      <c r="I27" s="15" t="s">
        <v>9347</v>
      </c>
      <c r="J27" s="9"/>
      <c r="K27" s="9"/>
      <c r="L27" s="7"/>
      <c r="M27" s="26"/>
      <c r="N27" s="7"/>
      <c r="O27" s="26"/>
      <c r="P27" s="7">
        <v>1169</v>
      </c>
      <c r="Q27" s="26" t="s">
        <v>9507</v>
      </c>
      <c r="R27" s="7"/>
      <c r="S27" s="26"/>
      <c r="T27" s="96">
        <v>1169</v>
      </c>
      <c r="U27" s="26" t="s">
        <v>9604</v>
      </c>
      <c r="V27" s="7">
        <v>2064.9899999999998</v>
      </c>
      <c r="W27" s="26" t="s">
        <v>9656</v>
      </c>
      <c r="X27" s="7"/>
      <c r="Y27" s="26"/>
      <c r="Z27" s="9"/>
      <c r="AA27" s="26"/>
      <c r="AB27" s="9"/>
      <c r="AC27" s="26"/>
      <c r="AD27" s="72">
        <v>70</v>
      </c>
      <c r="AE27" s="86" t="s">
        <v>9839</v>
      </c>
      <c r="AF27" s="87"/>
      <c r="AG27" s="26"/>
      <c r="AH27" s="7"/>
      <c r="AI27" s="26"/>
      <c r="AJ27" s="87"/>
      <c r="AK27" s="26"/>
      <c r="AL27" s="9"/>
      <c r="AM27" s="15"/>
      <c r="AN27" s="9">
        <v>1589</v>
      </c>
      <c r="AO27" s="26" t="s">
        <v>10021</v>
      </c>
      <c r="AP27" s="9"/>
      <c r="AQ27" s="26"/>
      <c r="AR27" s="7"/>
      <c r="AS27" s="26"/>
      <c r="AT27" s="7"/>
      <c r="AU27" s="26"/>
      <c r="AV27" s="7">
        <v>1587.01</v>
      </c>
      <c r="AW27" s="26" t="s">
        <v>10292</v>
      </c>
      <c r="AX27" s="9"/>
      <c r="AY27" s="15"/>
      <c r="AZ27" s="7">
        <v>1970.11</v>
      </c>
      <c r="BA27" s="26" t="s">
        <v>10335</v>
      </c>
      <c r="BB27" s="9">
        <v>1169</v>
      </c>
      <c r="BC27" s="15" t="s">
        <v>10384</v>
      </c>
      <c r="BD27" s="7">
        <v>1169</v>
      </c>
      <c r="BE27" s="26" t="s">
        <v>10454</v>
      </c>
      <c r="BF27" s="9"/>
      <c r="BG27" s="15"/>
      <c r="BH27" s="9"/>
      <c r="BI27" s="26"/>
      <c r="BJ27" s="9"/>
      <c r="BK27" s="15"/>
      <c r="BL27" s="9"/>
      <c r="BM27" s="15"/>
      <c r="BN27" s="9"/>
      <c r="BO27" s="15"/>
      <c r="BP27" s="9"/>
      <c r="BQ27" s="15"/>
      <c r="BR27" s="9"/>
      <c r="BS27" s="15"/>
      <c r="BT27" s="9"/>
      <c r="BU27" s="15"/>
      <c r="BV27" s="9"/>
      <c r="BW27" s="15"/>
      <c r="BX27" s="9"/>
      <c r="BY27" s="15"/>
      <c r="BZ27" s="9"/>
      <c r="CA27" s="15"/>
      <c r="CB27" s="9"/>
      <c r="CC27" s="15"/>
      <c r="CD27" s="9"/>
      <c r="CE27" s="15"/>
      <c r="CF27" s="9"/>
      <c r="CG27" s="15"/>
      <c r="CH27" s="9"/>
      <c r="CI27" s="15"/>
      <c r="CJ27" s="9"/>
      <c r="CK27" s="15"/>
      <c r="CL27" s="9"/>
      <c r="CM27" s="15"/>
      <c r="CN27" s="9"/>
      <c r="CO27" s="15"/>
      <c r="CP27" s="9"/>
    </row>
    <row r="28" spans="1:94" x14ac:dyDescent="0.25">
      <c r="A28" s="41"/>
      <c r="B28" s="9">
        <v>12614.37</v>
      </c>
      <c r="C28" s="15" t="s">
        <v>9204</v>
      </c>
      <c r="D28" s="7"/>
      <c r="E28" s="26"/>
      <c r="F28" s="7"/>
      <c r="G28" s="26"/>
      <c r="H28" s="9">
        <v>16374.33</v>
      </c>
      <c r="I28" s="15" t="s">
        <v>9348</v>
      </c>
      <c r="J28" s="9"/>
      <c r="K28" s="9"/>
      <c r="L28" s="7"/>
      <c r="M28" s="26"/>
      <c r="N28" s="7"/>
      <c r="O28" s="26"/>
      <c r="P28" s="7"/>
      <c r="Q28" s="26"/>
      <c r="R28" s="7"/>
      <c r="S28" s="26"/>
      <c r="T28" s="96">
        <v>215.52</v>
      </c>
      <c r="U28" s="15" t="s">
        <v>9606</v>
      </c>
      <c r="V28" s="7">
        <v>100</v>
      </c>
      <c r="W28" s="26" t="s">
        <v>9659</v>
      </c>
      <c r="X28" s="7"/>
      <c r="Y28" s="26"/>
      <c r="Z28" s="9"/>
      <c r="AA28" s="26"/>
      <c r="AB28" s="9"/>
      <c r="AC28" s="26"/>
      <c r="AD28" s="9"/>
      <c r="AE28" s="15"/>
      <c r="AF28" s="87"/>
      <c r="AG28" s="26"/>
      <c r="AH28" s="7"/>
      <c r="AI28" s="26"/>
      <c r="AJ28" s="87"/>
      <c r="AK28" s="15"/>
      <c r="AL28" s="9"/>
      <c r="AM28" s="15"/>
      <c r="AN28" s="9">
        <v>464</v>
      </c>
      <c r="AO28" s="26" t="s">
        <v>10023</v>
      </c>
      <c r="AP28" s="7"/>
      <c r="AQ28" s="26"/>
      <c r="AR28" s="7"/>
      <c r="AS28" s="26"/>
      <c r="AT28" s="7"/>
      <c r="AU28" s="26"/>
      <c r="AV28" s="9">
        <v>79.44</v>
      </c>
      <c r="AW28" s="15" t="s">
        <v>10295</v>
      </c>
      <c r="AX28" s="9"/>
      <c r="AY28" s="15"/>
      <c r="AZ28" s="9">
        <v>1099.01</v>
      </c>
      <c r="BA28" s="15" t="s">
        <v>10343</v>
      </c>
      <c r="BB28" s="9"/>
      <c r="BC28" s="15"/>
      <c r="BD28" s="7">
        <v>2040</v>
      </c>
      <c r="BE28" s="26" t="s">
        <v>10456</v>
      </c>
      <c r="BF28" s="9"/>
      <c r="BG28" s="15"/>
      <c r="BH28" s="7"/>
      <c r="BI28" s="26"/>
      <c r="BJ28" s="9"/>
      <c r="BK28" s="15"/>
      <c r="BL28" s="9"/>
      <c r="BM28" s="15"/>
      <c r="BN28" s="9"/>
      <c r="BO28" s="15"/>
      <c r="BP28" s="9"/>
      <c r="BQ28" s="15"/>
      <c r="BR28" s="9"/>
      <c r="BS28" s="15"/>
      <c r="BT28" s="9"/>
      <c r="BU28" s="15"/>
      <c r="BV28" s="9"/>
      <c r="BW28" s="15"/>
      <c r="BX28" s="9"/>
      <c r="BY28" s="15"/>
      <c r="BZ28" s="9"/>
      <c r="CA28" s="15"/>
      <c r="CB28" s="9"/>
      <c r="CC28" s="15"/>
      <c r="CD28" s="9"/>
      <c r="CE28" s="15"/>
      <c r="CF28" s="9"/>
      <c r="CG28" s="15"/>
      <c r="CH28" s="9"/>
      <c r="CI28" s="15"/>
      <c r="CJ28" s="9"/>
      <c r="CK28" s="15"/>
      <c r="CL28" s="9"/>
      <c r="CM28" s="15"/>
      <c r="CN28" s="9"/>
      <c r="CO28" s="15"/>
      <c r="CP28" s="9"/>
    </row>
    <row r="29" spans="1:94" x14ac:dyDescent="0.25">
      <c r="A29" s="41"/>
      <c r="B29" s="7"/>
      <c r="C29" s="26"/>
      <c r="D29" s="7"/>
      <c r="E29" s="26"/>
      <c r="F29" s="7"/>
      <c r="G29" s="26"/>
      <c r="H29" s="9">
        <v>1169</v>
      </c>
      <c r="I29" s="15" t="s">
        <v>9349</v>
      </c>
      <c r="J29" s="9"/>
      <c r="K29" s="26"/>
      <c r="L29" s="7"/>
      <c r="M29" s="26"/>
      <c r="N29" s="7"/>
      <c r="O29" s="26"/>
      <c r="P29" s="7"/>
      <c r="Q29" s="26"/>
      <c r="R29" s="9"/>
      <c r="S29" s="15"/>
      <c r="T29" s="96">
        <v>2297</v>
      </c>
      <c r="U29" s="15" t="s">
        <v>9607</v>
      </c>
      <c r="V29" s="7">
        <v>1168.99</v>
      </c>
      <c r="W29" s="26" t="s">
        <v>9661</v>
      </c>
      <c r="X29" s="7"/>
      <c r="Y29" s="26"/>
      <c r="Z29" s="9"/>
      <c r="AA29" s="26"/>
      <c r="AB29" s="9"/>
      <c r="AC29" s="26"/>
      <c r="AD29" s="7"/>
      <c r="AE29" s="26"/>
      <c r="AF29" s="7"/>
      <c r="AG29" s="26"/>
      <c r="AH29" s="7"/>
      <c r="AI29" s="26"/>
      <c r="AJ29" s="87"/>
      <c r="AK29" s="26"/>
      <c r="AL29" s="9"/>
      <c r="AM29" s="15"/>
      <c r="AN29" s="9">
        <v>3415.99</v>
      </c>
      <c r="AO29" s="15" t="s">
        <v>10024</v>
      </c>
      <c r="AP29" s="7"/>
      <c r="AQ29" s="26"/>
      <c r="AR29" s="7"/>
      <c r="AS29" s="26"/>
      <c r="AT29" s="7"/>
      <c r="AU29" s="26"/>
      <c r="AV29" s="9">
        <v>1384.63</v>
      </c>
      <c r="AW29" s="15" t="s">
        <v>10296</v>
      </c>
      <c r="AX29" s="9"/>
      <c r="AY29" s="15"/>
      <c r="AZ29" s="7">
        <v>1099</v>
      </c>
      <c r="BA29" s="26" t="s">
        <v>10344</v>
      </c>
      <c r="BB29" s="9"/>
      <c r="BC29" s="15"/>
      <c r="BD29" s="7">
        <v>1099.01</v>
      </c>
      <c r="BE29" s="26" t="s">
        <v>10460</v>
      </c>
      <c r="BF29" s="7"/>
      <c r="BG29" s="26"/>
      <c r="BH29" s="7"/>
      <c r="BI29" s="26"/>
      <c r="BJ29" s="9"/>
      <c r="BK29" s="15"/>
      <c r="BL29" s="9"/>
      <c r="BM29" s="15"/>
      <c r="BN29" s="9"/>
      <c r="BO29" s="15"/>
      <c r="BP29" s="9"/>
      <c r="BQ29" s="15"/>
      <c r="BR29" s="9"/>
      <c r="BS29" s="15"/>
      <c r="BT29" s="9"/>
      <c r="BU29" s="15"/>
      <c r="BV29" s="9"/>
      <c r="BW29" s="15"/>
      <c r="BX29" s="9"/>
      <c r="BY29" s="15"/>
      <c r="BZ29" s="9"/>
      <c r="CA29" s="15"/>
      <c r="CB29" s="9"/>
      <c r="CC29" s="15"/>
      <c r="CD29" s="9"/>
      <c r="CE29" s="15"/>
      <c r="CF29" s="9"/>
      <c r="CG29" s="15"/>
      <c r="CH29" s="9"/>
      <c r="CI29" s="15"/>
      <c r="CJ29" s="9"/>
      <c r="CK29" s="15"/>
      <c r="CL29" s="9"/>
      <c r="CM29" s="15"/>
      <c r="CN29" s="9"/>
      <c r="CO29" s="15"/>
      <c r="CP29" s="9"/>
    </row>
    <row r="30" spans="1:94" x14ac:dyDescent="0.25">
      <c r="A30" s="41"/>
      <c r="B30" s="9"/>
      <c r="C30" s="15"/>
      <c r="D30" s="9"/>
      <c r="E30" s="15"/>
      <c r="F30" s="9"/>
      <c r="G30" s="15"/>
      <c r="H30" s="9"/>
      <c r="I30" s="15"/>
      <c r="J30" s="9"/>
      <c r="K30" s="15"/>
      <c r="L30" s="9"/>
      <c r="M30" s="15"/>
      <c r="N30" s="9"/>
      <c r="O30" s="15"/>
      <c r="P30" s="7"/>
      <c r="Q30" s="26"/>
      <c r="R30" s="10"/>
      <c r="S30" s="12"/>
      <c r="T30" s="96"/>
      <c r="U30" s="15"/>
      <c r="V30" s="9"/>
      <c r="W30" s="15"/>
      <c r="X30" s="9"/>
      <c r="Y30" s="15"/>
      <c r="Z30" s="9"/>
      <c r="AA30" s="15"/>
      <c r="AB30" s="11"/>
      <c r="AC30" s="13"/>
      <c r="AD30" s="9"/>
      <c r="AE30" s="15"/>
      <c r="AF30" s="9"/>
      <c r="AG30" s="15"/>
      <c r="AH30" s="9"/>
      <c r="AI30" s="15"/>
      <c r="AJ30" s="72"/>
      <c r="AK30" s="15"/>
      <c r="AL30" s="9"/>
      <c r="AM30" s="15"/>
      <c r="AN30" s="10">
        <v>1519.02</v>
      </c>
      <c r="AO30" s="12" t="s">
        <v>10027</v>
      </c>
      <c r="AP30" s="9"/>
      <c r="AQ30" s="15"/>
      <c r="AR30" s="9"/>
      <c r="AS30" s="15"/>
      <c r="AT30" s="9"/>
      <c r="AU30" s="15"/>
      <c r="AV30" s="9">
        <v>1451.73</v>
      </c>
      <c r="AW30" s="15" t="s">
        <v>10298</v>
      </c>
      <c r="AX30" s="11"/>
      <c r="AY30" s="12"/>
      <c r="AZ30" s="9">
        <v>2853.01</v>
      </c>
      <c r="BA30" s="15" t="s">
        <v>10345</v>
      </c>
      <c r="BB30" s="11"/>
      <c r="BC30" s="13"/>
      <c r="BD30" s="9">
        <v>1099.01</v>
      </c>
      <c r="BE30" s="15" t="s">
        <v>10461</v>
      </c>
      <c r="BF30" s="9"/>
      <c r="BG30" s="15"/>
      <c r="BH30" s="9"/>
      <c r="BI30" s="15"/>
      <c r="BJ30" s="9"/>
      <c r="BK30" s="15"/>
      <c r="BL30" s="9"/>
      <c r="BM30" s="15"/>
      <c r="BN30" s="9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  <c r="CO30" s="15"/>
      <c r="CP30" s="9"/>
    </row>
    <row r="31" spans="1:94" x14ac:dyDescent="0.25">
      <c r="A31" s="43"/>
      <c r="B31" s="10"/>
      <c r="C31" s="12"/>
      <c r="D31" s="10"/>
      <c r="E31" s="12"/>
      <c r="F31" s="10"/>
      <c r="G31" s="12"/>
      <c r="H31" s="9"/>
      <c r="I31" s="15"/>
      <c r="J31" s="11"/>
      <c r="K31" s="12"/>
      <c r="L31" s="10"/>
      <c r="M31" s="12"/>
      <c r="N31" s="10"/>
      <c r="O31" s="12"/>
      <c r="P31" s="9"/>
      <c r="Q31" s="15"/>
      <c r="R31" s="7"/>
      <c r="S31" s="26"/>
      <c r="T31" s="11"/>
      <c r="U31" s="12"/>
      <c r="V31" s="10"/>
      <c r="W31" s="12"/>
      <c r="X31" s="10"/>
      <c r="Y31" s="12"/>
      <c r="Z31" s="11"/>
      <c r="AA31" s="12"/>
      <c r="AB31" s="10"/>
      <c r="AC31" s="12"/>
      <c r="AD31" s="10"/>
      <c r="AE31" s="12"/>
      <c r="AF31" s="10"/>
      <c r="AG31" s="12"/>
      <c r="AH31" s="10"/>
      <c r="AI31" s="12"/>
      <c r="AJ31" s="87"/>
      <c r="AK31" s="12"/>
      <c r="AL31" s="10"/>
      <c r="AM31" s="12"/>
      <c r="AN31" s="10"/>
      <c r="AO31" s="12"/>
      <c r="AP31" s="10"/>
      <c r="AQ31" s="12"/>
      <c r="AR31" s="10"/>
      <c r="AS31" s="12"/>
      <c r="AT31" s="10"/>
      <c r="AU31" s="12"/>
      <c r="AV31" s="10">
        <v>336.36700000000002</v>
      </c>
      <c r="AW31" s="12" t="s">
        <v>10299</v>
      </c>
      <c r="AX31" s="9"/>
      <c r="AY31" s="26"/>
      <c r="AZ31" s="10">
        <v>3732.45</v>
      </c>
      <c r="BA31" s="12" t="s">
        <v>10346</v>
      </c>
      <c r="BB31" s="9"/>
      <c r="BC31" s="15"/>
      <c r="BD31" s="10">
        <v>1099.01</v>
      </c>
      <c r="BE31" s="12" t="s">
        <v>10464</v>
      </c>
      <c r="BF31" s="10"/>
      <c r="BG31" s="12"/>
      <c r="BH31" s="10"/>
      <c r="BI31" s="12"/>
      <c r="BJ31" s="11"/>
      <c r="BK31" s="13"/>
      <c r="BL31" s="11"/>
      <c r="BM31" s="13"/>
      <c r="BN31" s="11"/>
      <c r="BO31" s="13"/>
      <c r="BP31" s="11"/>
      <c r="BQ31" s="13"/>
      <c r="BR31" s="11"/>
      <c r="BS31" s="13"/>
      <c r="BT31" s="11"/>
      <c r="BU31" s="13"/>
      <c r="BV31" s="11"/>
      <c r="BW31" s="13"/>
      <c r="BX31" s="11"/>
      <c r="BY31" s="13"/>
      <c r="BZ31" s="11"/>
      <c r="CA31" s="13"/>
      <c r="CB31" s="11"/>
      <c r="CC31" s="13"/>
      <c r="CD31" s="11"/>
      <c r="CE31" s="13"/>
      <c r="CF31" s="11"/>
      <c r="CG31" s="13"/>
      <c r="CH31" s="11"/>
      <c r="CI31" s="13"/>
      <c r="CJ31" s="11"/>
      <c r="CK31" s="13"/>
      <c r="CL31" s="11"/>
      <c r="CM31" s="13"/>
      <c r="CN31" s="11"/>
      <c r="CO31" s="13"/>
      <c r="CP31" s="11"/>
    </row>
    <row r="32" spans="1:94" x14ac:dyDescent="0.25">
      <c r="A32" s="41"/>
      <c r="B32" s="7"/>
      <c r="C32" s="26"/>
      <c r="D32" s="7"/>
      <c r="E32" s="26"/>
      <c r="F32" s="7"/>
      <c r="G32" s="26"/>
      <c r="H32" s="9"/>
      <c r="I32" s="15"/>
      <c r="J32" s="9"/>
      <c r="K32" s="26"/>
      <c r="L32" s="7"/>
      <c r="M32" s="26"/>
      <c r="N32" s="7"/>
      <c r="O32" s="26"/>
      <c r="P32" s="7"/>
      <c r="Q32" s="26"/>
      <c r="R32" s="7"/>
      <c r="S32" s="26"/>
      <c r="T32" s="9"/>
      <c r="U32" s="26"/>
      <c r="V32" s="7"/>
      <c r="W32" s="26"/>
      <c r="X32" s="7"/>
      <c r="Y32" s="26"/>
      <c r="Z32" s="9"/>
      <c r="AA32" s="26"/>
      <c r="AB32" s="7"/>
      <c r="AC32" s="26"/>
      <c r="AD32" s="7"/>
      <c r="AE32" s="26"/>
      <c r="AF32" s="7"/>
      <c r="AG32" s="26"/>
      <c r="AH32" s="7"/>
      <c r="AI32" s="26"/>
      <c r="AJ32" s="7"/>
      <c r="AK32" s="26"/>
      <c r="AL32" s="9"/>
      <c r="AM32" s="15"/>
      <c r="AN32" s="7"/>
      <c r="AO32" s="26"/>
      <c r="AP32" s="7"/>
      <c r="AQ32" s="26"/>
      <c r="AR32" s="7"/>
      <c r="AS32" s="26"/>
      <c r="AT32" s="7"/>
      <c r="AU32" s="26"/>
      <c r="AV32" s="7"/>
      <c r="AW32" s="26"/>
      <c r="AX32" s="7"/>
      <c r="AY32" s="26"/>
      <c r="AZ32" s="7">
        <v>955.48</v>
      </c>
      <c r="BA32" s="26" t="s">
        <v>10347</v>
      </c>
      <c r="BB32" s="9"/>
      <c r="BC32" s="15"/>
      <c r="BD32" s="7">
        <v>1099</v>
      </c>
      <c r="BE32" s="26" t="s">
        <v>10465</v>
      </c>
      <c r="BF32" s="7"/>
      <c r="BG32" s="26"/>
      <c r="BH32" s="7"/>
      <c r="BI32" s="26"/>
      <c r="BJ32" s="9"/>
      <c r="BK32" s="15"/>
      <c r="BL32" s="9"/>
      <c r="BM32" s="15"/>
      <c r="BN32" s="9"/>
      <c r="BO32" s="15"/>
      <c r="BP32" s="9"/>
      <c r="BQ32" s="15"/>
      <c r="BR32" s="9"/>
      <c r="BS32" s="15"/>
      <c r="BT32" s="9"/>
      <c r="BU32" s="15"/>
      <c r="BV32" s="9"/>
      <c r="BW32" s="15"/>
      <c r="BX32" s="9"/>
      <c r="BY32" s="15"/>
      <c r="BZ32" s="9"/>
      <c r="CA32" s="15"/>
      <c r="CB32" s="9"/>
      <c r="CC32" s="15"/>
      <c r="CD32" s="9"/>
      <c r="CE32" s="15"/>
      <c r="CF32" s="9"/>
      <c r="CG32" s="15"/>
      <c r="CH32" s="9"/>
      <c r="CI32" s="15"/>
      <c r="CJ32" s="9"/>
      <c r="CK32" s="15"/>
      <c r="CL32" s="9"/>
      <c r="CM32" s="15"/>
      <c r="CN32" s="9"/>
      <c r="CO32" s="15"/>
      <c r="CP32" s="9"/>
    </row>
    <row r="33" spans="1:94" x14ac:dyDescent="0.25">
      <c r="A33" s="41"/>
      <c r="B33" s="7"/>
      <c r="C33" s="26"/>
      <c r="D33" s="7"/>
      <c r="E33" s="26"/>
      <c r="F33" s="7"/>
      <c r="G33" s="26"/>
      <c r="H33" s="9"/>
      <c r="I33" s="15"/>
      <c r="J33" s="9"/>
      <c r="K33" s="26"/>
      <c r="L33" s="7"/>
      <c r="M33" s="26"/>
      <c r="N33" s="7"/>
      <c r="O33" s="26"/>
      <c r="P33" s="7"/>
      <c r="Q33" s="26"/>
      <c r="R33" s="7"/>
      <c r="S33" s="26"/>
      <c r="T33" s="9"/>
      <c r="U33" s="26"/>
      <c r="V33" s="7"/>
      <c r="W33" s="26"/>
      <c r="X33" s="7"/>
      <c r="Y33" s="26"/>
      <c r="Z33" s="9"/>
      <c r="AA33" s="26"/>
      <c r="AB33" s="7"/>
      <c r="AC33" s="26"/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/>
      <c r="AQ33" s="26"/>
      <c r="AR33" s="7"/>
      <c r="AS33" s="26"/>
      <c r="AT33" s="7"/>
      <c r="AU33" s="26"/>
      <c r="AV33" s="7"/>
      <c r="AW33" s="26"/>
      <c r="AX33" s="7"/>
      <c r="AY33" s="26"/>
      <c r="AZ33" s="7"/>
      <c r="BA33" s="26"/>
      <c r="BB33" s="9"/>
      <c r="BC33" s="15"/>
      <c r="BD33" s="7">
        <v>1169</v>
      </c>
      <c r="BE33" s="26" t="s">
        <v>10466</v>
      </c>
      <c r="BF33" s="7"/>
      <c r="BG33" s="26"/>
      <c r="BH33" s="7"/>
      <c r="BI33" s="26"/>
      <c r="BJ33" s="9"/>
      <c r="BK33" s="15"/>
      <c r="BL33" s="9"/>
      <c r="BM33" s="15"/>
      <c r="BN33" s="9"/>
      <c r="BO33" s="15"/>
      <c r="BP33" s="9"/>
      <c r="BQ33" s="15"/>
      <c r="BR33" s="9"/>
      <c r="BS33" s="15"/>
      <c r="BT33" s="9"/>
      <c r="BU33" s="15"/>
      <c r="BV33" s="9"/>
      <c r="BW33" s="15"/>
      <c r="BX33" s="9"/>
      <c r="BY33" s="15"/>
      <c r="BZ33" s="9"/>
      <c r="CA33" s="15"/>
      <c r="CB33" s="9"/>
      <c r="CC33" s="15"/>
      <c r="CD33" s="9"/>
      <c r="CE33" s="15"/>
      <c r="CF33" s="9"/>
      <c r="CG33" s="15"/>
      <c r="CH33" s="9"/>
      <c r="CI33" s="15"/>
      <c r="CJ33" s="9"/>
      <c r="CK33" s="15"/>
      <c r="CL33" s="9"/>
      <c r="CM33" s="15"/>
      <c r="CN33" s="9"/>
      <c r="CO33" s="15"/>
      <c r="CP33" s="9"/>
    </row>
    <row r="34" spans="1:94" x14ac:dyDescent="0.25">
      <c r="A34" s="41"/>
      <c r="B34" s="7"/>
      <c r="C34" s="26"/>
      <c r="D34" s="7"/>
      <c r="E34" s="26"/>
      <c r="F34" s="7"/>
      <c r="G34" s="26"/>
      <c r="H34" s="9"/>
      <c r="I34" s="15"/>
      <c r="J34" s="9"/>
      <c r="K34" s="26"/>
      <c r="L34" s="7"/>
      <c r="M34" s="26"/>
      <c r="N34" s="7"/>
      <c r="O34" s="26"/>
      <c r="P34" s="7"/>
      <c r="Q34" s="26"/>
      <c r="R34" s="7"/>
      <c r="S34" s="26"/>
      <c r="T34" s="9"/>
      <c r="U34" s="26"/>
      <c r="V34" s="7"/>
      <c r="W34" s="26"/>
      <c r="X34" s="7"/>
      <c r="Y34" s="26"/>
      <c r="Z34" s="9"/>
      <c r="AA34" s="26"/>
      <c r="AB34" s="7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/>
      <c r="AQ34" s="26"/>
      <c r="AR34" s="7"/>
      <c r="AS34" s="26"/>
      <c r="AT34" s="7"/>
      <c r="AU34" s="26"/>
      <c r="AV34" s="7"/>
      <c r="AW34" s="26"/>
      <c r="AX34" s="7"/>
      <c r="AY34" s="26"/>
      <c r="AZ34" s="7"/>
      <c r="BA34" s="26"/>
      <c r="BB34" s="9"/>
      <c r="BC34" s="15"/>
      <c r="BD34" s="7">
        <v>5635.99</v>
      </c>
      <c r="BE34" s="26" t="s">
        <v>10467</v>
      </c>
      <c r="BF34" s="7"/>
      <c r="BG34" s="26"/>
      <c r="BH34" s="7"/>
      <c r="BI34" s="26"/>
      <c r="BJ34" s="9"/>
      <c r="BK34" s="15"/>
      <c r="BL34" s="9"/>
      <c r="BM34" s="15"/>
      <c r="BN34" s="9"/>
      <c r="BO34" s="15"/>
      <c r="BP34" s="9"/>
      <c r="BQ34" s="15"/>
      <c r="BR34" s="9"/>
      <c r="BS34" s="15"/>
      <c r="BT34" s="9"/>
      <c r="BU34" s="15"/>
      <c r="BV34" s="9"/>
      <c r="BW34" s="15"/>
      <c r="BX34" s="9"/>
      <c r="BY34" s="15"/>
      <c r="BZ34" s="9"/>
      <c r="CA34" s="15"/>
      <c r="CB34" s="9"/>
      <c r="CC34" s="15"/>
      <c r="CD34" s="9"/>
      <c r="CE34" s="15"/>
      <c r="CF34" s="9"/>
      <c r="CG34" s="15"/>
      <c r="CH34" s="9"/>
      <c r="CI34" s="15"/>
      <c r="CJ34" s="9"/>
      <c r="CK34" s="15"/>
      <c r="CL34" s="9"/>
      <c r="CM34" s="15"/>
      <c r="CN34" s="9"/>
      <c r="CO34" s="15"/>
      <c r="CP34" s="9"/>
    </row>
    <row r="35" spans="1:94" x14ac:dyDescent="0.25">
      <c r="A35" s="41"/>
      <c r="B35" s="7"/>
      <c r="C35" s="26"/>
      <c r="D35" s="7"/>
      <c r="E35" s="26"/>
      <c r="F35" s="7"/>
      <c r="G35" s="26"/>
      <c r="H35" s="9"/>
      <c r="I35" s="15"/>
      <c r="J35" s="9"/>
      <c r="K35" s="26"/>
      <c r="L35" s="7"/>
      <c r="M35" s="26"/>
      <c r="N35" s="7"/>
      <c r="O35" s="26"/>
      <c r="P35" s="7"/>
      <c r="Q35" s="26"/>
      <c r="R35" s="7"/>
      <c r="S35" s="26"/>
      <c r="T35" s="9"/>
      <c r="U35" s="26"/>
      <c r="V35" s="7"/>
      <c r="W35" s="26"/>
      <c r="X35" s="7"/>
      <c r="Y35" s="26"/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/>
      <c r="AQ35" s="26"/>
      <c r="AR35" s="7"/>
      <c r="AS35" s="26"/>
      <c r="AT35" s="7"/>
      <c r="AU35" s="26"/>
      <c r="AV35" s="7"/>
      <c r="AW35" s="26"/>
      <c r="AX35" s="7"/>
      <c r="AY35" s="26"/>
      <c r="AZ35" s="7"/>
      <c r="BA35" s="26"/>
      <c r="BB35" s="9"/>
      <c r="BC35" s="15"/>
      <c r="BD35" s="7">
        <v>654.07000000000005</v>
      </c>
      <c r="BE35" s="26" t="s">
        <v>10468</v>
      </c>
      <c r="BF35" s="7"/>
      <c r="BG35" s="26"/>
      <c r="BH35" s="7"/>
      <c r="BI35" s="26"/>
      <c r="BJ35" s="9"/>
      <c r="BK35" s="15"/>
      <c r="BL35" s="9"/>
      <c r="BM35" s="15"/>
      <c r="BN35" s="9"/>
      <c r="BO35" s="15"/>
      <c r="BP35" s="9"/>
      <c r="BQ35" s="15"/>
      <c r="BR35" s="9"/>
      <c r="BS35" s="15"/>
      <c r="BT35" s="9"/>
      <c r="BU35" s="15"/>
      <c r="BV35" s="9"/>
      <c r="BW35" s="15"/>
      <c r="BX35" s="9"/>
      <c r="BY35" s="15"/>
      <c r="BZ35" s="9"/>
      <c r="CA35" s="15"/>
      <c r="CB35" s="9"/>
      <c r="CC35" s="15"/>
      <c r="CD35" s="9"/>
      <c r="CE35" s="15"/>
      <c r="CF35" s="9"/>
      <c r="CG35" s="15"/>
      <c r="CH35" s="9"/>
      <c r="CI35" s="15"/>
      <c r="CJ35" s="9"/>
      <c r="CK35" s="15"/>
      <c r="CL35" s="9"/>
      <c r="CM35" s="15"/>
      <c r="CN35" s="9"/>
      <c r="CO35" s="15"/>
      <c r="CP35" s="9"/>
    </row>
    <row r="36" spans="1:94" x14ac:dyDescent="0.25">
      <c r="A36" s="41"/>
      <c r="B36" s="7"/>
      <c r="C36" s="26"/>
      <c r="D36" s="7"/>
      <c r="E36" s="26"/>
      <c r="F36" s="7"/>
      <c r="G36" s="26"/>
      <c r="H36" s="9"/>
      <c r="I36" s="15"/>
      <c r="J36" s="9"/>
      <c r="K36" s="26"/>
      <c r="L36" s="7"/>
      <c r="M36" s="26"/>
      <c r="N36" s="7"/>
      <c r="O36" s="26"/>
      <c r="P36" s="7"/>
      <c r="Q36" s="26"/>
      <c r="R36" s="7"/>
      <c r="S36" s="26"/>
      <c r="T36" s="9"/>
      <c r="U36" s="26"/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/>
      <c r="AU36" s="26"/>
      <c r="AV36" s="7"/>
      <c r="AW36" s="26"/>
      <c r="AX36" s="7"/>
      <c r="AY36" s="26"/>
      <c r="AZ36" s="7"/>
      <c r="BA36" s="26"/>
      <c r="BB36" s="9"/>
      <c r="BC36" s="15"/>
      <c r="BD36" s="7">
        <v>712.24</v>
      </c>
      <c r="BE36" s="26" t="s">
        <v>10469</v>
      </c>
      <c r="BF36" s="7"/>
      <c r="BG36" s="26"/>
      <c r="BH36" s="7"/>
      <c r="BI36" s="26"/>
      <c r="BJ36" s="9"/>
      <c r="BK36" s="15"/>
      <c r="BL36" s="9"/>
      <c r="BM36" s="15"/>
      <c r="BN36" s="9"/>
      <c r="BO36" s="15"/>
      <c r="BP36" s="9"/>
      <c r="BQ36" s="15"/>
      <c r="BR36" s="9"/>
      <c r="BS36" s="15"/>
      <c r="BT36" s="9"/>
      <c r="BU36" s="15"/>
      <c r="BV36" s="9"/>
      <c r="BW36" s="15"/>
      <c r="BX36" s="9"/>
      <c r="BY36" s="15"/>
      <c r="BZ36" s="9"/>
      <c r="CA36" s="15"/>
      <c r="CB36" s="9"/>
      <c r="CC36" s="15"/>
      <c r="CD36" s="9"/>
      <c r="CE36" s="15"/>
      <c r="CF36" s="9"/>
      <c r="CG36" s="15"/>
      <c r="CH36" s="9"/>
      <c r="CI36" s="15"/>
      <c r="CJ36" s="9"/>
      <c r="CK36" s="15"/>
      <c r="CL36" s="9"/>
      <c r="CM36" s="15"/>
      <c r="CN36" s="9"/>
      <c r="CO36" s="15"/>
      <c r="CP36" s="9"/>
    </row>
    <row r="37" spans="1:94" x14ac:dyDescent="0.25">
      <c r="A37" s="41"/>
      <c r="B37" s="7"/>
      <c r="C37" s="26"/>
      <c r="D37" s="7"/>
      <c r="E37" s="26"/>
      <c r="F37" s="7"/>
      <c r="G37" s="26"/>
      <c r="H37" s="72"/>
      <c r="I37" s="24"/>
      <c r="J37" s="9"/>
      <c r="K37" s="26"/>
      <c r="L37" s="7"/>
      <c r="M37" s="26"/>
      <c r="N37" s="7"/>
      <c r="O37" s="26"/>
      <c r="P37" s="7"/>
      <c r="Q37" s="26"/>
      <c r="R37" s="7"/>
      <c r="S37" s="26"/>
      <c r="T37" s="9"/>
      <c r="U37" s="26"/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/>
      <c r="AU37" s="26"/>
      <c r="AV37" s="7"/>
      <c r="AW37" s="26"/>
      <c r="AX37" s="7"/>
      <c r="AY37" s="26"/>
      <c r="AZ37" s="7"/>
      <c r="BA37" s="26"/>
      <c r="BB37" s="9"/>
      <c r="BC37" s="15"/>
      <c r="BD37" s="7"/>
      <c r="BE37" s="26"/>
      <c r="BF37" s="7"/>
      <c r="BG37" s="26"/>
      <c r="BH37" s="7"/>
      <c r="BI37" s="26"/>
      <c r="BJ37" s="9"/>
      <c r="BK37" s="15"/>
      <c r="BL37" s="9"/>
      <c r="BM37" s="15"/>
      <c r="BN37" s="9"/>
      <c r="BO37" s="15"/>
      <c r="BP37" s="9"/>
      <c r="BQ37" s="15"/>
      <c r="BR37" s="9"/>
      <c r="BS37" s="15"/>
      <c r="BT37" s="9"/>
      <c r="BU37" s="15"/>
      <c r="BV37" s="9"/>
      <c r="BW37" s="15"/>
      <c r="BX37" s="9"/>
      <c r="BY37" s="15"/>
      <c r="BZ37" s="9"/>
      <c r="CA37" s="15"/>
      <c r="CB37" s="9"/>
      <c r="CC37" s="15"/>
      <c r="CD37" s="9"/>
      <c r="CE37" s="15"/>
      <c r="CF37" s="9"/>
      <c r="CG37" s="15"/>
      <c r="CH37" s="9"/>
      <c r="CI37" s="15"/>
      <c r="CJ37" s="9"/>
      <c r="CK37" s="15"/>
      <c r="CL37" s="9"/>
      <c r="CM37" s="15"/>
      <c r="CN37" s="9"/>
      <c r="CO37" s="15"/>
      <c r="CP37" s="9"/>
    </row>
    <row r="38" spans="1:94" x14ac:dyDescent="0.25">
      <c r="A38" s="41"/>
      <c r="B38" s="7"/>
      <c r="C38" s="26"/>
      <c r="D38" s="7"/>
      <c r="E38" s="26"/>
      <c r="F38" s="7"/>
      <c r="G38" s="26"/>
      <c r="H38" s="9"/>
      <c r="I38" s="15"/>
      <c r="J38" s="9"/>
      <c r="K38" s="26"/>
      <c r="L38" s="7"/>
      <c r="M38" s="26"/>
      <c r="N38" s="7"/>
      <c r="O38" s="26"/>
      <c r="P38" s="7"/>
      <c r="Q38" s="26"/>
      <c r="R38" s="7"/>
      <c r="S38" s="26"/>
      <c r="T38" s="9"/>
      <c r="U38" s="26"/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7"/>
      <c r="BA38" s="26"/>
      <c r="BB38" s="9"/>
      <c r="BC38" s="15"/>
      <c r="BD38" s="7"/>
      <c r="BE38" s="26"/>
      <c r="BF38" s="7"/>
      <c r="BG38" s="26"/>
      <c r="BH38" s="7"/>
      <c r="BI38" s="26"/>
      <c r="BJ38" s="9"/>
      <c r="BK38" s="15"/>
      <c r="BL38" s="9"/>
      <c r="BM38" s="15"/>
      <c r="BN38" s="9"/>
      <c r="BO38" s="15"/>
      <c r="BP38" s="9"/>
      <c r="BQ38" s="15"/>
      <c r="BR38" s="9"/>
      <c r="BS38" s="15"/>
      <c r="BT38" s="9"/>
      <c r="BU38" s="15"/>
      <c r="BV38" s="9"/>
      <c r="BW38" s="15"/>
      <c r="BX38" s="9"/>
      <c r="BY38" s="15"/>
      <c r="BZ38" s="9"/>
      <c r="CA38" s="15"/>
      <c r="CB38" s="9"/>
      <c r="CC38" s="15"/>
      <c r="CD38" s="9"/>
      <c r="CE38" s="15"/>
      <c r="CF38" s="9"/>
      <c r="CG38" s="15"/>
      <c r="CH38" s="9"/>
      <c r="CI38" s="15"/>
      <c r="CJ38" s="9"/>
      <c r="CK38" s="15"/>
      <c r="CL38" s="9"/>
      <c r="CM38" s="15"/>
      <c r="CN38" s="9"/>
      <c r="CO38" s="15"/>
      <c r="CP38" s="9"/>
    </row>
    <row r="39" spans="1:94" x14ac:dyDescent="0.25">
      <c r="A39" s="41"/>
      <c r="B39" s="7"/>
      <c r="C39" s="26"/>
      <c r="D39" s="7"/>
      <c r="E39" s="26"/>
      <c r="F39" s="7"/>
      <c r="G39" s="26"/>
      <c r="H39" s="9"/>
      <c r="I39" s="15"/>
      <c r="J39" s="9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7"/>
      <c r="BA39" s="26"/>
      <c r="BB39" s="9"/>
      <c r="BC39" s="15"/>
      <c r="BD39" s="7"/>
      <c r="BE39" s="26"/>
      <c r="BF39" s="7"/>
      <c r="BG39" s="26"/>
      <c r="BH39" s="7"/>
      <c r="BI39" s="26"/>
      <c r="BJ39" s="9"/>
      <c r="BK39" s="15"/>
      <c r="BL39" s="9"/>
      <c r="BM39" s="15"/>
      <c r="BN39" s="9"/>
      <c r="BO39" s="15"/>
      <c r="BP39" s="9"/>
      <c r="BQ39" s="15"/>
      <c r="BR39" s="9"/>
      <c r="BS39" s="15"/>
      <c r="BT39" s="9"/>
      <c r="BU39" s="15"/>
      <c r="BV39" s="9"/>
      <c r="BW39" s="15"/>
      <c r="BX39" s="9"/>
      <c r="BY39" s="15"/>
      <c r="BZ39" s="9"/>
      <c r="CA39" s="15"/>
      <c r="CB39" s="9"/>
      <c r="CC39" s="15"/>
      <c r="CD39" s="9"/>
      <c r="CE39" s="15"/>
      <c r="CF39" s="9"/>
      <c r="CG39" s="15"/>
      <c r="CH39" s="9"/>
      <c r="CI39" s="15"/>
      <c r="CJ39" s="9"/>
      <c r="CK39" s="15"/>
      <c r="CL39" s="9"/>
      <c r="CM39" s="15"/>
      <c r="CN39" s="9"/>
      <c r="CO39" s="15"/>
      <c r="CP39" s="9"/>
    </row>
    <row r="40" spans="1:94" x14ac:dyDescent="0.25">
      <c r="A40" s="41"/>
      <c r="B40" s="7"/>
      <c r="C40" s="26"/>
      <c r="D40" s="7"/>
      <c r="E40" s="26"/>
      <c r="F40" s="7"/>
      <c r="G40" s="26"/>
      <c r="H40" s="9"/>
      <c r="I40" s="15"/>
      <c r="J40" s="9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7"/>
      <c r="BA40" s="26"/>
      <c r="BB40" s="9"/>
      <c r="BC40" s="15"/>
      <c r="BD40" s="7"/>
      <c r="BE40" s="26"/>
      <c r="BF40" s="7"/>
      <c r="BG40" s="26"/>
      <c r="BH40" s="7"/>
      <c r="BI40" s="26"/>
      <c r="BJ40" s="9"/>
      <c r="BK40" s="15"/>
      <c r="BL40" s="9"/>
      <c r="BM40" s="15"/>
      <c r="BN40" s="9"/>
      <c r="BO40" s="15"/>
      <c r="BP40" s="9"/>
      <c r="BQ40" s="15"/>
      <c r="BR40" s="9"/>
      <c r="BS40" s="15"/>
      <c r="BT40" s="9"/>
      <c r="BU40" s="15"/>
      <c r="BV40" s="9"/>
      <c r="BW40" s="15"/>
      <c r="BX40" s="9"/>
      <c r="BY40" s="15"/>
      <c r="BZ40" s="9"/>
      <c r="CA40" s="15"/>
      <c r="CB40" s="9"/>
      <c r="CC40" s="15"/>
      <c r="CD40" s="9"/>
      <c r="CE40" s="15"/>
      <c r="CF40" s="9"/>
      <c r="CG40" s="15"/>
      <c r="CH40" s="9"/>
      <c r="CI40" s="15"/>
      <c r="CJ40" s="9"/>
      <c r="CK40" s="15"/>
      <c r="CL40" s="9"/>
      <c r="CM40" s="15"/>
      <c r="CN40" s="9"/>
      <c r="CO40" s="15"/>
      <c r="CP40" s="9"/>
    </row>
    <row r="41" spans="1:94" x14ac:dyDescent="0.25">
      <c r="A41" s="41"/>
      <c r="B41" s="7"/>
      <c r="C41" s="26"/>
      <c r="D41" s="7"/>
      <c r="E41" s="26"/>
      <c r="F41" s="7"/>
      <c r="G41" s="26"/>
      <c r="H41" s="9"/>
      <c r="I41" s="15"/>
      <c r="J41" s="9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7"/>
      <c r="AE41" s="26"/>
      <c r="AF41" s="19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7"/>
      <c r="BA41" s="26"/>
      <c r="BB41" s="9"/>
      <c r="BC41" s="15"/>
      <c r="BD41" s="7"/>
      <c r="BE41" s="26"/>
      <c r="BF41" s="7"/>
      <c r="BG41" s="26"/>
      <c r="BH41" s="7"/>
      <c r="BI41" s="26"/>
      <c r="BJ41" s="9"/>
      <c r="BK41" s="15"/>
      <c r="BL41" s="9"/>
      <c r="BM41" s="15"/>
      <c r="BN41" s="9"/>
      <c r="BO41" s="15"/>
      <c r="BP41" s="9"/>
      <c r="BQ41" s="15"/>
      <c r="BR41" s="9"/>
      <c r="BS41" s="15"/>
      <c r="BT41" s="9"/>
      <c r="BU41" s="15"/>
      <c r="BV41" s="9"/>
      <c r="BW41" s="15"/>
      <c r="BX41" s="9"/>
      <c r="BY41" s="15"/>
      <c r="BZ41" s="9"/>
      <c r="CA41" s="15"/>
      <c r="CB41" s="9"/>
      <c r="CC41" s="15"/>
      <c r="CD41" s="9"/>
      <c r="CE41" s="15"/>
      <c r="CF41" s="9"/>
      <c r="CG41" s="15"/>
      <c r="CH41" s="9"/>
      <c r="CI41" s="15"/>
      <c r="CJ41" s="9"/>
      <c r="CK41" s="15"/>
      <c r="CL41" s="9"/>
      <c r="CM41" s="15"/>
      <c r="CN41" s="9"/>
      <c r="CO41" s="15"/>
      <c r="CP41" s="9"/>
    </row>
    <row r="42" spans="1:94" x14ac:dyDescent="0.25">
      <c r="A42" s="41"/>
      <c r="B42" s="7"/>
      <c r="C42" s="26"/>
      <c r="D42" s="7"/>
      <c r="E42" s="26"/>
      <c r="F42" s="7"/>
      <c r="G42" s="26"/>
      <c r="H42" s="9"/>
      <c r="I42" s="15"/>
      <c r="J42" s="9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7"/>
      <c r="BA42" s="26"/>
      <c r="BB42" s="9"/>
      <c r="BC42" s="15"/>
      <c r="BD42" s="7"/>
      <c r="BE42" s="26"/>
      <c r="BF42" s="7"/>
      <c r="BG42" s="26"/>
      <c r="BH42" s="7"/>
      <c r="BI42" s="26"/>
      <c r="BJ42" s="9"/>
      <c r="BK42" s="15"/>
      <c r="BL42" s="9"/>
      <c r="BM42" s="15"/>
      <c r="BN42" s="9"/>
      <c r="BO42" s="15"/>
      <c r="BP42" s="9"/>
      <c r="BQ42" s="15"/>
      <c r="BR42" s="9"/>
      <c r="BS42" s="15"/>
      <c r="BT42" s="9"/>
      <c r="BU42" s="15"/>
      <c r="BV42" s="9"/>
      <c r="BW42" s="15"/>
      <c r="BX42" s="9"/>
      <c r="BY42" s="15"/>
      <c r="BZ42" s="9"/>
      <c r="CA42" s="15"/>
      <c r="CB42" s="9"/>
      <c r="CC42" s="15"/>
      <c r="CD42" s="9"/>
      <c r="CE42" s="15"/>
      <c r="CF42" s="9"/>
      <c r="CG42" s="15"/>
      <c r="CH42" s="9"/>
      <c r="CI42" s="15"/>
      <c r="CJ42" s="9"/>
      <c r="CK42" s="15"/>
      <c r="CL42" s="9"/>
      <c r="CM42" s="15"/>
      <c r="CN42" s="9"/>
      <c r="CO42" s="15"/>
      <c r="CP42" s="9"/>
    </row>
    <row r="43" spans="1:94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7"/>
      <c r="BA43" s="26"/>
      <c r="BB43" s="9"/>
      <c r="BC43" s="15"/>
      <c r="BD43" s="7"/>
      <c r="BE43" s="26"/>
      <c r="BF43" s="7"/>
      <c r="BG43" s="26"/>
      <c r="BH43" s="7"/>
      <c r="BI43" s="26"/>
      <c r="BJ43" s="9"/>
      <c r="BK43" s="15"/>
      <c r="BL43" s="9"/>
      <c r="BM43" s="15"/>
      <c r="BN43" s="9"/>
      <c r="BO43" s="15"/>
      <c r="BP43" s="9"/>
      <c r="BQ43" s="15"/>
      <c r="BR43" s="9"/>
      <c r="BS43" s="15"/>
      <c r="BT43" s="9"/>
      <c r="BU43" s="15"/>
      <c r="BV43" s="9"/>
      <c r="BW43" s="15"/>
      <c r="BX43" s="9"/>
      <c r="BY43" s="15"/>
      <c r="BZ43" s="9"/>
      <c r="CA43" s="15"/>
      <c r="CB43" s="9"/>
      <c r="CC43" s="15"/>
      <c r="CD43" s="9"/>
      <c r="CE43" s="15"/>
      <c r="CF43" s="9"/>
      <c r="CG43" s="15"/>
      <c r="CH43" s="9"/>
      <c r="CI43" s="15"/>
      <c r="CJ43" s="9"/>
      <c r="CK43" s="15"/>
      <c r="CL43" s="9"/>
      <c r="CM43" s="15"/>
      <c r="CN43" s="9"/>
      <c r="CO43" s="15"/>
      <c r="CP43" s="9"/>
    </row>
    <row r="44" spans="1:94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7"/>
      <c r="BA44" s="26"/>
      <c r="BB44" s="9"/>
      <c r="BC44" s="15"/>
      <c r="BD44" s="7"/>
      <c r="BE44" s="26"/>
      <c r="BF44" s="7"/>
      <c r="BG44" s="26"/>
      <c r="BH44" s="7"/>
      <c r="BI44" s="26"/>
      <c r="BJ44" s="9"/>
      <c r="BK44" s="15"/>
      <c r="BL44" s="9"/>
      <c r="BM44" s="15"/>
      <c r="BN44" s="9"/>
      <c r="BO44" s="15"/>
      <c r="BP44" s="9"/>
      <c r="BQ44" s="15"/>
      <c r="BR44" s="9"/>
      <c r="BS44" s="15"/>
      <c r="BT44" s="9"/>
      <c r="BU44" s="15"/>
      <c r="BV44" s="9"/>
      <c r="BW44" s="15"/>
      <c r="BX44" s="9"/>
      <c r="BY44" s="15"/>
      <c r="BZ44" s="9"/>
      <c r="CA44" s="15"/>
      <c r="CB44" s="9"/>
      <c r="CC44" s="15"/>
      <c r="CD44" s="9"/>
      <c r="CE44" s="15"/>
      <c r="CF44" s="9"/>
      <c r="CG44" s="15"/>
      <c r="CH44" s="9"/>
      <c r="CI44" s="15"/>
      <c r="CJ44" s="9"/>
      <c r="CK44" s="15"/>
      <c r="CL44" s="9"/>
      <c r="CM44" s="15"/>
      <c r="CN44" s="9"/>
      <c r="CO44" s="15"/>
      <c r="CP44" s="9"/>
    </row>
    <row r="45" spans="1:94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7"/>
      <c r="BA45" s="26"/>
      <c r="BB45" s="9"/>
      <c r="BC45" s="15"/>
      <c r="BD45" s="7"/>
      <c r="BE45" s="26"/>
      <c r="BF45" s="7"/>
      <c r="BG45" s="26"/>
      <c r="BH45" s="7"/>
      <c r="BI45" s="26"/>
      <c r="BJ45" s="9"/>
      <c r="BK45" s="15"/>
      <c r="BL45" s="9"/>
      <c r="BM45" s="15"/>
      <c r="BN45" s="9"/>
      <c r="BO45" s="15"/>
      <c r="BP45" s="9"/>
      <c r="BQ45" s="15"/>
      <c r="BR45" s="9"/>
      <c r="BS45" s="15"/>
      <c r="BT45" s="9"/>
      <c r="BU45" s="15"/>
      <c r="BV45" s="9"/>
      <c r="BW45" s="15"/>
      <c r="BX45" s="9"/>
      <c r="BY45" s="15"/>
      <c r="BZ45" s="9"/>
      <c r="CA45" s="15"/>
      <c r="CB45" s="9"/>
      <c r="CC45" s="15"/>
      <c r="CD45" s="9"/>
      <c r="CE45" s="15"/>
      <c r="CF45" s="9"/>
      <c r="CG45" s="15"/>
      <c r="CH45" s="9"/>
      <c r="CI45" s="15"/>
      <c r="CJ45" s="9"/>
      <c r="CK45" s="15"/>
      <c r="CL45" s="9"/>
      <c r="CM45" s="15"/>
      <c r="CN45" s="9"/>
      <c r="CO45" s="15"/>
      <c r="CP45" s="9"/>
    </row>
    <row r="46" spans="1:94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7"/>
      <c r="BA46" s="26"/>
      <c r="BB46" s="9"/>
      <c r="BC46" s="15"/>
      <c r="BD46" s="7"/>
      <c r="BE46" s="26"/>
      <c r="BF46" s="7"/>
      <c r="BG46" s="26"/>
      <c r="BH46" s="7"/>
      <c r="BI46" s="26"/>
      <c r="BJ46" s="9"/>
      <c r="BK46" s="15"/>
      <c r="BL46" s="9"/>
      <c r="BM46" s="15"/>
      <c r="BN46" s="9"/>
      <c r="BO46" s="15"/>
      <c r="BP46" s="9"/>
      <c r="BQ46" s="15"/>
      <c r="BR46" s="9"/>
      <c r="BS46" s="15"/>
      <c r="BT46" s="9"/>
      <c r="BU46" s="15"/>
      <c r="BV46" s="9"/>
      <c r="BW46" s="15"/>
      <c r="BX46" s="9"/>
      <c r="BY46" s="15"/>
      <c r="BZ46" s="9"/>
      <c r="CA46" s="15"/>
      <c r="CB46" s="9"/>
      <c r="CC46" s="15"/>
      <c r="CD46" s="9"/>
      <c r="CE46" s="15"/>
      <c r="CF46" s="9"/>
      <c r="CG46" s="15"/>
      <c r="CH46" s="9"/>
      <c r="CI46" s="15"/>
      <c r="CJ46" s="9"/>
      <c r="CK46" s="15"/>
      <c r="CL46" s="9"/>
      <c r="CM46" s="15"/>
      <c r="CN46" s="9"/>
      <c r="CO46" s="15"/>
      <c r="CP46" s="9"/>
    </row>
    <row r="47" spans="1:94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7"/>
      <c r="BA47" s="26"/>
      <c r="BB47" s="9"/>
      <c r="BC47" s="15"/>
      <c r="BD47" s="7"/>
      <c r="BE47" s="26"/>
      <c r="BF47" s="7"/>
      <c r="BG47" s="26"/>
      <c r="BH47" s="7"/>
      <c r="BI47" s="26"/>
      <c r="BJ47" s="9"/>
      <c r="BK47" s="15"/>
      <c r="BL47" s="9"/>
      <c r="BM47" s="15"/>
      <c r="BN47" s="9"/>
      <c r="BO47" s="15"/>
      <c r="BP47" s="9"/>
      <c r="BQ47" s="15"/>
      <c r="BR47" s="9"/>
      <c r="BS47" s="15"/>
      <c r="BT47" s="9"/>
      <c r="BU47" s="15"/>
      <c r="BV47" s="9"/>
      <c r="BW47" s="15"/>
      <c r="BX47" s="9"/>
      <c r="BY47" s="15"/>
      <c r="BZ47" s="9"/>
      <c r="CA47" s="15"/>
      <c r="CB47" s="9"/>
      <c r="CC47" s="15"/>
      <c r="CD47" s="9"/>
      <c r="CE47" s="15"/>
      <c r="CF47" s="9"/>
      <c r="CG47" s="15"/>
      <c r="CH47" s="9"/>
      <c r="CI47" s="15"/>
      <c r="CJ47" s="9"/>
      <c r="CK47" s="15"/>
      <c r="CL47" s="9"/>
      <c r="CM47" s="15"/>
      <c r="CN47" s="9"/>
      <c r="CO47" s="15"/>
      <c r="CP47" s="9"/>
    </row>
    <row r="48" spans="1:94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7"/>
      <c r="BA48" s="26"/>
      <c r="BB48" s="9"/>
      <c r="BC48" s="15"/>
      <c r="BD48" s="7"/>
      <c r="BE48" s="26"/>
      <c r="BF48" s="7"/>
      <c r="BG48" s="26"/>
      <c r="BH48" s="7"/>
      <c r="BI48" s="26"/>
      <c r="BJ48" s="9"/>
      <c r="BK48" s="15"/>
      <c r="BL48" s="9"/>
      <c r="BM48" s="15"/>
      <c r="BN48" s="9"/>
      <c r="BO48" s="15"/>
      <c r="BP48" s="9"/>
      <c r="BQ48" s="15"/>
      <c r="BR48" s="9"/>
      <c r="BS48" s="15"/>
      <c r="BT48" s="9"/>
      <c r="BU48" s="15"/>
      <c r="BV48" s="9"/>
      <c r="BW48" s="15"/>
      <c r="BX48" s="9"/>
      <c r="BY48" s="15"/>
      <c r="BZ48" s="9"/>
      <c r="CA48" s="15"/>
      <c r="CB48" s="9"/>
      <c r="CC48" s="15"/>
      <c r="CD48" s="9"/>
      <c r="CE48" s="15"/>
      <c r="CF48" s="9"/>
      <c r="CG48" s="15"/>
      <c r="CH48" s="9"/>
      <c r="CI48" s="15"/>
      <c r="CJ48" s="9"/>
      <c r="CK48" s="15"/>
      <c r="CL48" s="9"/>
      <c r="CM48" s="15"/>
      <c r="CN48" s="9"/>
      <c r="CO48" s="15"/>
      <c r="CP48" s="9"/>
    </row>
    <row r="49" spans="1:94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7"/>
      <c r="BA49" s="26"/>
      <c r="BB49" s="9"/>
      <c r="BC49" s="15"/>
      <c r="BD49" s="7"/>
      <c r="BE49" s="26"/>
      <c r="BF49" s="7"/>
      <c r="BG49" s="26"/>
      <c r="BH49" s="7"/>
      <c r="BI49" s="26"/>
      <c r="BJ49" s="9"/>
      <c r="BK49" s="15"/>
      <c r="BL49" s="9"/>
      <c r="BM49" s="15"/>
      <c r="BN49" s="9"/>
      <c r="BO49" s="15"/>
      <c r="BP49" s="9"/>
      <c r="BQ49" s="15"/>
      <c r="BR49" s="9"/>
      <c r="BS49" s="15"/>
      <c r="BT49" s="9"/>
      <c r="BU49" s="15"/>
      <c r="BV49" s="9"/>
      <c r="BW49" s="15"/>
      <c r="BX49" s="9"/>
      <c r="BY49" s="15"/>
      <c r="BZ49" s="9"/>
      <c r="CA49" s="15"/>
      <c r="CB49" s="9"/>
      <c r="CC49" s="15"/>
      <c r="CD49" s="9"/>
      <c r="CE49" s="15"/>
      <c r="CF49" s="9"/>
      <c r="CG49" s="15"/>
      <c r="CH49" s="9"/>
      <c r="CI49" s="15"/>
      <c r="CJ49" s="9"/>
      <c r="CK49" s="15"/>
      <c r="CL49" s="9"/>
      <c r="CM49" s="15"/>
      <c r="CN49" s="9"/>
      <c r="CO49" s="15"/>
      <c r="CP49" s="9"/>
    </row>
    <row r="50" spans="1:94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7"/>
      <c r="BA50" s="26"/>
      <c r="BB50" s="9"/>
      <c r="BC50" s="15"/>
      <c r="BD50" s="7"/>
      <c r="BE50" s="26"/>
      <c r="BF50" s="7"/>
      <c r="BG50" s="26"/>
      <c r="BH50" s="7"/>
      <c r="BI50" s="26"/>
      <c r="BJ50" s="9"/>
      <c r="BK50" s="15"/>
      <c r="BL50" s="9"/>
      <c r="BM50" s="15"/>
      <c r="BN50" s="9"/>
      <c r="BO50" s="15"/>
      <c r="BP50" s="9"/>
      <c r="BQ50" s="15"/>
      <c r="BR50" s="9"/>
      <c r="BS50" s="15"/>
      <c r="BT50" s="9"/>
      <c r="BU50" s="15"/>
      <c r="BV50" s="9"/>
      <c r="BW50" s="15"/>
      <c r="BX50" s="9"/>
      <c r="BY50" s="15"/>
      <c r="BZ50" s="9"/>
      <c r="CA50" s="15"/>
      <c r="CB50" s="9"/>
      <c r="CC50" s="15"/>
      <c r="CD50" s="9"/>
      <c r="CE50" s="15"/>
      <c r="CF50" s="9"/>
      <c r="CG50" s="15"/>
      <c r="CH50" s="9"/>
      <c r="CI50" s="15"/>
      <c r="CJ50" s="9"/>
      <c r="CK50" s="15"/>
      <c r="CL50" s="9"/>
      <c r="CM50" s="15"/>
      <c r="CN50" s="9"/>
      <c r="CO50" s="15"/>
      <c r="CP50" s="9"/>
    </row>
    <row r="51" spans="1:94" x14ac:dyDescent="0.25">
      <c r="A51" s="39" t="s">
        <v>1</v>
      </c>
      <c r="B51" s="7">
        <f>+B3+B4</f>
        <v>159522.77000000002</v>
      </c>
      <c r="C51" s="26"/>
      <c r="D51" s="7">
        <f>+D3+D4</f>
        <v>41473.97</v>
      </c>
      <c r="E51" s="26"/>
      <c r="F51" s="7">
        <f>+F3+F4</f>
        <v>79593.36</v>
      </c>
      <c r="G51" s="26"/>
      <c r="H51" s="7">
        <f>+H3+H4</f>
        <v>244325.86</v>
      </c>
      <c r="I51" s="26"/>
      <c r="J51" s="7">
        <f>+J3+J4</f>
        <v>243194.53</v>
      </c>
      <c r="K51" s="26"/>
      <c r="L51" s="7">
        <f>+L3+L4</f>
        <v>1000</v>
      </c>
      <c r="M51" s="26"/>
      <c r="N51" s="7">
        <f>+N3+N4</f>
        <v>87373.57</v>
      </c>
      <c r="O51" s="26"/>
      <c r="P51" s="7">
        <f>+P3+P4</f>
        <v>75951.820000000007</v>
      </c>
      <c r="Q51" s="26"/>
      <c r="R51" s="7">
        <f>+R3+R4</f>
        <v>301927.04000000004</v>
      </c>
      <c r="S51" s="26"/>
      <c r="T51" s="7">
        <f>+T3+T4</f>
        <v>83056.260000000009</v>
      </c>
      <c r="U51" s="26"/>
      <c r="V51" s="7">
        <f>+V3+V4</f>
        <v>90322.81</v>
      </c>
      <c r="W51" s="26"/>
      <c r="X51" s="7">
        <f>+X3+X4</f>
        <v>46258.42</v>
      </c>
      <c r="Y51" s="26"/>
      <c r="Z51" s="7">
        <f>+Z3+Z4</f>
        <v>32796.42</v>
      </c>
      <c r="AA51" s="26"/>
      <c r="AB51" s="7">
        <f>+AB3+AB4</f>
        <v>213395.14</v>
      </c>
      <c r="AC51" s="26"/>
      <c r="AD51" s="7">
        <f>+AD3+AD4</f>
        <v>162296.03999999998</v>
      </c>
      <c r="AE51" s="26"/>
      <c r="AF51" s="7">
        <f>+AF3+AF4</f>
        <v>40255.660000000003</v>
      </c>
      <c r="AG51" s="26"/>
      <c r="AH51" s="7">
        <f>+AH3+AH4</f>
        <v>63076.480000000003</v>
      </c>
      <c r="AI51" s="26"/>
      <c r="AJ51" s="7">
        <f>+AJ3+AJ4</f>
        <v>114988.37</v>
      </c>
      <c r="AK51" s="26"/>
      <c r="AL51" s="7">
        <f>+AL3+AL4</f>
        <v>0</v>
      </c>
      <c r="AM51" s="26"/>
      <c r="AN51" s="7">
        <f>+AN3+AN4</f>
        <v>432378.42</v>
      </c>
      <c r="AO51" s="26"/>
      <c r="AP51" s="7">
        <f>+AP3+AP4</f>
        <v>200424.08000000002</v>
      </c>
      <c r="AQ51" s="26"/>
      <c r="AR51" s="7">
        <f>+AR3+AR4</f>
        <v>42313.54</v>
      </c>
      <c r="AS51" s="26"/>
      <c r="AT51" s="7">
        <f>+AT3+AT4</f>
        <v>89616.42</v>
      </c>
      <c r="AU51" s="26"/>
      <c r="AV51" s="7">
        <f>+AV3+AV4</f>
        <v>64005.3</v>
      </c>
      <c r="AW51" s="26"/>
      <c r="AX51" s="7">
        <f>+AX3+AX4</f>
        <v>21746.76</v>
      </c>
      <c r="AY51" s="26"/>
      <c r="AZ51" s="7">
        <f>+AZ3+AZ4</f>
        <v>456529.61</v>
      </c>
      <c r="BA51" s="26"/>
      <c r="BB51" s="7">
        <f>+BB3+BB4</f>
        <v>236568.14</v>
      </c>
      <c r="BC51" s="15"/>
      <c r="BD51" s="7">
        <f>+BD3+BD4</f>
        <v>119818.25</v>
      </c>
      <c r="BE51" s="26"/>
      <c r="BF51" s="7">
        <f>+BF3+BF4</f>
        <v>219267.5</v>
      </c>
      <c r="BG51" s="26"/>
      <c r="BH51" s="7"/>
      <c r="BI51" s="26"/>
      <c r="BJ51" s="9"/>
      <c r="BK51" s="15"/>
      <c r="BL51" s="9"/>
      <c r="BM51" s="15"/>
      <c r="BN51" s="9"/>
      <c r="BO51" s="15"/>
      <c r="BP51" s="9"/>
      <c r="BQ51" s="15"/>
      <c r="BR51" s="9"/>
      <c r="BS51" s="15"/>
      <c r="BT51" s="9"/>
      <c r="BU51" s="15"/>
      <c r="BV51" s="9"/>
      <c r="BW51" s="15"/>
      <c r="BX51" s="9"/>
      <c r="BY51" s="15"/>
      <c r="BZ51" s="9"/>
      <c r="CA51" s="15"/>
      <c r="CB51" s="9"/>
      <c r="CC51" s="15"/>
      <c r="CD51" s="9"/>
      <c r="CE51" s="15"/>
      <c r="CF51" s="66"/>
      <c r="CG51" s="60"/>
      <c r="CH51" s="66"/>
      <c r="CI51" s="60"/>
      <c r="CJ51" s="66"/>
      <c r="CK51" s="60"/>
      <c r="CL51" s="66"/>
      <c r="CM51" s="60"/>
      <c r="CN51" s="66"/>
      <c r="CO51" s="60"/>
      <c r="CP51" s="66"/>
    </row>
    <row r="52" spans="1:94" x14ac:dyDescent="0.25">
      <c r="A52" s="39" t="s">
        <v>2</v>
      </c>
      <c r="B52" s="26">
        <f>+SUM(B5:B48)</f>
        <v>159522.26999999996</v>
      </c>
      <c r="C52" s="26"/>
      <c r="D52" s="26">
        <f>+SUM(D5:D48)</f>
        <v>41473.969999999994</v>
      </c>
      <c r="E52" s="26"/>
      <c r="F52" s="26">
        <f>+SUM(F5:F48)</f>
        <v>79593.360000000015</v>
      </c>
      <c r="G52" s="26"/>
      <c r="H52" s="26">
        <f>+SUM(H5:H48)</f>
        <v>244325.84999999998</v>
      </c>
      <c r="I52" s="26"/>
      <c r="J52" s="26">
        <f>+SUM(J5:J48)</f>
        <v>243194.53</v>
      </c>
      <c r="K52" s="26"/>
      <c r="L52" s="26">
        <f>+SUM(L5:L48)</f>
        <v>1000</v>
      </c>
      <c r="M52" s="26"/>
      <c r="N52" s="26">
        <f>+SUM(N5:N48)</f>
        <v>87373.59</v>
      </c>
      <c r="O52" s="26"/>
      <c r="P52" s="26">
        <f>+SUM(P5:P48)</f>
        <v>75951.819999999992</v>
      </c>
      <c r="Q52" s="26"/>
      <c r="R52" s="26">
        <f>+SUM(R5:R48)</f>
        <v>301927.04000000004</v>
      </c>
      <c r="S52" s="26"/>
      <c r="T52" s="26">
        <f>+SUM(T5:T48)</f>
        <v>83056.37000000001</v>
      </c>
      <c r="U52" s="26"/>
      <c r="V52" s="26">
        <f>+SUM(V5:V48)</f>
        <v>127742.12000000002</v>
      </c>
      <c r="W52" s="26"/>
      <c r="X52" s="26">
        <f>+SUM(X5:X48)</f>
        <v>46258.42</v>
      </c>
      <c r="Y52" s="26"/>
      <c r="Z52" s="26">
        <f>+SUM(Z5:Z48)</f>
        <v>32796.409999999996</v>
      </c>
      <c r="AA52" s="26"/>
      <c r="AB52" s="26">
        <f>+SUM(AB5:AB48)</f>
        <v>213395.13999999998</v>
      </c>
      <c r="AC52" s="26"/>
      <c r="AD52" s="26">
        <f>+SUM(AD5:AD48)</f>
        <v>162296.04</v>
      </c>
      <c r="AE52" s="26"/>
      <c r="AF52" s="26">
        <f>+SUM(AF5:AF48)</f>
        <v>40255.67</v>
      </c>
      <c r="AG52" s="26"/>
      <c r="AH52" s="26">
        <f>+SUM(AH5:AH48)</f>
        <v>63076.480000000003</v>
      </c>
      <c r="AI52" s="26"/>
      <c r="AJ52" s="26">
        <f>+SUM(AJ5:AJ48)</f>
        <v>114988.37</v>
      </c>
      <c r="AK52" s="26"/>
      <c r="AL52" s="26">
        <f>+SUM(AL5:AL48)</f>
        <v>0</v>
      </c>
      <c r="AM52" s="26"/>
      <c r="AN52" s="26">
        <f>+SUM(AN5:AN48)</f>
        <v>432378.44000000006</v>
      </c>
      <c r="AO52" s="26"/>
      <c r="AP52" s="26">
        <f>+SUM(AP5:AP48)</f>
        <v>200424.09</v>
      </c>
      <c r="AQ52" s="26"/>
      <c r="AR52" s="26">
        <f>+SUM(AR5:AR48)</f>
        <v>42313.540000000008</v>
      </c>
      <c r="AS52" s="26"/>
      <c r="AT52" s="26">
        <f>+SUM(AT5:AT48)</f>
        <v>89615.809999999983</v>
      </c>
      <c r="AU52" s="26"/>
      <c r="AV52" s="26">
        <f>+SUM(AV5:AV48)</f>
        <v>64005.307000000001</v>
      </c>
      <c r="AW52" s="26"/>
      <c r="AX52" s="26">
        <f>+SUM(AX5:AX48)</f>
        <v>21746.800000000003</v>
      </c>
      <c r="AY52" s="26"/>
      <c r="AZ52" s="26">
        <f>+SUM(AZ5:AZ48)</f>
        <v>456528.91</v>
      </c>
      <c r="BA52" s="26"/>
      <c r="BB52" s="26">
        <f>+SUM(BB5:BB48)</f>
        <v>236568.13999999998</v>
      </c>
      <c r="BC52" s="15"/>
      <c r="BD52" s="26">
        <f>+SUM(BD5:BD48)</f>
        <v>119818.24999999999</v>
      </c>
      <c r="BE52" s="26"/>
      <c r="BF52" s="26">
        <f>+SUM(BF5:BF48)</f>
        <v>219267.49999999997</v>
      </c>
      <c r="BG52" s="26"/>
      <c r="BH52" s="26"/>
      <c r="BI52" s="26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</row>
    <row r="53" spans="1:94" x14ac:dyDescent="0.25">
      <c r="A53" s="39" t="s">
        <v>3</v>
      </c>
      <c r="B53" s="117">
        <f>+B51-B52</f>
        <v>0.50000000005820766</v>
      </c>
      <c r="C53" s="117"/>
      <c r="D53" s="117">
        <f>+D51-D52</f>
        <v>0</v>
      </c>
      <c r="E53" s="117"/>
      <c r="F53" s="117">
        <f>+F51-F52</f>
        <v>0</v>
      </c>
      <c r="G53" s="117"/>
      <c r="H53" s="117">
        <f>+H51-H52</f>
        <v>1.0000000009313226E-2</v>
      </c>
      <c r="I53" s="117"/>
      <c r="J53" s="117">
        <f>+J51-J52</f>
        <v>0</v>
      </c>
      <c r="K53" s="117"/>
      <c r="L53" s="117">
        <f>+L51-L52</f>
        <v>0</v>
      </c>
      <c r="M53" s="117"/>
      <c r="N53" s="117">
        <f>+N51-N52</f>
        <v>-1.9999999989522621E-2</v>
      </c>
      <c r="O53" s="117"/>
      <c r="P53" s="117">
        <f>+P51-P52</f>
        <v>0</v>
      </c>
      <c r="Q53" s="117"/>
      <c r="R53" s="117">
        <f>+R51-R52</f>
        <v>0</v>
      </c>
      <c r="S53" s="117"/>
      <c r="T53" s="117">
        <f>+T51-T52</f>
        <v>-0.11000000000058208</v>
      </c>
      <c r="U53" s="117"/>
      <c r="V53" s="117">
        <f>+V51-V52</f>
        <v>-37419.310000000027</v>
      </c>
      <c r="W53" s="117"/>
      <c r="X53" s="117">
        <f>+X51-X52</f>
        <v>0</v>
      </c>
      <c r="Y53" s="117"/>
      <c r="Z53" s="117">
        <f>+Z51-Z52</f>
        <v>1.0000000002037268E-2</v>
      </c>
      <c r="AA53" s="117"/>
      <c r="AB53" s="117">
        <f>+AB51-AB52</f>
        <v>0</v>
      </c>
      <c r="AC53" s="117"/>
      <c r="AD53" s="117">
        <f>+AD51-AD52</f>
        <v>0</v>
      </c>
      <c r="AE53" s="117"/>
      <c r="AF53" s="117">
        <f>+AF51-AF52</f>
        <v>-9.9999999947613105E-3</v>
      </c>
      <c r="AG53" s="117"/>
      <c r="AH53" s="117">
        <f>+AH51-AH52</f>
        <v>0</v>
      </c>
      <c r="AI53" s="117"/>
      <c r="AJ53" s="117">
        <f>+AJ51-AJ52</f>
        <v>0</v>
      </c>
      <c r="AK53" s="117"/>
      <c r="AL53" s="117">
        <f>+AL51-AL52</f>
        <v>0</v>
      </c>
      <c r="AM53" s="117"/>
      <c r="AN53" s="117">
        <f>+AN51-AN52</f>
        <v>-2.0000000076834112E-2</v>
      </c>
      <c r="AO53" s="117"/>
      <c r="AP53" s="117">
        <f>+AP51-AP52</f>
        <v>-9.9999999802093953E-3</v>
      </c>
      <c r="AQ53" s="117"/>
      <c r="AR53" s="117">
        <f>+AR51-AR52</f>
        <v>0</v>
      </c>
      <c r="AS53" s="117"/>
      <c r="AT53" s="117">
        <f>+AT51-AT52</f>
        <v>0.61000000001513399</v>
      </c>
      <c r="AU53" s="117"/>
      <c r="AV53" s="117">
        <f>+AV51-AV52</f>
        <v>-6.9999999977881089E-3</v>
      </c>
      <c r="AW53" s="117"/>
      <c r="AX53" s="117">
        <f>+AX51-AX52</f>
        <v>-4.0000000004511094E-2</v>
      </c>
      <c r="AY53" s="117"/>
      <c r="AZ53" s="117">
        <f>+AZ51-AZ52</f>
        <v>0.70000000001164153</v>
      </c>
      <c r="BA53" s="117"/>
      <c r="BB53" s="117">
        <f>+BB51-BB52</f>
        <v>0</v>
      </c>
      <c r="BC53" s="134"/>
      <c r="BD53" s="117">
        <f>+BD51-BD52</f>
        <v>0</v>
      </c>
      <c r="BE53" s="117"/>
      <c r="BF53" s="117">
        <f>+BF51-BF52</f>
        <v>0</v>
      </c>
      <c r="BG53" s="117"/>
      <c r="BH53" s="117"/>
      <c r="BI53" s="117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</row>
    <row r="54" spans="1:94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18"/>
      <c r="AA54" s="59"/>
      <c r="AB54" s="18"/>
      <c r="AC54" s="59"/>
      <c r="AD54" s="18"/>
      <c r="AE54" s="59"/>
      <c r="AF54" s="18"/>
      <c r="AG54" s="59"/>
      <c r="AH54" s="18"/>
      <c r="AI54" s="59"/>
      <c r="AJ54" s="117"/>
      <c r="AK54" s="59"/>
      <c r="AL54" s="18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59"/>
      <c r="AX54" s="18"/>
      <c r="AY54" s="59"/>
      <c r="AZ54" s="18"/>
      <c r="BA54" s="59"/>
      <c r="BB54" s="18"/>
      <c r="BC54" s="25"/>
      <c r="BD54" s="18"/>
      <c r="BE54" s="59"/>
      <c r="BF54" s="18"/>
      <c r="BG54" s="59"/>
      <c r="BH54" s="18"/>
      <c r="BI54" s="59"/>
      <c r="BJ54" s="75"/>
      <c r="BK54" s="25"/>
      <c r="BL54" s="75"/>
      <c r="BM54" s="25"/>
      <c r="BN54" s="75"/>
      <c r="BO54" s="25"/>
      <c r="BP54" s="75"/>
      <c r="BQ54" s="25"/>
      <c r="BR54" s="75"/>
      <c r="BS54" s="25"/>
      <c r="BT54" s="75"/>
      <c r="BU54" s="25"/>
      <c r="BV54" s="75"/>
      <c r="BW54" s="25"/>
      <c r="BX54" s="75"/>
      <c r="BY54" s="25"/>
      <c r="BZ54" s="75"/>
      <c r="CA54" s="25"/>
      <c r="CB54" s="75"/>
      <c r="CC54" s="25"/>
      <c r="CD54" s="75"/>
      <c r="CE54" s="25"/>
      <c r="CF54" s="76"/>
      <c r="CG54" s="234"/>
      <c r="CH54" s="76"/>
      <c r="CI54" s="234"/>
      <c r="CJ54" s="76"/>
      <c r="CK54" s="234"/>
      <c r="CL54" s="76"/>
      <c r="CM54" s="234"/>
      <c r="CN54" s="76"/>
      <c r="CO54" s="234"/>
      <c r="CP54" s="76"/>
    </row>
    <row r="55" spans="1:94" x14ac:dyDescent="0.25">
      <c r="A55" s="48"/>
      <c r="B55" s="163"/>
      <c r="C55" s="59"/>
      <c r="D55" s="163"/>
      <c r="E55" s="59"/>
      <c r="F55" s="163"/>
      <c r="G55" s="59"/>
      <c r="H55" s="163"/>
      <c r="I55" s="59"/>
      <c r="J55" s="163"/>
      <c r="K55" s="59"/>
      <c r="L55" s="163"/>
      <c r="M55" s="59"/>
      <c r="N55" s="163"/>
      <c r="O55" s="59"/>
      <c r="P55" s="163"/>
      <c r="Q55" s="59"/>
      <c r="R55" s="18"/>
      <c r="S55" s="59"/>
      <c r="T55" s="141"/>
      <c r="U55" s="59"/>
      <c r="V55" s="141"/>
      <c r="W55" s="59"/>
      <c r="X55" s="141"/>
      <c r="Y55" s="59"/>
      <c r="Z55" s="163"/>
      <c r="AA55" s="59"/>
      <c r="AB55" s="18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59"/>
      <c r="AX55" s="18"/>
      <c r="AY55" s="59"/>
      <c r="AZ55" s="18"/>
      <c r="BA55" s="59"/>
      <c r="BB55" s="75"/>
      <c r="BC55" s="25"/>
      <c r="BD55" s="18"/>
      <c r="BE55" s="59"/>
      <c r="BF55" s="18"/>
      <c r="BG55" s="59"/>
      <c r="BH55" s="18"/>
      <c r="BI55" s="59"/>
      <c r="BJ55" s="75"/>
      <c r="BK55" s="25"/>
      <c r="BL55" s="75"/>
      <c r="BM55" s="25"/>
      <c r="BN55" s="75"/>
      <c r="BO55" s="25"/>
      <c r="BP55" s="75"/>
      <c r="BQ55" s="25"/>
      <c r="BR55" s="75"/>
      <c r="BS55" s="25"/>
      <c r="BT55" s="75"/>
      <c r="BU55" s="25"/>
      <c r="BV55" s="75"/>
      <c r="BW55" s="25"/>
      <c r="BX55" s="75"/>
      <c r="BY55" s="25"/>
      <c r="BZ55" s="75"/>
      <c r="CA55" s="25"/>
      <c r="CB55" s="75"/>
      <c r="CC55" s="25"/>
      <c r="CD55" s="75"/>
      <c r="CE55" s="25"/>
      <c r="CF55" s="76"/>
      <c r="CG55" s="234"/>
      <c r="CH55" s="76"/>
      <c r="CI55" s="234"/>
      <c r="CJ55" s="76"/>
      <c r="CK55" s="234"/>
      <c r="CL55" s="76"/>
      <c r="CM55" s="234"/>
      <c r="CN55" s="76"/>
      <c r="CO55" s="234"/>
      <c r="CP55" s="76"/>
    </row>
    <row r="56" spans="1:94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0"/>
      <c r="BA56" s="12"/>
      <c r="BB56" s="11"/>
      <c r="BC56" s="13"/>
      <c r="BD56" s="10"/>
      <c r="BE56" s="12"/>
      <c r="BF56" s="10"/>
      <c r="BG56" s="12"/>
      <c r="BH56" s="10"/>
      <c r="BI56" s="12"/>
      <c r="BJ56" s="11"/>
      <c r="BK56" s="13"/>
      <c r="BL56" s="11"/>
      <c r="BM56" s="13"/>
      <c r="BN56" s="11"/>
      <c r="BO56" s="13"/>
      <c r="BP56" s="11"/>
      <c r="BQ56" s="13"/>
      <c r="BR56" s="11"/>
      <c r="BS56" s="13"/>
      <c r="BT56" s="11"/>
      <c r="BU56" s="13"/>
      <c r="BV56" s="11"/>
      <c r="BW56" s="13"/>
      <c r="BX56" s="11"/>
      <c r="BY56" s="13"/>
      <c r="BZ56" s="11"/>
      <c r="CA56" s="13"/>
      <c r="CB56" s="11"/>
      <c r="CC56" s="13"/>
      <c r="CD56" s="11"/>
      <c r="CE56" s="13"/>
      <c r="CF56" s="11"/>
      <c r="CG56" s="13"/>
      <c r="CH56" s="11"/>
      <c r="CI56" s="13"/>
      <c r="CJ56" s="11"/>
      <c r="CK56" s="13"/>
      <c r="CL56" s="11"/>
      <c r="CM56" s="13"/>
      <c r="CN56" s="11"/>
      <c r="CO56" s="13"/>
      <c r="CP56" s="11"/>
    </row>
    <row r="57" spans="1:94" x14ac:dyDescent="0.25">
      <c r="A57" s="40" t="s">
        <v>4</v>
      </c>
      <c r="B57" s="20">
        <v>42948</v>
      </c>
      <c r="C57" s="20"/>
      <c r="D57" s="20">
        <v>42949</v>
      </c>
      <c r="E57" s="20"/>
      <c r="F57" s="20">
        <v>42950</v>
      </c>
      <c r="G57" s="20"/>
      <c r="H57" s="20">
        <v>42951</v>
      </c>
      <c r="I57" s="20"/>
      <c r="J57" s="20">
        <v>42952</v>
      </c>
      <c r="K57" s="20"/>
      <c r="L57" s="20">
        <v>42953</v>
      </c>
      <c r="M57" s="20"/>
      <c r="N57" s="20">
        <v>42954</v>
      </c>
      <c r="O57" s="20"/>
      <c r="P57" s="20">
        <v>42955</v>
      </c>
      <c r="Q57" s="20"/>
      <c r="R57" s="20">
        <v>42956</v>
      </c>
      <c r="S57" s="20"/>
      <c r="T57" s="20">
        <v>42957</v>
      </c>
      <c r="U57" s="20"/>
      <c r="V57" s="20">
        <v>42958</v>
      </c>
      <c r="W57" s="20"/>
      <c r="X57" s="20">
        <v>42959</v>
      </c>
      <c r="Y57" s="20"/>
      <c r="Z57" s="20">
        <v>42961</v>
      </c>
      <c r="AA57" s="20"/>
      <c r="AB57" s="20">
        <v>42962</v>
      </c>
      <c r="AC57" s="20"/>
      <c r="AD57" s="20">
        <v>42963</v>
      </c>
      <c r="AE57" s="20"/>
      <c r="AF57" s="20">
        <v>42964</v>
      </c>
      <c r="AG57" s="20"/>
      <c r="AH57" s="20">
        <v>42965</v>
      </c>
      <c r="AI57" s="20"/>
      <c r="AJ57" s="20">
        <v>42966</v>
      </c>
      <c r="AK57" s="20"/>
      <c r="AL57" s="20">
        <v>42967</v>
      </c>
      <c r="AM57" s="20"/>
      <c r="AN57" s="20">
        <v>42968</v>
      </c>
      <c r="AO57" s="20"/>
      <c r="AP57" s="20">
        <v>42969</v>
      </c>
      <c r="AQ57" s="20"/>
      <c r="AR57" s="20">
        <v>42970</v>
      </c>
      <c r="AS57" s="20"/>
      <c r="AT57" s="20">
        <v>42971</v>
      </c>
      <c r="AU57" s="20"/>
      <c r="AV57" s="20">
        <v>42972</v>
      </c>
      <c r="AW57" s="20"/>
      <c r="AX57" s="20">
        <v>42973</v>
      </c>
      <c r="AY57" s="20"/>
      <c r="AZ57" s="20">
        <v>42975</v>
      </c>
      <c r="BA57" s="20"/>
      <c r="BB57" s="20">
        <v>42976</v>
      </c>
      <c r="BC57" s="20"/>
      <c r="BD57" s="20">
        <v>42977</v>
      </c>
      <c r="BE57" s="20"/>
      <c r="BF57" s="20">
        <v>42978</v>
      </c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</row>
    <row r="58" spans="1:94" x14ac:dyDescent="0.25">
      <c r="A58" s="49"/>
      <c r="B58" s="19"/>
      <c r="C58" s="21"/>
      <c r="D58" s="19"/>
      <c r="E58" s="21"/>
      <c r="F58" s="19"/>
      <c r="G58" s="21"/>
      <c r="H58" s="19"/>
      <c r="I58" s="21"/>
      <c r="J58" s="19"/>
      <c r="K58" s="21"/>
      <c r="L58" s="19"/>
      <c r="M58" s="21"/>
      <c r="N58" s="19"/>
      <c r="O58" s="21"/>
      <c r="P58" s="19"/>
      <c r="Q58" s="21"/>
      <c r="R58" s="19"/>
      <c r="S58" s="21"/>
      <c r="T58" s="19"/>
      <c r="U58" s="21"/>
      <c r="V58" s="19"/>
      <c r="W58" s="21"/>
      <c r="X58" s="19"/>
      <c r="Y58" s="21"/>
      <c r="Z58" s="68"/>
      <c r="AA58" s="21"/>
      <c r="AB58" s="19"/>
      <c r="AC58" s="21"/>
      <c r="AD58" s="19"/>
      <c r="AE58" s="21"/>
      <c r="AF58" s="19"/>
      <c r="AG58" s="21"/>
      <c r="AH58" s="19"/>
      <c r="AI58" s="21"/>
      <c r="AJ58" s="19"/>
      <c r="AK58" s="21"/>
      <c r="AL58" s="19"/>
      <c r="AM58" s="21"/>
      <c r="AN58" s="19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19"/>
      <c r="BA58" s="21"/>
      <c r="BB58" s="68"/>
      <c r="BC58" s="135"/>
      <c r="BD58" s="19"/>
      <c r="BE58" s="21"/>
      <c r="BF58" s="19"/>
      <c r="BG58" s="21"/>
      <c r="BH58" s="19"/>
      <c r="BI58" s="21"/>
      <c r="BJ58" s="68"/>
      <c r="BK58" s="135"/>
      <c r="BL58" s="68"/>
      <c r="BM58" s="135"/>
      <c r="BN58" s="68"/>
      <c r="BO58" s="135"/>
      <c r="BP58" s="68"/>
      <c r="BQ58" s="135"/>
      <c r="BR58" s="68"/>
      <c r="BS58" s="135"/>
      <c r="BT58" s="68"/>
      <c r="BU58" s="135"/>
      <c r="BV58" s="68"/>
      <c r="BW58" s="135"/>
      <c r="BX58" s="68"/>
      <c r="BY58" s="135"/>
      <c r="BZ58" s="68"/>
      <c r="CA58" s="135"/>
      <c r="CB58" s="68"/>
      <c r="CC58" s="135"/>
      <c r="CD58" s="68"/>
      <c r="CE58" s="135"/>
      <c r="CF58" s="68"/>
      <c r="CG58" s="135"/>
      <c r="CH58" s="68"/>
      <c r="CI58" s="135"/>
      <c r="CJ58" s="68"/>
      <c r="CK58" s="135"/>
      <c r="CL58" s="68"/>
      <c r="CM58" s="135"/>
      <c r="CN58" s="68"/>
      <c r="CO58" s="135"/>
      <c r="CP58" s="68"/>
    </row>
    <row r="59" spans="1:94" x14ac:dyDescent="0.25">
      <c r="A59" s="41" t="s">
        <v>5</v>
      </c>
      <c r="B59" s="9">
        <v>15000</v>
      </c>
      <c r="C59" s="15" t="s">
        <v>9160</v>
      </c>
      <c r="D59" s="9">
        <v>6442.44</v>
      </c>
      <c r="E59" s="15" t="s">
        <v>9176</v>
      </c>
      <c r="F59" s="9">
        <v>5000</v>
      </c>
      <c r="G59" s="15" t="s">
        <v>9185</v>
      </c>
      <c r="H59" s="112">
        <v>302</v>
      </c>
      <c r="I59" s="15" t="s">
        <v>9302</v>
      </c>
      <c r="J59" s="9">
        <v>20000</v>
      </c>
      <c r="K59" s="15" t="s">
        <v>9352</v>
      </c>
      <c r="L59" s="9"/>
      <c r="M59" s="15"/>
      <c r="N59" s="9">
        <v>777.61</v>
      </c>
      <c r="O59" s="15" t="s">
        <v>9396</v>
      </c>
      <c r="P59" s="9">
        <v>2065</v>
      </c>
      <c r="Q59" s="15" t="s">
        <v>9446</v>
      </c>
      <c r="R59" s="9">
        <v>2800</v>
      </c>
      <c r="S59" s="15" t="s">
        <v>9462</v>
      </c>
      <c r="T59" s="9">
        <v>2040</v>
      </c>
      <c r="U59" s="15" t="s">
        <v>9564</v>
      </c>
      <c r="V59" s="9">
        <v>20000</v>
      </c>
      <c r="W59" s="15" t="s">
        <v>9610</v>
      </c>
      <c r="X59" s="243">
        <v>735.78</v>
      </c>
      <c r="Y59" s="15" t="s">
        <v>9665</v>
      </c>
      <c r="Z59" s="9">
        <v>1099.01</v>
      </c>
      <c r="AA59" s="15" t="s">
        <v>9708</v>
      </c>
      <c r="AB59" s="9">
        <v>2000</v>
      </c>
      <c r="AC59" s="15" t="s">
        <v>9750</v>
      </c>
      <c r="AD59" s="9">
        <v>3994.6</v>
      </c>
      <c r="AE59" s="15" t="s">
        <v>9807</v>
      </c>
      <c r="AF59" s="9">
        <v>1649</v>
      </c>
      <c r="AG59" s="15" t="s">
        <v>9858</v>
      </c>
      <c r="AH59" s="9">
        <v>3250</v>
      </c>
      <c r="AI59" s="15" t="s">
        <v>9899</v>
      </c>
      <c r="AJ59" s="9">
        <v>20000</v>
      </c>
      <c r="AK59" s="15" t="s">
        <v>9943</v>
      </c>
      <c r="AL59" s="9">
        <v>5000</v>
      </c>
      <c r="AM59" s="15" t="s">
        <v>9977</v>
      </c>
      <c r="AN59" s="9">
        <v>991.71</v>
      </c>
      <c r="AO59" s="15" t="s">
        <v>9983</v>
      </c>
      <c r="AP59" s="9">
        <v>5670</v>
      </c>
      <c r="AQ59" s="15" t="s">
        <v>10031</v>
      </c>
      <c r="AR59" s="9">
        <v>100000</v>
      </c>
      <c r="AS59" s="15" t="s">
        <v>10109</v>
      </c>
      <c r="AT59" s="9">
        <v>1250</v>
      </c>
      <c r="AU59" s="15" t="s">
        <v>10095</v>
      </c>
      <c r="AV59" s="9">
        <v>2500</v>
      </c>
      <c r="AW59" s="15" t="s">
        <v>10165</v>
      </c>
      <c r="AX59" s="9">
        <v>20000</v>
      </c>
      <c r="AY59" s="15" t="s">
        <v>10201</v>
      </c>
      <c r="AZ59" s="9">
        <v>10500</v>
      </c>
      <c r="BA59" s="15" t="s">
        <v>10246</v>
      </c>
      <c r="BB59" s="10">
        <v>354.96</v>
      </c>
      <c r="BC59" s="12" t="s">
        <v>10300</v>
      </c>
      <c r="BD59" s="9">
        <v>20000</v>
      </c>
      <c r="BE59" s="15" t="s">
        <v>10441</v>
      </c>
      <c r="BF59" s="9">
        <v>33400</v>
      </c>
      <c r="BG59" s="15" t="s">
        <v>10410</v>
      </c>
      <c r="BH59" s="120"/>
      <c r="BI59" s="120"/>
      <c r="BJ59" s="9"/>
      <c r="BK59" s="9"/>
      <c r="BL59" s="9"/>
      <c r="BM59" s="15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  <c r="CO59" s="15"/>
      <c r="CP59" s="9"/>
    </row>
    <row r="60" spans="1:94" x14ac:dyDescent="0.25">
      <c r="A60" s="41"/>
      <c r="B60" s="9">
        <v>2040</v>
      </c>
      <c r="C60" s="15" t="s">
        <v>9165</v>
      </c>
      <c r="D60" s="9"/>
      <c r="E60" s="15"/>
      <c r="F60" s="9">
        <v>1169</v>
      </c>
      <c r="G60" s="15" t="s">
        <v>9189</v>
      </c>
      <c r="H60" s="113">
        <v>2500.06</v>
      </c>
      <c r="I60" s="13" t="s">
        <v>9303</v>
      </c>
      <c r="J60" s="72">
        <v>20000</v>
      </c>
      <c r="K60" s="24" t="s">
        <v>9353</v>
      </c>
      <c r="L60" s="9"/>
      <c r="M60" s="15"/>
      <c r="N60" s="9">
        <v>1297.6500000000001</v>
      </c>
      <c r="O60" s="15" t="s">
        <v>9403</v>
      </c>
      <c r="P60" s="9">
        <v>4465</v>
      </c>
      <c r="Q60" s="15" t="s">
        <v>9447</v>
      </c>
      <c r="R60" s="9">
        <v>600</v>
      </c>
      <c r="S60" s="15" t="s">
        <v>9469</v>
      </c>
      <c r="T60" s="9">
        <v>2040</v>
      </c>
      <c r="U60" s="15" t="s">
        <v>9565</v>
      </c>
      <c r="V60" s="9">
        <v>9000</v>
      </c>
      <c r="W60" s="15" t="s">
        <v>9611</v>
      </c>
      <c r="X60" s="243">
        <v>1671.24</v>
      </c>
      <c r="Y60" s="15" t="s">
        <v>9666</v>
      </c>
      <c r="Z60" s="9">
        <v>1099.02</v>
      </c>
      <c r="AA60" s="15" t="s">
        <v>9709</v>
      </c>
      <c r="AB60" s="9">
        <v>1006.3</v>
      </c>
      <c r="AC60" s="15" t="s">
        <v>9751</v>
      </c>
      <c r="AD60" s="72">
        <v>232</v>
      </c>
      <c r="AE60" s="15" t="s">
        <v>9809</v>
      </c>
      <c r="AF60" s="72">
        <v>504.54</v>
      </c>
      <c r="AG60" s="26" t="s">
        <v>9862</v>
      </c>
      <c r="AH60" s="9"/>
      <c r="AI60" s="15"/>
      <c r="AJ60" s="72">
        <v>568.55999999999995</v>
      </c>
      <c r="AK60" s="15" t="s">
        <v>9944</v>
      </c>
      <c r="AL60" s="9">
        <v>5000</v>
      </c>
      <c r="AM60" s="15" t="s">
        <v>9978</v>
      </c>
      <c r="AN60" s="9"/>
      <c r="AO60" s="15"/>
      <c r="AP60" s="9">
        <v>189000</v>
      </c>
      <c r="AQ60" s="15" t="s">
        <v>10033</v>
      </c>
      <c r="AR60" s="9">
        <v>149.69</v>
      </c>
      <c r="AS60" s="15" t="s">
        <v>10112</v>
      </c>
      <c r="AT60" s="9">
        <v>3297.73</v>
      </c>
      <c r="AU60" s="15" t="s">
        <v>10097</v>
      </c>
      <c r="AV60" s="9">
        <v>1011.9</v>
      </c>
      <c r="AW60" s="15" t="s">
        <v>10174</v>
      </c>
      <c r="AX60" s="9">
        <v>529.86</v>
      </c>
      <c r="AY60" s="15" t="s">
        <v>10202</v>
      </c>
      <c r="AZ60" s="11">
        <v>5000</v>
      </c>
      <c r="BA60" s="12" t="s">
        <v>10248</v>
      </c>
      <c r="BB60" s="26">
        <v>1299</v>
      </c>
      <c r="BC60" s="26" t="s">
        <v>10319</v>
      </c>
      <c r="BD60" s="72">
        <v>3319.99</v>
      </c>
      <c r="BE60" s="24" t="s">
        <v>10447</v>
      </c>
      <c r="BF60" s="72">
        <v>3861.13</v>
      </c>
      <c r="BG60" s="24" t="s">
        <v>10414</v>
      </c>
      <c r="BH60" s="120"/>
      <c r="BI60" s="120"/>
      <c r="BJ60" s="9"/>
      <c r="BK60" s="15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  <c r="CO60" s="15"/>
      <c r="CP60" s="9"/>
    </row>
    <row r="61" spans="1:94" x14ac:dyDescent="0.25">
      <c r="A61" s="43"/>
      <c r="B61" s="9">
        <v>1099.01</v>
      </c>
      <c r="C61" s="15" t="s">
        <v>9170</v>
      </c>
      <c r="D61" s="9">
        <v>3238.99</v>
      </c>
      <c r="E61" s="15" t="s">
        <v>9242</v>
      </c>
      <c r="F61" s="192">
        <v>4465</v>
      </c>
      <c r="G61" s="12" t="s">
        <v>9191</v>
      </c>
      <c r="H61" s="112">
        <v>408.6</v>
      </c>
      <c r="I61" s="15" t="s">
        <v>9304</v>
      </c>
      <c r="J61" s="72">
        <v>12000</v>
      </c>
      <c r="K61" s="24" t="s">
        <v>9358</v>
      </c>
      <c r="L61" s="11"/>
      <c r="M61" s="12"/>
      <c r="N61" s="10">
        <v>4424.9799999999996</v>
      </c>
      <c r="O61" s="12" t="s">
        <v>9409</v>
      </c>
      <c r="P61" s="11">
        <v>1970</v>
      </c>
      <c r="Q61" s="12" t="s">
        <v>9449</v>
      </c>
      <c r="R61" s="111">
        <f>+R60+R59</f>
        <v>3400</v>
      </c>
      <c r="S61" s="12"/>
      <c r="T61" s="11">
        <v>250</v>
      </c>
      <c r="U61" s="12" t="s">
        <v>9567</v>
      </c>
      <c r="V61" s="10">
        <v>150</v>
      </c>
      <c r="W61" s="12" t="s">
        <v>9615</v>
      </c>
      <c r="X61" s="253">
        <v>4871.2299999999996</v>
      </c>
      <c r="Y61" s="12" t="s">
        <v>9667</v>
      </c>
      <c r="Z61" s="111">
        <f>+Z59+Z60</f>
        <v>2198.0299999999997</v>
      </c>
      <c r="AA61" s="13"/>
      <c r="AB61" s="11">
        <v>1646.83</v>
      </c>
      <c r="AC61" s="12" t="s">
        <v>9752</v>
      </c>
      <c r="AD61" s="127">
        <v>262.14</v>
      </c>
      <c r="AE61" s="120" t="s">
        <v>9810</v>
      </c>
      <c r="AF61" s="111">
        <f>+AF60+AF59</f>
        <v>2153.54</v>
      </c>
      <c r="AG61" s="12"/>
      <c r="AH61" s="9">
        <v>159.69</v>
      </c>
      <c r="AI61" s="15" t="s">
        <v>9907</v>
      </c>
      <c r="AJ61" s="87">
        <v>1099.01</v>
      </c>
      <c r="AK61" s="12" t="s">
        <v>9950</v>
      </c>
      <c r="AL61" s="152">
        <f>+AL59+AL60</f>
        <v>10000</v>
      </c>
      <c r="AM61" s="12"/>
      <c r="AN61" s="9">
        <v>40000</v>
      </c>
      <c r="AO61" s="15" t="s">
        <v>9990</v>
      </c>
      <c r="AP61" s="9">
        <v>7746.32</v>
      </c>
      <c r="AQ61" s="15" t="s">
        <v>10035</v>
      </c>
      <c r="AR61" s="10">
        <v>1499.16</v>
      </c>
      <c r="AS61" s="12" t="s">
        <v>10113</v>
      </c>
      <c r="AT61" s="7">
        <v>20000</v>
      </c>
      <c r="AU61" s="26" t="s">
        <v>10098</v>
      </c>
      <c r="AV61" s="14">
        <v>10820.02</v>
      </c>
      <c r="AW61" s="12" t="s">
        <v>10175</v>
      </c>
      <c r="AX61" s="9">
        <v>5000</v>
      </c>
      <c r="AY61" s="15" t="s">
        <v>10210</v>
      </c>
      <c r="AZ61" s="9">
        <v>40000</v>
      </c>
      <c r="BA61" s="26" t="s">
        <v>10249</v>
      </c>
      <c r="BB61" s="9">
        <v>4395</v>
      </c>
      <c r="BC61" s="15" t="s">
        <v>10321</v>
      </c>
      <c r="BD61" s="10">
        <v>2935.99</v>
      </c>
      <c r="BE61" s="12" t="s">
        <v>10450</v>
      </c>
      <c r="BF61" s="10">
        <v>199.9</v>
      </c>
      <c r="BG61" s="12" t="s">
        <v>10416</v>
      </c>
      <c r="BH61" s="15"/>
      <c r="BI61" s="15"/>
      <c r="BJ61" s="11"/>
      <c r="BK61" s="13"/>
      <c r="BL61" s="23"/>
      <c r="BM61" s="13"/>
      <c r="BN61" s="11"/>
      <c r="BO61" s="13"/>
      <c r="BP61" s="11"/>
      <c r="BQ61" s="13"/>
      <c r="BR61" s="11"/>
      <c r="BS61" s="13"/>
      <c r="BT61" s="11"/>
      <c r="BU61" s="13"/>
      <c r="BV61" s="11"/>
      <c r="BW61" s="13"/>
      <c r="BX61" s="11"/>
      <c r="BY61" s="13"/>
      <c r="BZ61" s="11"/>
      <c r="CA61" s="13"/>
      <c r="CB61" s="11"/>
      <c r="CC61" s="13"/>
      <c r="CD61" s="11"/>
      <c r="CE61" s="13"/>
      <c r="CF61" s="11"/>
      <c r="CG61" s="13"/>
      <c r="CH61" s="11"/>
      <c r="CI61" s="13"/>
      <c r="CJ61" s="11"/>
      <c r="CK61" s="13"/>
      <c r="CL61" s="11"/>
      <c r="CM61" s="13"/>
      <c r="CN61" s="11"/>
      <c r="CO61" s="13"/>
      <c r="CP61" s="11"/>
    </row>
    <row r="62" spans="1:94" x14ac:dyDescent="0.25">
      <c r="A62" s="41"/>
      <c r="B62" s="132">
        <f>+B60+B59+B61</f>
        <v>18139.009999999998</v>
      </c>
      <c r="C62" s="120"/>
      <c r="D62" s="10">
        <v>1970</v>
      </c>
      <c r="E62" s="12" t="s">
        <v>9244</v>
      </c>
      <c r="F62" s="95">
        <f>+F61+F60+F59</f>
        <v>10634</v>
      </c>
      <c r="G62" s="15"/>
      <c r="H62" s="112">
        <v>2824.98</v>
      </c>
      <c r="I62" s="15" t="s">
        <v>9308</v>
      </c>
      <c r="J62" s="9">
        <v>878.63</v>
      </c>
      <c r="K62" s="15" t="s">
        <v>9360</v>
      </c>
      <c r="L62" s="9"/>
      <c r="M62" s="15"/>
      <c r="N62" s="7">
        <v>276.17</v>
      </c>
      <c r="O62" s="26" t="s">
        <v>9413</v>
      </c>
      <c r="P62" s="9">
        <v>457.32</v>
      </c>
      <c r="Q62" s="26" t="s">
        <v>9455</v>
      </c>
      <c r="R62" s="9"/>
      <c r="S62" s="26"/>
      <c r="T62" s="9">
        <v>2065</v>
      </c>
      <c r="U62" s="15" t="s">
        <v>9569</v>
      </c>
      <c r="V62" s="9">
        <v>6304.01</v>
      </c>
      <c r="W62" s="15" t="s">
        <v>9619</v>
      </c>
      <c r="X62" s="243">
        <v>19014.060000000001</v>
      </c>
      <c r="Y62" s="15" t="s">
        <v>9668</v>
      </c>
      <c r="Z62" s="9"/>
      <c r="AA62" s="15"/>
      <c r="AB62" s="9">
        <v>703.55</v>
      </c>
      <c r="AC62" s="26" t="s">
        <v>9753</v>
      </c>
      <c r="AD62" s="24">
        <v>2039.99</v>
      </c>
      <c r="AE62" s="15" t="s">
        <v>9815</v>
      </c>
      <c r="AF62" s="9"/>
      <c r="AG62" s="15"/>
      <c r="AH62" s="9">
        <v>3000</v>
      </c>
      <c r="AI62" s="15" t="s">
        <v>9911</v>
      </c>
      <c r="AJ62" s="72">
        <v>7529.99</v>
      </c>
      <c r="AK62" s="15" t="s">
        <v>9952</v>
      </c>
      <c r="AL62" s="15"/>
      <c r="AM62" s="15"/>
      <c r="AN62" s="11">
        <v>80000</v>
      </c>
      <c r="AO62" s="13" t="s">
        <v>9991</v>
      </c>
      <c r="AP62" s="9">
        <v>3319.99</v>
      </c>
      <c r="AQ62" s="15" t="s">
        <v>10036</v>
      </c>
      <c r="AR62" s="9">
        <v>185.74</v>
      </c>
      <c r="AS62" s="15" t="s">
        <v>10116</v>
      </c>
      <c r="AT62" s="9">
        <v>1099.01</v>
      </c>
      <c r="AU62" s="15" t="s">
        <v>10099</v>
      </c>
      <c r="AV62" s="9">
        <v>709.02</v>
      </c>
      <c r="AW62" s="15" t="s">
        <v>10177</v>
      </c>
      <c r="AX62" s="9">
        <v>2080.92</v>
      </c>
      <c r="AY62" s="15" t="s">
        <v>10213</v>
      </c>
      <c r="AZ62" s="95">
        <f>+AZ61+AZ60+AZ59</f>
        <v>55500</v>
      </c>
      <c r="BA62" s="26"/>
      <c r="BB62" s="95">
        <f>+SUM(BB59:BB61)</f>
        <v>6048.96</v>
      </c>
      <c r="BC62" s="15"/>
      <c r="BD62" s="9">
        <v>4583.2299999999996</v>
      </c>
      <c r="BE62" s="15" t="s">
        <v>10451</v>
      </c>
      <c r="BF62" s="9">
        <v>1970</v>
      </c>
      <c r="BG62" s="15" t="s">
        <v>10422</v>
      </c>
      <c r="BH62" s="7"/>
      <c r="BI62" s="26"/>
      <c r="BJ62" s="9"/>
      <c r="BK62" s="15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  <c r="CO62" s="15"/>
      <c r="CP62" s="9"/>
    </row>
    <row r="63" spans="1:94" x14ac:dyDescent="0.25">
      <c r="A63" s="41"/>
      <c r="B63" s="9"/>
      <c r="C63" s="15"/>
      <c r="D63" s="121">
        <v>4465</v>
      </c>
      <c r="E63" s="15" t="s">
        <v>9245</v>
      </c>
      <c r="F63" s="7"/>
      <c r="G63" s="26"/>
      <c r="H63" s="112">
        <v>3168.99</v>
      </c>
      <c r="I63" s="15" t="s">
        <v>9309</v>
      </c>
      <c r="J63" s="9">
        <v>740.38</v>
      </c>
      <c r="K63" s="26" t="s">
        <v>9361</v>
      </c>
      <c r="L63" s="9"/>
      <c r="M63" s="26"/>
      <c r="N63" s="95">
        <f>+SUM(N59:N62)</f>
        <v>6776.41</v>
      </c>
      <c r="O63" s="15"/>
      <c r="P63" s="95">
        <f>+SUM(P59:P62)</f>
        <v>8957.32</v>
      </c>
      <c r="Q63" s="15"/>
      <c r="R63" s="9">
        <v>10102.58</v>
      </c>
      <c r="S63" s="26" t="s">
        <v>9520</v>
      </c>
      <c r="T63" s="95">
        <f>+SUM(T59:T62)</f>
        <v>6395</v>
      </c>
      <c r="U63" s="26"/>
      <c r="V63" s="9">
        <v>4360</v>
      </c>
      <c r="W63" s="15" t="s">
        <v>9622</v>
      </c>
      <c r="X63" s="243">
        <v>7000</v>
      </c>
      <c r="Y63" s="15" t="s">
        <v>9669</v>
      </c>
      <c r="Z63" s="9">
        <v>1000</v>
      </c>
      <c r="AA63" s="15" t="s">
        <v>9714</v>
      </c>
      <c r="AB63" s="9">
        <v>1284.58</v>
      </c>
      <c r="AC63" s="26" t="s">
        <v>9754</v>
      </c>
      <c r="AD63" s="72">
        <v>1169</v>
      </c>
      <c r="AE63" s="26" t="s">
        <v>9817</v>
      </c>
      <c r="AF63" s="9">
        <v>12600</v>
      </c>
      <c r="AG63" s="26" t="s">
        <v>9869</v>
      </c>
      <c r="AH63" s="9">
        <v>159.68</v>
      </c>
      <c r="AI63" s="15" t="s">
        <v>9913</v>
      </c>
      <c r="AJ63" s="87">
        <v>1099.01</v>
      </c>
      <c r="AK63" s="26" t="s">
        <v>9954</v>
      </c>
      <c r="AL63" s="26"/>
      <c r="AM63" s="26"/>
      <c r="AN63" s="9">
        <v>60000</v>
      </c>
      <c r="AO63" s="26" t="s">
        <v>9992</v>
      </c>
      <c r="AP63" s="9">
        <v>1169</v>
      </c>
      <c r="AQ63" s="15" t="s">
        <v>10038</v>
      </c>
      <c r="AR63" s="7">
        <v>1169</v>
      </c>
      <c r="AS63" s="26" t="s">
        <v>10123</v>
      </c>
      <c r="AT63" s="95">
        <f>+SUM(AT59:AT62)</f>
        <v>25646.739999999998</v>
      </c>
      <c r="AU63" s="15"/>
      <c r="AV63" s="11">
        <v>2866</v>
      </c>
      <c r="AW63" s="13" t="s">
        <v>10178</v>
      </c>
      <c r="AX63" s="11">
        <v>1970</v>
      </c>
      <c r="AY63" s="13" t="s">
        <v>10217</v>
      </c>
      <c r="AZ63" s="9"/>
      <c r="BA63" s="15"/>
      <c r="BB63" s="9"/>
      <c r="BC63" s="15"/>
      <c r="BD63" s="7">
        <f>6333.91-4878.84</f>
        <v>1455.0699999999997</v>
      </c>
      <c r="BE63" s="26" t="s">
        <v>10453</v>
      </c>
      <c r="BF63" s="7">
        <v>1169</v>
      </c>
      <c r="BG63" s="26" t="s">
        <v>10427</v>
      </c>
      <c r="BH63" s="9"/>
      <c r="BI63" s="15"/>
      <c r="BJ63" s="15"/>
      <c r="BK63" s="15"/>
      <c r="BL63" s="9"/>
      <c r="BM63" s="15"/>
      <c r="BN63" s="9"/>
      <c r="BO63" s="15"/>
      <c r="BP63" s="9"/>
      <c r="BQ63" s="15"/>
      <c r="BR63" s="9"/>
      <c r="BS63" s="15"/>
      <c r="BT63" s="9"/>
      <c r="BU63" s="15"/>
      <c r="BV63" s="9"/>
      <c r="BW63" s="15"/>
      <c r="BX63" s="9"/>
      <c r="BY63" s="15"/>
      <c r="BZ63" s="9"/>
      <c r="CA63" s="15"/>
      <c r="CB63" s="9"/>
      <c r="CC63" s="15"/>
      <c r="CD63" s="9"/>
      <c r="CE63" s="15"/>
      <c r="CF63" s="9"/>
      <c r="CG63" s="15"/>
      <c r="CH63" s="9"/>
      <c r="CI63" s="15"/>
      <c r="CJ63" s="9"/>
      <c r="CK63" s="15"/>
      <c r="CL63" s="9"/>
      <c r="CM63" s="15"/>
      <c r="CN63" s="9"/>
      <c r="CO63" s="15"/>
      <c r="CP63" s="9"/>
    </row>
    <row r="64" spans="1:94" x14ac:dyDescent="0.25">
      <c r="A64" s="41"/>
      <c r="B64" s="15">
        <v>4500</v>
      </c>
      <c r="C64" s="15" t="s">
        <v>9197</v>
      </c>
      <c r="D64" s="7">
        <v>2040</v>
      </c>
      <c r="E64" s="26" t="s">
        <v>9250</v>
      </c>
      <c r="F64" s="9">
        <v>20000</v>
      </c>
      <c r="G64" s="15" t="s">
        <v>9257</v>
      </c>
      <c r="H64" s="112">
        <v>1970</v>
      </c>
      <c r="I64" s="15" t="s">
        <v>9310</v>
      </c>
      <c r="J64" s="9">
        <v>1013.71</v>
      </c>
      <c r="K64" s="15" t="s">
        <v>9362</v>
      </c>
      <c r="L64" s="9"/>
      <c r="M64" s="15"/>
      <c r="N64" s="9"/>
      <c r="O64" s="15"/>
      <c r="P64" s="9"/>
      <c r="Q64" s="15"/>
      <c r="R64" s="9">
        <v>250.53</v>
      </c>
      <c r="S64" s="15" t="s">
        <v>9525</v>
      </c>
      <c r="T64" s="9"/>
      <c r="U64" s="15"/>
      <c r="V64" s="9">
        <v>1000</v>
      </c>
      <c r="W64" s="15" t="s">
        <v>9625</v>
      </c>
      <c r="X64" s="243">
        <v>1822.12</v>
      </c>
      <c r="Y64" s="15" t="s">
        <v>9672</v>
      </c>
      <c r="Z64" s="11">
        <v>90000</v>
      </c>
      <c r="AA64" s="13" t="s">
        <v>9718</v>
      </c>
      <c r="AB64" s="9">
        <v>3169.98</v>
      </c>
      <c r="AC64" s="15" t="s">
        <v>9212</v>
      </c>
      <c r="AD64" s="72">
        <v>464</v>
      </c>
      <c r="AE64" s="15" t="s">
        <v>9818</v>
      </c>
      <c r="AF64" s="9">
        <v>1169</v>
      </c>
      <c r="AG64" s="15" t="s">
        <v>9874</v>
      </c>
      <c r="AH64" s="9">
        <v>20000</v>
      </c>
      <c r="AI64" s="15" t="s">
        <v>9915</v>
      </c>
      <c r="AJ64" s="72">
        <v>1169</v>
      </c>
      <c r="AK64" s="15" t="s">
        <v>9955</v>
      </c>
      <c r="AL64" s="9"/>
      <c r="AM64" s="15"/>
      <c r="AN64" s="9">
        <v>30000</v>
      </c>
      <c r="AO64" s="15" t="s">
        <v>9993</v>
      </c>
      <c r="AP64" s="9">
        <v>1169</v>
      </c>
      <c r="AQ64" s="15" t="s">
        <v>10039</v>
      </c>
      <c r="AR64" s="9">
        <v>2040</v>
      </c>
      <c r="AS64" s="15" t="s">
        <v>10124</v>
      </c>
      <c r="AT64" s="193"/>
      <c r="AU64" s="15"/>
      <c r="AV64" s="9">
        <v>3316.01</v>
      </c>
      <c r="AW64" s="26" t="s">
        <v>10179</v>
      </c>
      <c r="AX64" s="9">
        <v>2039.99</v>
      </c>
      <c r="AY64" s="26" t="s">
        <v>10218</v>
      </c>
      <c r="AZ64" s="9">
        <v>16850</v>
      </c>
      <c r="BA64" s="15" t="s">
        <v>10323</v>
      </c>
      <c r="BB64" s="11">
        <v>14334.9</v>
      </c>
      <c r="BC64" s="13" t="s">
        <v>10348</v>
      </c>
      <c r="BD64" s="9">
        <v>1169</v>
      </c>
      <c r="BE64" s="15" t="s">
        <v>10455</v>
      </c>
      <c r="BF64" s="95">
        <f>+SUM(BF59:BF63)</f>
        <v>40600.03</v>
      </c>
      <c r="BG64" s="15"/>
      <c r="BH64" s="15"/>
      <c r="BI64" s="15"/>
      <c r="BJ64" s="9"/>
      <c r="BK64" s="15"/>
      <c r="BL64" s="9"/>
      <c r="BM64" s="15"/>
      <c r="BN64" s="15"/>
      <c r="BO64" s="15"/>
      <c r="BP64" s="9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</row>
    <row r="65" spans="1:94" x14ac:dyDescent="0.25">
      <c r="A65" s="41"/>
      <c r="B65" s="9">
        <v>3500</v>
      </c>
      <c r="C65" s="15" t="s">
        <v>9200</v>
      </c>
      <c r="D65" s="9">
        <v>2040</v>
      </c>
      <c r="E65" s="15" t="s">
        <v>9252</v>
      </c>
      <c r="F65" s="9">
        <v>20000</v>
      </c>
      <c r="G65" s="15" t="s">
        <v>9258</v>
      </c>
      <c r="H65" s="113">
        <v>5290.99</v>
      </c>
      <c r="I65" s="13" t="s">
        <v>9326</v>
      </c>
      <c r="J65" s="72">
        <v>2000</v>
      </c>
      <c r="K65" s="24" t="s">
        <v>9364</v>
      </c>
      <c r="L65" s="9"/>
      <c r="M65" s="15"/>
      <c r="N65" s="14">
        <v>2190.9499999999998</v>
      </c>
      <c r="O65" s="13" t="s">
        <v>9414</v>
      </c>
      <c r="P65" s="9">
        <v>1297.8499999999999</v>
      </c>
      <c r="Q65" s="15" t="s">
        <v>9479</v>
      </c>
      <c r="R65" s="9">
        <f>5529.91-4601.91</f>
        <v>928</v>
      </c>
      <c r="S65" s="15" t="s">
        <v>9526</v>
      </c>
      <c r="T65" s="9">
        <v>598.29999999999995</v>
      </c>
      <c r="U65" s="15" t="s">
        <v>9572</v>
      </c>
      <c r="V65" s="7">
        <v>468.33</v>
      </c>
      <c r="W65" s="26" t="s">
        <v>9632</v>
      </c>
      <c r="X65" s="243">
        <v>277.94</v>
      </c>
      <c r="Y65" s="26" t="s">
        <v>9675</v>
      </c>
      <c r="Z65" s="9">
        <v>225.91</v>
      </c>
      <c r="AA65" s="15" t="s">
        <v>9721</v>
      </c>
      <c r="AB65" s="9">
        <v>1168.99</v>
      </c>
      <c r="AC65" s="26" t="s">
        <v>9758</v>
      </c>
      <c r="AD65" s="99">
        <f>+SUM(AD59:AD64)</f>
        <v>8161.7300000000005</v>
      </c>
      <c r="AE65" s="15"/>
      <c r="AF65" s="9">
        <v>3319.99</v>
      </c>
      <c r="AG65" s="15" t="s">
        <v>9880</v>
      </c>
      <c r="AH65" s="9">
        <v>2120.25</v>
      </c>
      <c r="AI65" s="15" t="s">
        <v>9921</v>
      </c>
      <c r="AJ65" s="72">
        <v>2250.0100000000002</v>
      </c>
      <c r="AK65" s="15" t="s">
        <v>9956</v>
      </c>
      <c r="AL65" s="9"/>
      <c r="AM65" s="15"/>
      <c r="AN65" s="9">
        <v>15000</v>
      </c>
      <c r="AO65" s="15" t="s">
        <v>9994</v>
      </c>
      <c r="AP65" s="9">
        <v>7678.64</v>
      </c>
      <c r="AQ65" s="15" t="s">
        <v>10045</v>
      </c>
      <c r="AR65" s="9">
        <v>4395</v>
      </c>
      <c r="AS65" s="15" t="s">
        <v>10131</v>
      </c>
      <c r="AT65" s="9">
        <v>150</v>
      </c>
      <c r="AU65" s="15" t="s">
        <v>10138</v>
      </c>
      <c r="AV65" s="9">
        <v>3320</v>
      </c>
      <c r="AW65" s="26" t="s">
        <v>10181</v>
      </c>
      <c r="AX65" s="9">
        <v>1099.01</v>
      </c>
      <c r="AY65" s="26" t="s">
        <v>10219</v>
      </c>
      <c r="AZ65" s="9">
        <v>1168.99</v>
      </c>
      <c r="BA65" s="26" t="s">
        <v>10332</v>
      </c>
      <c r="BB65" s="11">
        <v>250000</v>
      </c>
      <c r="BC65" s="13" t="s">
        <v>10355</v>
      </c>
      <c r="BD65" s="95">
        <f>+SUM(BD59:BD64)</f>
        <v>33463.279999999999</v>
      </c>
      <c r="BE65" s="15"/>
      <c r="BF65" s="9"/>
      <c r="BG65" s="15"/>
      <c r="BH65" s="9"/>
      <c r="BI65" s="15"/>
      <c r="BJ65" s="9"/>
      <c r="BK65" s="15"/>
      <c r="BL65" s="9"/>
      <c r="BM65" s="15"/>
      <c r="BN65" s="15"/>
      <c r="BO65" s="15"/>
      <c r="BP65" s="9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  <c r="CO65" s="15"/>
      <c r="CP65" s="9"/>
    </row>
    <row r="66" spans="1:94" x14ac:dyDescent="0.25">
      <c r="A66" s="41"/>
      <c r="B66" s="9">
        <v>8406.57</v>
      </c>
      <c r="C66" s="15" t="s">
        <v>9201</v>
      </c>
      <c r="D66" s="15">
        <f>+SUM(D60:D65)</f>
        <v>13753.99</v>
      </c>
      <c r="E66" s="15"/>
      <c r="F66" s="9">
        <v>3859.63</v>
      </c>
      <c r="G66" s="15" t="s">
        <v>9263</v>
      </c>
      <c r="H66" s="112">
        <v>1400</v>
      </c>
      <c r="I66" s="15" t="s">
        <v>9327</v>
      </c>
      <c r="J66" s="9">
        <v>1169</v>
      </c>
      <c r="K66" s="15" t="s">
        <v>9365</v>
      </c>
      <c r="L66" s="23"/>
      <c r="M66" s="13"/>
      <c r="N66" s="7">
        <v>820.04</v>
      </c>
      <c r="O66" s="26" t="s">
        <v>9415</v>
      </c>
      <c r="P66" s="11">
        <v>1099</v>
      </c>
      <c r="Q66" s="13" t="s">
        <v>9493</v>
      </c>
      <c r="R66" s="193">
        <v>2284.34</v>
      </c>
      <c r="S66" s="15" t="s">
        <v>9528</v>
      </c>
      <c r="T66" s="9">
        <v>1079.92</v>
      </c>
      <c r="U66" s="15" t="s">
        <v>9582</v>
      </c>
      <c r="V66" s="9">
        <v>151.06</v>
      </c>
      <c r="W66" s="15" t="s">
        <v>9634</v>
      </c>
      <c r="X66" s="172">
        <v>988.59</v>
      </c>
      <c r="Y66" s="15" t="s">
        <v>9677</v>
      </c>
      <c r="Z66" s="9">
        <v>13048.54</v>
      </c>
      <c r="AA66" s="15" t="s">
        <v>9723</v>
      </c>
      <c r="AB66" s="95">
        <f>+SUM(AB59:AB65)</f>
        <v>10980.23</v>
      </c>
      <c r="AC66" s="26"/>
      <c r="AD66" s="72"/>
      <c r="AE66" s="15"/>
      <c r="AF66" s="9">
        <v>4465</v>
      </c>
      <c r="AG66" s="15" t="s">
        <v>9882</v>
      </c>
      <c r="AH66" s="9">
        <v>2039.99</v>
      </c>
      <c r="AI66" s="15" t="s">
        <v>9926</v>
      </c>
      <c r="AJ66" s="72">
        <v>1169</v>
      </c>
      <c r="AK66" s="15" t="s">
        <v>9958</v>
      </c>
      <c r="AL66" s="9"/>
      <c r="AM66" s="15"/>
      <c r="AN66" s="9">
        <v>8717.4500000000007</v>
      </c>
      <c r="AO66" s="15" t="s">
        <v>9998</v>
      </c>
      <c r="AP66" s="95">
        <f>+SUM(AP59:AP65)</f>
        <v>215752.95</v>
      </c>
      <c r="AQ66" s="15"/>
      <c r="AR66" s="9">
        <v>2360.0100000000002</v>
      </c>
      <c r="AS66" s="15" t="s">
        <v>10134</v>
      </c>
      <c r="AT66" s="15">
        <v>3250</v>
      </c>
      <c r="AU66" s="15" t="s">
        <v>10142</v>
      </c>
      <c r="AV66" s="9">
        <v>3320</v>
      </c>
      <c r="AW66" s="15" t="s">
        <v>10187</v>
      </c>
      <c r="AX66" s="9">
        <v>1519</v>
      </c>
      <c r="AY66" s="15" t="s">
        <v>10222</v>
      </c>
      <c r="AZ66" s="9">
        <v>3320</v>
      </c>
      <c r="BA66" s="15" t="s">
        <v>10336</v>
      </c>
      <c r="BB66" s="9">
        <v>1099.01</v>
      </c>
      <c r="BC66" s="15" t="s">
        <v>10358</v>
      </c>
      <c r="BD66" s="9"/>
      <c r="BE66" s="15"/>
      <c r="BF66" s="14">
        <v>20000</v>
      </c>
      <c r="BG66" s="13" t="s">
        <v>10471</v>
      </c>
      <c r="BH66" s="15"/>
      <c r="BI66" s="13"/>
      <c r="BJ66" s="11"/>
      <c r="BK66" s="13"/>
      <c r="BL66" s="9"/>
      <c r="BM66" s="15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  <c r="CO66" s="15"/>
      <c r="CP66" s="9"/>
    </row>
    <row r="67" spans="1:94" x14ac:dyDescent="0.25">
      <c r="A67" s="43"/>
      <c r="B67" s="9">
        <v>2434</v>
      </c>
      <c r="C67" s="15" t="s">
        <v>9212</v>
      </c>
      <c r="D67" s="11"/>
      <c r="E67" s="13"/>
      <c r="F67" s="11">
        <v>4705.01</v>
      </c>
      <c r="G67" s="13" t="s">
        <v>9271</v>
      </c>
      <c r="H67" s="95">
        <f>+SUM(H59:H66)</f>
        <v>17865.62</v>
      </c>
      <c r="I67" s="15"/>
      <c r="J67" s="9">
        <v>1970</v>
      </c>
      <c r="K67" s="13" t="s">
        <v>9369</v>
      </c>
      <c r="L67" s="9"/>
      <c r="M67" s="26"/>
      <c r="N67" s="9">
        <v>40000</v>
      </c>
      <c r="O67" s="15" t="s">
        <v>9418</v>
      </c>
      <c r="P67" s="9">
        <v>2389.9899999999998</v>
      </c>
      <c r="Q67" s="15" t="s">
        <v>9495</v>
      </c>
      <c r="R67" s="11">
        <v>363.95</v>
      </c>
      <c r="S67" s="13" t="s">
        <v>9533</v>
      </c>
      <c r="T67" s="11">
        <v>92.87</v>
      </c>
      <c r="U67" s="13" t="s">
        <v>9583</v>
      </c>
      <c r="V67" s="9">
        <v>112.46</v>
      </c>
      <c r="W67" s="15" t="s">
        <v>9629</v>
      </c>
      <c r="X67" s="243">
        <v>1849.92</v>
      </c>
      <c r="Y67" s="15" t="s">
        <v>9678</v>
      </c>
      <c r="Z67" s="9">
        <v>4135.01</v>
      </c>
      <c r="AA67" s="15" t="s">
        <v>9728</v>
      </c>
      <c r="AB67" s="11"/>
      <c r="AC67" s="13"/>
      <c r="AD67" s="72">
        <v>2059.84</v>
      </c>
      <c r="AE67" s="13" t="s">
        <v>9823</v>
      </c>
      <c r="AF67" s="72">
        <v>3319.99</v>
      </c>
      <c r="AG67" s="13" t="s">
        <v>9883</v>
      </c>
      <c r="AH67" s="9">
        <v>1649</v>
      </c>
      <c r="AI67" s="15" t="s">
        <v>9928</v>
      </c>
      <c r="AJ67" s="72">
        <v>232</v>
      </c>
      <c r="AK67" s="13" t="s">
        <v>9961</v>
      </c>
      <c r="AL67" s="11"/>
      <c r="AM67" s="13"/>
      <c r="AN67" s="9">
        <v>4400.01</v>
      </c>
      <c r="AO67" s="15" t="s">
        <v>10022</v>
      </c>
      <c r="AP67" s="23"/>
      <c r="AQ67" s="13"/>
      <c r="AR67" s="9">
        <v>2425</v>
      </c>
      <c r="AS67" s="15" t="s">
        <v>10135</v>
      </c>
      <c r="AT67" s="11">
        <v>3319.99</v>
      </c>
      <c r="AU67" s="13" t="s">
        <v>10148</v>
      </c>
      <c r="AV67" s="72">
        <v>1563.01</v>
      </c>
      <c r="AW67" s="15" t="s">
        <v>10190</v>
      </c>
      <c r="AX67" s="9">
        <v>1099.01</v>
      </c>
      <c r="AY67" s="15" t="s">
        <v>10224</v>
      </c>
      <c r="AZ67" s="9">
        <v>3320</v>
      </c>
      <c r="BA67" s="15" t="s">
        <v>10337</v>
      </c>
      <c r="BB67" s="9">
        <v>1099.01</v>
      </c>
      <c r="BC67" s="15" t="s">
        <v>10362</v>
      </c>
      <c r="BD67" s="11"/>
      <c r="BE67" s="13"/>
      <c r="BF67" s="7">
        <v>696</v>
      </c>
      <c r="BG67" s="26" t="s">
        <v>10480</v>
      </c>
      <c r="BH67" s="9"/>
      <c r="BI67" s="26"/>
      <c r="BJ67" s="9"/>
      <c r="BK67" s="15"/>
      <c r="BL67" s="9"/>
      <c r="BM67" s="15"/>
      <c r="BN67" s="11"/>
      <c r="BO67" s="13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  <c r="CO67" s="13"/>
      <c r="CP67" s="11"/>
    </row>
    <row r="68" spans="1:94" x14ac:dyDescent="0.25">
      <c r="A68" s="41"/>
      <c r="B68" s="9">
        <v>2040</v>
      </c>
      <c r="C68" s="15" t="s">
        <v>9214</v>
      </c>
      <c r="D68" s="72"/>
      <c r="E68" s="15"/>
      <c r="F68" s="9">
        <v>2866.01</v>
      </c>
      <c r="G68" s="26" t="s">
        <v>9274</v>
      </c>
      <c r="H68" s="9"/>
      <c r="I68" s="15"/>
      <c r="J68" s="9">
        <v>1169</v>
      </c>
      <c r="K68" s="15" t="s">
        <v>9370</v>
      </c>
      <c r="L68" s="9"/>
      <c r="M68" s="15"/>
      <c r="N68" s="9">
        <v>2881.05</v>
      </c>
      <c r="O68" s="15" t="s">
        <v>9419</v>
      </c>
      <c r="P68" s="72">
        <v>2182.0100000000002</v>
      </c>
      <c r="Q68" s="15" t="s">
        <v>9496</v>
      </c>
      <c r="R68" s="9">
        <v>1099.01</v>
      </c>
      <c r="S68" s="26" t="s">
        <v>9536</v>
      </c>
      <c r="T68" s="9">
        <v>1169</v>
      </c>
      <c r="U68" s="26" t="s">
        <v>9592</v>
      </c>
      <c r="V68" s="95">
        <f>+SUM(V59:V67)</f>
        <v>41545.86</v>
      </c>
      <c r="W68" s="15"/>
      <c r="X68" s="243">
        <v>1099.01</v>
      </c>
      <c r="Y68" s="15" t="s">
        <v>9681</v>
      </c>
      <c r="Z68" s="15">
        <v>1000</v>
      </c>
      <c r="AA68" s="15" t="s">
        <v>9730</v>
      </c>
      <c r="AB68" s="9">
        <v>17000</v>
      </c>
      <c r="AC68" s="26" t="s">
        <v>9762</v>
      </c>
      <c r="AD68" s="72">
        <v>2000</v>
      </c>
      <c r="AE68" s="26" t="s">
        <v>9830</v>
      </c>
      <c r="AF68" s="9">
        <v>1589</v>
      </c>
      <c r="AG68" s="26" t="s">
        <v>9887</v>
      </c>
      <c r="AH68" s="23">
        <v>3390</v>
      </c>
      <c r="AI68" s="13" t="s">
        <v>9933</v>
      </c>
      <c r="AJ68" s="72">
        <v>1258</v>
      </c>
      <c r="AK68" s="85" t="s">
        <v>9962</v>
      </c>
      <c r="AL68" s="9"/>
      <c r="AM68" s="26"/>
      <c r="AN68" s="95">
        <f>+SUM(AN60:AN67)</f>
        <v>238117.46000000002</v>
      </c>
      <c r="AO68" s="15"/>
      <c r="AP68" s="9">
        <v>175.65</v>
      </c>
      <c r="AQ68" s="26" t="s">
        <v>10059</v>
      </c>
      <c r="AR68" s="147">
        <f>+SUM(AR59:AR67)</f>
        <v>114223.6</v>
      </c>
      <c r="AS68" s="26"/>
      <c r="AT68" s="9">
        <v>1099.01</v>
      </c>
      <c r="AU68" s="15" t="s">
        <v>10158</v>
      </c>
      <c r="AV68" s="9">
        <v>2415</v>
      </c>
      <c r="AW68" s="15" t="s">
        <v>10192</v>
      </c>
      <c r="AX68" s="9">
        <v>2040</v>
      </c>
      <c r="AY68" s="15" t="s">
        <v>10226</v>
      </c>
      <c r="AZ68" s="95">
        <f>+SUM(AZ64:AZ67)</f>
        <v>24658.99</v>
      </c>
      <c r="BA68" s="15"/>
      <c r="BB68" s="9">
        <v>1099.01</v>
      </c>
      <c r="BC68" s="15" t="s">
        <v>10363</v>
      </c>
      <c r="BD68" s="7"/>
      <c r="BE68" s="26"/>
      <c r="BF68" s="9">
        <v>1099.01</v>
      </c>
      <c r="BG68" s="15" t="s">
        <v>10486</v>
      </c>
      <c r="BH68" s="9"/>
      <c r="BI68" s="15"/>
      <c r="BJ68" s="9"/>
      <c r="BK68" s="15"/>
      <c r="BL68" s="9"/>
      <c r="BM68" s="15"/>
      <c r="BN68" s="9"/>
      <c r="BO68" s="15"/>
      <c r="BP68" s="9"/>
      <c r="BQ68" s="15"/>
      <c r="BR68" s="9"/>
      <c r="BS68" s="15"/>
      <c r="BT68" s="9"/>
      <c r="BU68" s="15"/>
      <c r="BV68" s="9"/>
      <c r="BW68" s="15"/>
      <c r="BX68" s="9"/>
      <c r="BY68" s="15"/>
      <c r="BZ68" s="9"/>
      <c r="CA68" s="15"/>
      <c r="CB68" s="9"/>
      <c r="CC68" s="15"/>
      <c r="CD68" s="9"/>
      <c r="CE68" s="15"/>
      <c r="CF68" s="9"/>
      <c r="CG68" s="15"/>
      <c r="CH68" s="9"/>
      <c r="CI68" s="15"/>
      <c r="CJ68" s="9"/>
      <c r="CK68" s="15"/>
      <c r="CL68" s="9"/>
      <c r="CM68" s="15"/>
      <c r="CN68" s="9"/>
      <c r="CO68" s="15"/>
      <c r="CP68" s="9"/>
    </row>
    <row r="69" spans="1:94" x14ac:dyDescent="0.25">
      <c r="A69" s="41"/>
      <c r="B69" s="9">
        <v>1169</v>
      </c>
      <c r="C69" s="15" t="s">
        <v>9217</v>
      </c>
      <c r="D69" s="9"/>
      <c r="E69" s="15"/>
      <c r="F69" s="9">
        <v>925.01</v>
      </c>
      <c r="G69" s="15" t="s">
        <v>9278</v>
      </c>
      <c r="H69" s="9">
        <v>683.54</v>
      </c>
      <c r="I69" s="15" t="s">
        <v>9336</v>
      </c>
      <c r="J69" s="9">
        <v>2040</v>
      </c>
      <c r="K69" s="15" t="s">
        <v>9372</v>
      </c>
      <c r="L69" s="9"/>
      <c r="M69" s="15"/>
      <c r="N69" s="9">
        <v>1169</v>
      </c>
      <c r="O69" s="15" t="s">
        <v>9424</v>
      </c>
      <c r="P69" s="72">
        <v>5239</v>
      </c>
      <c r="Q69" s="15" t="s">
        <v>9499</v>
      </c>
      <c r="R69" s="9">
        <v>3395</v>
      </c>
      <c r="S69" s="26" t="s">
        <v>9537</v>
      </c>
      <c r="T69" s="9">
        <v>2065</v>
      </c>
      <c r="U69" s="15" t="s">
        <v>9594</v>
      </c>
      <c r="V69" s="9"/>
      <c r="W69" s="15"/>
      <c r="X69" s="243">
        <v>1099.01</v>
      </c>
      <c r="Y69" s="15" t="s">
        <v>9686</v>
      </c>
      <c r="Z69" s="9">
        <v>4144.8100000000004</v>
      </c>
      <c r="AA69" s="15" t="s">
        <v>9730</v>
      </c>
      <c r="AB69" s="9">
        <v>13200</v>
      </c>
      <c r="AC69" s="15" t="s">
        <v>9764</v>
      </c>
      <c r="AD69" s="72">
        <v>2040</v>
      </c>
      <c r="AE69" s="15" t="s">
        <v>9833</v>
      </c>
      <c r="AF69" s="9">
        <v>1169</v>
      </c>
      <c r="AG69" s="15" t="s">
        <v>9888</v>
      </c>
      <c r="AH69" s="9">
        <v>1099</v>
      </c>
      <c r="AI69" s="15" t="s">
        <v>9935</v>
      </c>
      <c r="AJ69" s="72">
        <v>696</v>
      </c>
      <c r="AK69" s="15" t="s">
        <v>9963</v>
      </c>
      <c r="AL69" s="9"/>
      <c r="AM69" s="15"/>
      <c r="AN69" s="95"/>
      <c r="AO69" s="15"/>
      <c r="AP69" s="9">
        <v>4465</v>
      </c>
      <c r="AQ69" s="15" t="s">
        <v>10068</v>
      </c>
      <c r="AR69" s="9"/>
      <c r="AS69" s="15"/>
      <c r="AT69" s="9">
        <v>1099</v>
      </c>
      <c r="AU69" s="15" t="s">
        <v>10162</v>
      </c>
      <c r="AV69" s="72">
        <v>1995</v>
      </c>
      <c r="AW69" s="15" t="s">
        <v>10193</v>
      </c>
      <c r="AX69" s="72">
        <v>2250.0100000000002</v>
      </c>
      <c r="AY69" s="15" t="s">
        <v>10228</v>
      </c>
      <c r="AZ69" s="9"/>
      <c r="BA69" s="15"/>
      <c r="BB69" s="15">
        <v>1995</v>
      </c>
      <c r="BC69" s="15" t="s">
        <v>10378</v>
      </c>
      <c r="BD69" s="15"/>
      <c r="BE69" s="15"/>
      <c r="BF69" s="9">
        <v>1099.01</v>
      </c>
      <c r="BG69" s="15" t="s">
        <v>10490</v>
      </c>
      <c r="BH69" s="9"/>
      <c r="BI69" s="15"/>
      <c r="BJ69" s="9"/>
      <c r="BK69" s="15"/>
      <c r="BL69" s="9"/>
      <c r="BM69" s="15"/>
      <c r="BN69" s="15"/>
      <c r="BO69" s="15"/>
      <c r="BP69" s="9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</row>
    <row r="70" spans="1:94" x14ac:dyDescent="0.25">
      <c r="A70" s="41"/>
      <c r="B70" s="9">
        <v>4216</v>
      </c>
      <c r="C70" s="15" t="s">
        <v>9219</v>
      </c>
      <c r="D70" s="9"/>
      <c r="E70" s="15"/>
      <c r="F70" s="9">
        <v>2040</v>
      </c>
      <c r="G70" s="15" t="s">
        <v>9279</v>
      </c>
      <c r="H70" s="9">
        <v>561.20000000000005</v>
      </c>
      <c r="I70" s="15" t="s">
        <v>9341</v>
      </c>
      <c r="J70" s="9">
        <v>1169</v>
      </c>
      <c r="K70" s="15" t="s">
        <v>9373</v>
      </c>
      <c r="L70" s="9"/>
      <c r="M70" s="15"/>
      <c r="N70" s="72">
        <v>2040</v>
      </c>
      <c r="O70" s="15" t="s">
        <v>9425</v>
      </c>
      <c r="P70" s="9">
        <v>2300</v>
      </c>
      <c r="Q70" s="15" t="s">
        <v>9501</v>
      </c>
      <c r="R70" s="9">
        <v>2040</v>
      </c>
      <c r="S70" s="26" t="s">
        <v>9538</v>
      </c>
      <c r="T70" s="9">
        <f>1386.99-302</f>
        <v>1084.99</v>
      </c>
      <c r="U70" s="15" t="s">
        <v>9595</v>
      </c>
      <c r="V70" s="9">
        <v>412.29</v>
      </c>
      <c r="W70" s="15" t="s">
        <v>9641</v>
      </c>
      <c r="X70" s="243">
        <v>3250</v>
      </c>
      <c r="Y70" s="15" t="s">
        <v>9691</v>
      </c>
      <c r="Z70" s="9">
        <v>1169</v>
      </c>
      <c r="AA70" s="9" t="s">
        <v>9731</v>
      </c>
      <c r="AB70" s="9">
        <v>11795.07</v>
      </c>
      <c r="AC70" s="15" t="s">
        <v>9765</v>
      </c>
      <c r="AD70" s="72">
        <v>1664.81</v>
      </c>
      <c r="AE70" s="85" t="s">
        <v>9835</v>
      </c>
      <c r="AF70" s="9">
        <v>5420.01</v>
      </c>
      <c r="AG70" s="15" t="s">
        <v>9889</v>
      </c>
      <c r="AH70" s="9">
        <v>528.46</v>
      </c>
      <c r="AI70" s="15" t="s">
        <v>4848</v>
      </c>
      <c r="AJ70" s="9">
        <v>3239</v>
      </c>
      <c r="AK70" s="15" t="s">
        <v>9964</v>
      </c>
      <c r="AL70" s="9"/>
      <c r="AM70" s="15"/>
      <c r="AN70" s="9"/>
      <c r="AO70" s="15"/>
      <c r="AP70" s="9">
        <v>1169</v>
      </c>
      <c r="AQ70" s="15" t="s">
        <v>10076</v>
      </c>
      <c r="AR70" s="7"/>
      <c r="AS70" s="26"/>
      <c r="AT70" s="9">
        <v>2355</v>
      </c>
      <c r="AU70" s="15" t="s">
        <v>10164</v>
      </c>
      <c r="AV70" s="9">
        <v>2695</v>
      </c>
      <c r="AW70" s="15" t="s">
        <v>10195</v>
      </c>
      <c r="AX70" s="9">
        <v>4929</v>
      </c>
      <c r="AY70" s="15" t="s">
        <v>10232</v>
      </c>
      <c r="AZ70" s="9"/>
      <c r="BA70" s="15"/>
      <c r="BB70" s="9">
        <v>84.3</v>
      </c>
      <c r="BC70" s="15" t="s">
        <v>10386</v>
      </c>
      <c r="BD70" s="9"/>
      <c r="BE70" s="15"/>
      <c r="BF70" s="9">
        <v>1970</v>
      </c>
      <c r="BG70" s="15" t="s">
        <v>10491</v>
      </c>
      <c r="BH70" s="72"/>
      <c r="BI70" s="15"/>
      <c r="BJ70" s="9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  <c r="CO70" s="15"/>
      <c r="CP70" s="9"/>
    </row>
    <row r="71" spans="1:94" x14ac:dyDescent="0.25">
      <c r="A71" s="41"/>
      <c r="B71" s="9">
        <v>1950</v>
      </c>
      <c r="C71" s="15" t="s">
        <v>9232</v>
      </c>
      <c r="D71" s="9"/>
      <c r="E71" s="15"/>
      <c r="F71" s="9">
        <v>2279.9899999999998</v>
      </c>
      <c r="G71" s="15" t="s">
        <v>9280</v>
      </c>
      <c r="H71" s="9">
        <v>894.09</v>
      </c>
      <c r="I71" s="15" t="s">
        <v>9342</v>
      </c>
      <c r="J71" s="9">
        <v>2040</v>
      </c>
      <c r="K71" s="15" t="s">
        <v>9374</v>
      </c>
      <c r="L71" s="72"/>
      <c r="M71" s="15"/>
      <c r="N71" s="72">
        <v>1446.73</v>
      </c>
      <c r="O71" s="15" t="s">
        <v>9426</v>
      </c>
      <c r="P71" s="9">
        <v>1168.99</v>
      </c>
      <c r="Q71" s="15" t="s">
        <v>9502</v>
      </c>
      <c r="R71" s="9">
        <v>1099.01</v>
      </c>
      <c r="S71" s="15" t="s">
        <v>9547</v>
      </c>
      <c r="T71" s="9">
        <v>1249.24</v>
      </c>
      <c r="U71" s="15" t="s">
        <v>9598</v>
      </c>
      <c r="V71" s="9">
        <v>9500</v>
      </c>
      <c r="W71" s="15" t="s">
        <v>9647</v>
      </c>
      <c r="X71" s="254">
        <f>+SUM(X59:X70)</f>
        <v>43678.9</v>
      </c>
      <c r="Y71" s="15"/>
      <c r="Z71" s="9">
        <v>4464.99</v>
      </c>
      <c r="AA71" s="15" t="s">
        <v>9736</v>
      </c>
      <c r="AB71" s="9">
        <v>616.66</v>
      </c>
      <c r="AC71" s="15" t="s">
        <v>9783</v>
      </c>
      <c r="AD71" s="72">
        <v>2490</v>
      </c>
      <c r="AE71" s="15" t="s">
        <v>9836</v>
      </c>
      <c r="AF71" s="9">
        <v>1099.01</v>
      </c>
      <c r="AG71" s="15" t="s">
        <v>9893</v>
      </c>
      <c r="AH71" s="99">
        <f>+SUM(AH60:AH70)</f>
        <v>34146.07</v>
      </c>
      <c r="AI71" s="24"/>
      <c r="AJ71" s="72">
        <v>1169</v>
      </c>
      <c r="AK71" s="15" t="s">
        <v>9967</v>
      </c>
      <c r="AL71" s="9"/>
      <c r="AM71" s="15"/>
      <c r="AN71" s="72"/>
      <c r="AO71" s="15"/>
      <c r="AP71" s="9">
        <v>5338.99</v>
      </c>
      <c r="AQ71" s="15" t="s">
        <v>10077</v>
      </c>
      <c r="AR71" s="9"/>
      <c r="AS71" s="15"/>
      <c r="AT71" s="95">
        <f>+SUM(AT65:AT70)</f>
        <v>11273</v>
      </c>
      <c r="AU71" s="15"/>
      <c r="AV71" s="9">
        <v>3250</v>
      </c>
      <c r="AW71" s="15" t="s">
        <v>10199</v>
      </c>
      <c r="AX71" s="9">
        <v>9201.77</v>
      </c>
      <c r="AY71" s="15" t="s">
        <v>10234</v>
      </c>
      <c r="AZ71" s="9"/>
      <c r="BA71" s="15"/>
      <c r="BB71" s="95">
        <f>+SUM(BB64:BB70)</f>
        <v>269711.23000000004</v>
      </c>
      <c r="BC71" s="15"/>
      <c r="BD71" s="137"/>
      <c r="BE71" s="15"/>
      <c r="BF71" s="9">
        <v>2609.9499999999998</v>
      </c>
      <c r="BG71" s="15" t="s">
        <v>10494</v>
      </c>
      <c r="BH71" s="72"/>
      <c r="BI71" s="15"/>
      <c r="BJ71" s="9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  <c r="CO71" s="15"/>
      <c r="CP71" s="9"/>
    </row>
    <row r="72" spans="1:94" x14ac:dyDescent="0.25">
      <c r="A72" s="41"/>
      <c r="B72" s="95">
        <f>+SUM(B64:B71)</f>
        <v>28215.57</v>
      </c>
      <c r="C72" s="120"/>
      <c r="D72" s="15"/>
      <c r="E72" s="15"/>
      <c r="F72" s="9">
        <v>1469</v>
      </c>
      <c r="G72" s="15" t="s">
        <v>9282</v>
      </c>
      <c r="H72" s="95">
        <f>+SUM(H69:H71)</f>
        <v>2138.83</v>
      </c>
      <c r="I72" s="15"/>
      <c r="J72" s="9">
        <v>1168.99</v>
      </c>
      <c r="K72" s="15" t="s">
        <v>9375</v>
      </c>
      <c r="L72" s="9"/>
      <c r="M72" s="15"/>
      <c r="N72" s="72">
        <v>2040</v>
      </c>
      <c r="O72" s="15" t="s">
        <v>9430</v>
      </c>
      <c r="P72" s="9">
        <v>1970</v>
      </c>
      <c r="Q72" s="15" t="s">
        <v>9505</v>
      </c>
      <c r="R72" s="9">
        <v>1168.99</v>
      </c>
      <c r="S72" s="15" t="s">
        <v>9548</v>
      </c>
      <c r="T72" s="9">
        <v>1099.01</v>
      </c>
      <c r="U72" s="15" t="s">
        <v>9599</v>
      </c>
      <c r="V72" s="9">
        <v>7500</v>
      </c>
      <c r="W72" s="15" t="s">
        <v>9648</v>
      </c>
      <c r="X72" s="9"/>
      <c r="Y72" s="15"/>
      <c r="Z72" s="9">
        <v>654.07000000000005</v>
      </c>
      <c r="AA72" s="15" t="s">
        <v>9743</v>
      </c>
      <c r="AB72" s="9">
        <v>3169</v>
      </c>
      <c r="AC72" s="15" t="s">
        <v>9791</v>
      </c>
      <c r="AD72" s="9">
        <v>1169</v>
      </c>
      <c r="AE72" s="15" t="s">
        <v>9836</v>
      </c>
      <c r="AF72" s="9">
        <v>2349.75</v>
      </c>
      <c r="AG72" s="15" t="s">
        <v>9894</v>
      </c>
      <c r="AH72" s="15"/>
      <c r="AI72" s="15"/>
      <c r="AJ72" s="72">
        <v>5268</v>
      </c>
      <c r="AK72" s="15" t="s">
        <v>9971</v>
      </c>
      <c r="AL72" s="15"/>
      <c r="AM72" s="15"/>
      <c r="AN72" s="9"/>
      <c r="AO72" s="15"/>
      <c r="AP72" s="95">
        <f>+SUM(AP68:AP71)</f>
        <v>11148.64</v>
      </c>
      <c r="AQ72" s="15"/>
      <c r="AR72" s="15"/>
      <c r="AS72" s="15"/>
      <c r="AT72" s="9"/>
      <c r="AU72" s="15"/>
      <c r="AV72" s="14">
        <v>2434</v>
      </c>
      <c r="AW72" s="13" t="s">
        <v>10198</v>
      </c>
      <c r="AX72" s="9">
        <v>1099.01</v>
      </c>
      <c r="AY72" s="15" t="s">
        <v>10235</v>
      </c>
      <c r="AZ72" s="15"/>
      <c r="BA72" s="15"/>
      <c r="BB72" s="9"/>
      <c r="BC72" s="15"/>
      <c r="BD72" s="137"/>
      <c r="BE72" s="15"/>
      <c r="BF72" s="9">
        <v>2485</v>
      </c>
      <c r="BG72" s="15" t="s">
        <v>10499</v>
      </c>
      <c r="BH72" s="9"/>
      <c r="BI72" s="15"/>
      <c r="BJ72" s="9"/>
      <c r="BK72" s="15"/>
      <c r="BL72" s="9"/>
      <c r="BM72" s="15"/>
      <c r="BN72" s="15"/>
      <c r="BO72" s="15"/>
      <c r="BP72" s="9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</row>
    <row r="73" spans="1:94" x14ac:dyDescent="0.25">
      <c r="A73" s="41"/>
      <c r="B73" s="149"/>
      <c r="C73" s="120"/>
      <c r="D73" s="9"/>
      <c r="E73" s="15"/>
      <c r="F73" s="9">
        <v>3456.15</v>
      </c>
      <c r="G73" s="15" t="s">
        <v>9284</v>
      </c>
      <c r="H73" s="9"/>
      <c r="I73" s="15"/>
      <c r="J73" s="9">
        <v>15769.21</v>
      </c>
      <c r="K73" s="15" t="s">
        <v>9381</v>
      </c>
      <c r="L73" s="9"/>
      <c r="M73" s="15"/>
      <c r="N73" s="15">
        <v>575</v>
      </c>
      <c r="O73" s="15" t="s">
        <v>9432</v>
      </c>
      <c r="P73" s="9">
        <v>4216</v>
      </c>
      <c r="Q73" s="15" t="s">
        <v>9506</v>
      </c>
      <c r="R73" s="9">
        <v>2040</v>
      </c>
      <c r="S73" s="15" t="s">
        <v>9549</v>
      </c>
      <c r="T73" s="9">
        <v>3238.99</v>
      </c>
      <c r="U73" s="15" t="s">
        <v>9605</v>
      </c>
      <c r="V73" s="9">
        <v>4579.09</v>
      </c>
      <c r="W73" s="15" t="s">
        <v>9649</v>
      </c>
      <c r="X73" s="9"/>
      <c r="Y73" s="15"/>
      <c r="Z73" s="95">
        <f>+SUM(Z63:Z72)</f>
        <v>119842.33000000002</v>
      </c>
      <c r="AA73" s="15"/>
      <c r="AB73" s="9">
        <v>1704.79</v>
      </c>
      <c r="AC73" s="15" t="s">
        <v>9796</v>
      </c>
      <c r="AD73" s="9">
        <v>2420</v>
      </c>
      <c r="AE73" s="15" t="s">
        <v>9842</v>
      </c>
      <c r="AF73" s="95">
        <f>+SUM(AF63:AF72)</f>
        <v>36500.75</v>
      </c>
      <c r="AG73" s="15"/>
      <c r="AH73" s="9"/>
      <c r="AI73" s="15"/>
      <c r="AJ73" s="9">
        <v>1390.1</v>
      </c>
      <c r="AK73" s="15" t="s">
        <v>9975</v>
      </c>
      <c r="AL73" s="15"/>
      <c r="AM73" s="15"/>
      <c r="AN73" s="15"/>
      <c r="AO73" s="15"/>
      <c r="AP73" s="9"/>
      <c r="AQ73" s="15"/>
      <c r="AR73" s="9"/>
      <c r="AS73" s="15"/>
      <c r="AT73" s="9"/>
      <c r="AU73" s="15"/>
      <c r="AV73" s="15">
        <f>+SUM(AV58:AV72)</f>
        <v>42214.960000000006</v>
      </c>
      <c r="AW73" s="15"/>
      <c r="AX73" s="9">
        <v>1970</v>
      </c>
      <c r="AY73" s="15" t="s">
        <v>10238</v>
      </c>
      <c r="AZ73" s="9"/>
      <c r="BA73" s="15"/>
      <c r="BB73" s="9"/>
      <c r="BC73" s="15"/>
      <c r="BD73" s="9"/>
      <c r="BE73" s="15"/>
      <c r="BF73" s="9">
        <v>1099.0999999999999</v>
      </c>
      <c r="BG73" s="15" t="s">
        <v>10498</v>
      </c>
      <c r="BH73" s="9"/>
      <c r="BI73" s="15"/>
      <c r="BJ73" s="9"/>
      <c r="BK73" s="15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  <c r="CO73" s="15"/>
      <c r="CP73" s="9"/>
    </row>
    <row r="74" spans="1:94" x14ac:dyDescent="0.25">
      <c r="A74" s="41"/>
      <c r="B74" s="15"/>
      <c r="C74" s="15"/>
      <c r="D74" s="9"/>
      <c r="E74" s="15"/>
      <c r="F74" s="9">
        <v>4285.99</v>
      </c>
      <c r="G74" s="15" t="s">
        <v>9287</v>
      </c>
      <c r="H74" s="15"/>
      <c r="I74" s="15"/>
      <c r="J74" s="9">
        <v>3239</v>
      </c>
      <c r="K74" s="15" t="s">
        <v>9383</v>
      </c>
      <c r="L74" s="9"/>
      <c r="M74" s="15"/>
      <c r="N74" s="9">
        <v>1169</v>
      </c>
      <c r="O74" s="15" t="s">
        <v>9433</v>
      </c>
      <c r="P74" s="95">
        <f>+SUM(P65:P73)</f>
        <v>21862.84</v>
      </c>
      <c r="Q74" s="15"/>
      <c r="R74" s="95">
        <f>+SUM(R62:R73)</f>
        <v>24771.410000000003</v>
      </c>
      <c r="S74" s="15"/>
      <c r="T74" s="9">
        <v>215.52</v>
      </c>
      <c r="U74" s="15" t="s">
        <v>9606</v>
      </c>
      <c r="V74" s="9">
        <v>5061.53</v>
      </c>
      <c r="W74" s="15" t="s">
        <v>9650</v>
      </c>
      <c r="X74" s="9"/>
      <c r="Y74" s="15"/>
      <c r="Z74" s="15"/>
      <c r="AA74" s="15"/>
      <c r="AB74" s="9">
        <v>92.87</v>
      </c>
      <c r="AC74" s="15" t="s">
        <v>9797</v>
      </c>
      <c r="AD74" s="95">
        <f>+SUM(AD67:AD73)</f>
        <v>13843.65</v>
      </c>
      <c r="AE74" s="15"/>
      <c r="AF74" s="9"/>
      <c r="AG74" s="15"/>
      <c r="AH74" s="9"/>
      <c r="AI74" s="15"/>
      <c r="AJ74" s="99">
        <f>+SUM(AJ59:AJ73)</f>
        <v>48136.679999999993</v>
      </c>
      <c r="AK74" s="15"/>
      <c r="AL74" s="9"/>
      <c r="AM74" s="15"/>
      <c r="AN74" s="9"/>
      <c r="AO74" s="15"/>
      <c r="AP74" s="9"/>
      <c r="AQ74" s="15"/>
      <c r="AR74" s="9"/>
      <c r="AS74" s="15"/>
      <c r="AT74" s="9"/>
      <c r="AU74" s="15"/>
      <c r="AV74" s="15"/>
      <c r="AW74" s="15"/>
      <c r="AX74" s="95">
        <f>+SUM(AX58:AX73)</f>
        <v>56827.580000000009</v>
      </c>
      <c r="AY74" s="15"/>
      <c r="AZ74" s="9"/>
      <c r="BA74" s="15"/>
      <c r="BB74" s="9"/>
      <c r="BC74" s="15"/>
      <c r="BD74" s="9"/>
      <c r="BE74" s="15"/>
      <c r="BF74" s="95">
        <f>+SUM(BF66:BF73)</f>
        <v>31058.069999999996</v>
      </c>
      <c r="BG74" s="15"/>
      <c r="BH74" s="9"/>
      <c r="BI74" s="15"/>
      <c r="BJ74" s="9"/>
      <c r="BK74" s="15"/>
      <c r="BL74" s="9"/>
      <c r="BM74" s="15"/>
      <c r="BN74" s="9"/>
      <c r="BO74" s="15"/>
      <c r="BP74" s="15"/>
      <c r="BQ74" s="15"/>
      <c r="BR74" s="9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  <c r="CO74" s="15"/>
      <c r="CP74" s="9"/>
    </row>
    <row r="75" spans="1:94" x14ac:dyDescent="0.25">
      <c r="A75" s="41"/>
      <c r="B75" s="9"/>
      <c r="C75" s="15"/>
      <c r="D75" s="9"/>
      <c r="E75" s="15"/>
      <c r="F75" s="9">
        <v>2480</v>
      </c>
      <c r="G75" s="15" t="s">
        <v>9277</v>
      </c>
      <c r="H75" s="9"/>
      <c r="I75" s="15"/>
      <c r="J75" s="9">
        <v>2095.2199999999998</v>
      </c>
      <c r="K75" s="15" t="s">
        <v>9386</v>
      </c>
      <c r="L75" s="9"/>
      <c r="M75" s="15"/>
      <c r="N75" s="9">
        <f>7407.06-3500</f>
        <v>3907.0600000000004</v>
      </c>
      <c r="O75" s="15" t="s">
        <v>9435</v>
      </c>
      <c r="P75" s="9"/>
      <c r="Q75" s="15"/>
      <c r="R75" s="95"/>
      <c r="S75" s="15"/>
      <c r="T75" s="9">
        <v>2297</v>
      </c>
      <c r="U75" s="15" t="s">
        <v>9607</v>
      </c>
      <c r="V75" s="252">
        <v>7975.79</v>
      </c>
      <c r="W75" s="15" t="s">
        <v>9652</v>
      </c>
      <c r="X75" s="137"/>
      <c r="Y75" s="15"/>
      <c r="Z75" s="9"/>
      <c r="AA75" s="9"/>
      <c r="AB75" s="95">
        <f>+SUM(AB68:AB74)</f>
        <v>47578.390000000007</v>
      </c>
      <c r="AC75" s="15"/>
      <c r="AD75" s="9"/>
      <c r="AE75" s="15"/>
      <c r="AF75" s="9"/>
      <c r="AG75" s="15"/>
      <c r="AH75" s="9"/>
      <c r="AI75" s="15"/>
      <c r="AJ75" s="72"/>
      <c r="AK75" s="15"/>
      <c r="AL75" s="7"/>
      <c r="AM75" s="26"/>
      <c r="AN75" s="9"/>
      <c r="AO75" s="15"/>
      <c r="AP75" s="15"/>
      <c r="AQ75" s="15"/>
      <c r="AR75" s="72"/>
      <c r="AS75" s="15"/>
      <c r="AT75" s="9"/>
      <c r="AU75" s="15"/>
      <c r="AV75" s="9">
        <v>5000</v>
      </c>
      <c r="AW75" s="15" t="s">
        <v>10279</v>
      </c>
      <c r="AX75" s="15"/>
      <c r="AY75" s="15"/>
      <c r="AZ75" s="15"/>
      <c r="BA75" s="15"/>
      <c r="BB75" s="9"/>
      <c r="BC75" s="15"/>
      <c r="BD75" s="9"/>
      <c r="BE75" s="15"/>
      <c r="BF75" s="7"/>
      <c r="BG75" s="26"/>
      <c r="BH75" s="9"/>
      <c r="BI75" s="15"/>
      <c r="BJ75" s="9"/>
      <c r="BK75" s="15"/>
      <c r="BL75" s="9"/>
      <c r="BM75" s="15"/>
      <c r="BN75" s="9"/>
      <c r="BO75" s="15"/>
      <c r="BP75" s="15"/>
      <c r="BQ75" s="15"/>
      <c r="BR75" s="9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  <c r="CO75" s="15"/>
      <c r="CP75" s="9"/>
    </row>
    <row r="76" spans="1:94" x14ac:dyDescent="0.25">
      <c r="A76" s="41"/>
      <c r="B76" s="9"/>
      <c r="C76" s="15"/>
      <c r="D76" s="9"/>
      <c r="E76" s="15"/>
      <c r="F76" s="95">
        <f>+SUM(F64:F75)</f>
        <v>68366.790000000008</v>
      </c>
      <c r="G76" s="15"/>
      <c r="H76" s="15"/>
      <c r="I76" s="15"/>
      <c r="J76" s="9">
        <v>1099.02</v>
      </c>
      <c r="K76" s="9" t="s">
        <v>9387</v>
      </c>
      <c r="L76" s="9"/>
      <c r="M76" s="15"/>
      <c r="N76" s="15">
        <v>2039.99</v>
      </c>
      <c r="O76" s="15" t="s">
        <v>9436</v>
      </c>
      <c r="P76" s="9"/>
      <c r="Q76" s="15"/>
      <c r="R76" s="9"/>
      <c r="S76" s="15"/>
      <c r="T76" s="9"/>
      <c r="U76" s="15"/>
      <c r="V76" s="137">
        <v>1099.01</v>
      </c>
      <c r="W76" s="15" t="s">
        <v>9657</v>
      </c>
      <c r="X76" s="133"/>
      <c r="Y76" s="120"/>
      <c r="Z76" s="9"/>
      <c r="AA76" s="15"/>
      <c r="AB76" s="9"/>
      <c r="AC76" s="15"/>
      <c r="AD76" s="9"/>
      <c r="AE76" s="15"/>
      <c r="AF76" s="9"/>
      <c r="AG76" s="15"/>
      <c r="AH76" s="9"/>
      <c r="AI76" s="15"/>
      <c r="AJ76" s="72"/>
      <c r="AK76" s="15"/>
      <c r="AL76" s="72"/>
      <c r="AM76" s="15"/>
      <c r="AN76" s="9"/>
      <c r="AO76" s="15"/>
      <c r="AP76" s="15"/>
      <c r="AQ76" s="15"/>
      <c r="AR76" s="15"/>
      <c r="AS76" s="15"/>
      <c r="AT76" s="15"/>
      <c r="AU76" s="15"/>
      <c r="AV76" s="9">
        <v>1099.01</v>
      </c>
      <c r="AW76" s="15" t="s">
        <v>10286</v>
      </c>
      <c r="AX76" s="9"/>
      <c r="AY76" s="15"/>
      <c r="AZ76" s="9"/>
      <c r="BA76" s="15"/>
      <c r="BB76" s="9"/>
      <c r="BC76" s="26"/>
      <c r="BD76" s="9"/>
      <c r="BE76" s="15"/>
      <c r="BF76" s="72"/>
      <c r="BG76" s="15"/>
      <c r="BH76" s="9"/>
      <c r="BI76" s="15"/>
      <c r="BJ76" s="9"/>
      <c r="BK76" s="15"/>
      <c r="BL76" s="15"/>
      <c r="BM76" s="15"/>
      <c r="BN76" s="9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  <c r="CO76" s="15"/>
      <c r="CP76" s="9"/>
    </row>
    <row r="77" spans="1:94" x14ac:dyDescent="0.25">
      <c r="A77" s="41"/>
      <c r="B77" s="9"/>
      <c r="C77" s="15"/>
      <c r="D77" s="9"/>
      <c r="E77" s="15"/>
      <c r="F77" s="15"/>
      <c r="G77" s="15"/>
      <c r="H77" s="9"/>
      <c r="I77" s="15"/>
      <c r="J77" s="95">
        <f>+SUM(J59:J76)</f>
        <v>89561.160000000018</v>
      </c>
      <c r="K77" s="9"/>
      <c r="L77" s="9"/>
      <c r="M77" s="15"/>
      <c r="N77" s="9">
        <v>1900</v>
      </c>
      <c r="O77" s="15" t="s">
        <v>9437</v>
      </c>
      <c r="P77" s="9"/>
      <c r="Q77" s="15"/>
      <c r="R77" s="9"/>
      <c r="S77" s="15"/>
      <c r="T77" s="9"/>
      <c r="U77" s="15"/>
      <c r="V77" s="9">
        <v>2040</v>
      </c>
      <c r="W77" s="15" t="s">
        <v>9658</v>
      </c>
      <c r="X77" s="120"/>
      <c r="Y77" s="120"/>
      <c r="Z77" s="9"/>
      <c r="AA77" s="15"/>
      <c r="AB77" s="15"/>
      <c r="AC77" s="15"/>
      <c r="AD77" s="15"/>
      <c r="AE77" s="15"/>
      <c r="AF77" s="15"/>
      <c r="AG77" s="15"/>
      <c r="AH77" s="9"/>
      <c r="AI77" s="15"/>
      <c r="AJ77" s="72"/>
      <c r="AK77" s="15"/>
      <c r="AL77" s="9"/>
      <c r="AM77" s="15"/>
      <c r="AN77" s="9"/>
      <c r="AO77" s="15"/>
      <c r="AP77" s="9"/>
      <c r="AQ77" s="15"/>
      <c r="AR77" s="9"/>
      <c r="AS77" s="15"/>
      <c r="AT77" s="24"/>
      <c r="AU77" s="15"/>
      <c r="AV77" s="9">
        <v>2040</v>
      </c>
      <c r="AW77" s="15" t="s">
        <v>10293</v>
      </c>
      <c r="AX77" s="9"/>
      <c r="AY77" s="15"/>
      <c r="AZ77" s="9"/>
      <c r="BA77" s="15"/>
      <c r="BB77" s="9"/>
      <c r="BC77" s="15"/>
      <c r="BD77" s="9"/>
      <c r="BE77" s="15"/>
      <c r="BF77" s="72"/>
      <c r="BG77" s="15"/>
      <c r="BH77" s="9"/>
      <c r="BI77" s="15"/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  <c r="CO77" s="15"/>
      <c r="CP77" s="9"/>
    </row>
    <row r="78" spans="1:94" x14ac:dyDescent="0.25">
      <c r="A78" s="41"/>
      <c r="B78" s="9"/>
      <c r="C78" s="15"/>
      <c r="D78" s="9"/>
      <c r="E78" s="15"/>
      <c r="F78" s="9"/>
      <c r="G78" s="15"/>
      <c r="H78" s="9"/>
      <c r="I78" s="15"/>
      <c r="J78" s="9"/>
      <c r="K78" s="15"/>
      <c r="L78" s="9"/>
      <c r="M78" s="15"/>
      <c r="N78" s="72">
        <v>3320</v>
      </c>
      <c r="O78" s="15" t="s">
        <v>9438</v>
      </c>
      <c r="P78" s="9"/>
      <c r="Q78" s="15"/>
      <c r="R78" s="9"/>
      <c r="S78" s="15"/>
      <c r="T78" s="15"/>
      <c r="U78" s="15"/>
      <c r="V78" s="9">
        <v>2784</v>
      </c>
      <c r="W78" s="15" t="s">
        <v>9660</v>
      </c>
      <c r="X78" s="9"/>
      <c r="Y78" s="15"/>
      <c r="Z78" s="9"/>
      <c r="AA78" s="15"/>
      <c r="AB78" s="9"/>
      <c r="AC78" s="15"/>
      <c r="AD78" s="9"/>
      <c r="AE78" s="15"/>
      <c r="AF78" s="9"/>
      <c r="AG78" s="15"/>
      <c r="AH78" s="9"/>
      <c r="AI78" s="15"/>
      <c r="AJ78" s="72"/>
      <c r="AK78" s="15"/>
      <c r="AL78" s="15"/>
      <c r="AM78" s="15"/>
      <c r="AN78" s="9"/>
      <c r="AO78" s="15"/>
      <c r="AP78" s="15"/>
      <c r="AQ78" s="15"/>
      <c r="AR78" s="9"/>
      <c r="AS78" s="15"/>
      <c r="AT78" s="9"/>
      <c r="AU78" s="15"/>
      <c r="AV78" s="230">
        <f>+AV75+AV76+AV77</f>
        <v>8139.01</v>
      </c>
      <c r="AW78" s="15"/>
      <c r="AX78" s="133"/>
      <c r="AY78" s="15"/>
      <c r="AZ78" s="9"/>
      <c r="BA78" s="15"/>
      <c r="BB78" s="137"/>
      <c r="BC78" s="15"/>
      <c r="BD78" s="15"/>
      <c r="BE78" s="15"/>
      <c r="BF78" s="9"/>
      <c r="BG78" s="15"/>
      <c r="BH78" s="15"/>
      <c r="BI78" s="15"/>
      <c r="BJ78" s="9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  <c r="CO78" s="15"/>
      <c r="CP78" s="9"/>
    </row>
    <row r="79" spans="1:94" x14ac:dyDescent="0.25">
      <c r="A79" s="41"/>
      <c r="B79" s="9"/>
      <c r="C79" s="15"/>
      <c r="D79" s="9"/>
      <c r="E79" s="15"/>
      <c r="F79" s="9"/>
      <c r="G79" s="15"/>
      <c r="H79" s="9"/>
      <c r="I79" s="15"/>
      <c r="J79" s="9"/>
      <c r="K79" s="15"/>
      <c r="L79" s="9"/>
      <c r="M79" s="15"/>
      <c r="N79" s="95">
        <f>+SUM(N65:N78)</f>
        <v>65498.82</v>
      </c>
      <c r="O79" s="15"/>
      <c r="P79" s="9"/>
      <c r="Q79" s="15"/>
      <c r="R79" s="9"/>
      <c r="S79" s="15"/>
      <c r="T79" s="9"/>
      <c r="U79" s="15"/>
      <c r="V79" s="9">
        <v>4465</v>
      </c>
      <c r="W79" s="15" t="s">
        <v>9662</v>
      </c>
      <c r="X79" s="9"/>
      <c r="Y79" s="15"/>
      <c r="Z79" s="9"/>
      <c r="AA79" s="15"/>
      <c r="AB79" s="9"/>
      <c r="AC79" s="15"/>
      <c r="AD79" s="9"/>
      <c r="AE79" s="15"/>
      <c r="AF79" s="9"/>
      <c r="AG79" s="15"/>
      <c r="AH79" s="15"/>
      <c r="AI79" s="15"/>
      <c r="AJ79" s="72"/>
      <c r="AK79" s="15"/>
      <c r="AL79" s="15"/>
      <c r="AM79" s="15"/>
      <c r="AN79" s="9"/>
      <c r="AO79" s="15"/>
      <c r="AP79" s="9"/>
      <c r="AQ79" s="15"/>
      <c r="AR79" s="9"/>
      <c r="AS79" s="15"/>
      <c r="AT79" s="120"/>
      <c r="AU79" s="15"/>
      <c r="AV79" s="9"/>
      <c r="AW79" s="15"/>
      <c r="AX79" s="9"/>
      <c r="AY79" s="15"/>
      <c r="AZ79" s="9"/>
      <c r="BA79" s="15"/>
      <c r="BB79" s="72"/>
      <c r="BC79" s="15"/>
      <c r="BD79" s="9"/>
      <c r="BE79" s="15"/>
      <c r="BF79" s="9"/>
      <c r="BG79" s="15"/>
      <c r="BH79" s="15"/>
      <c r="BI79" s="15"/>
      <c r="BJ79" s="9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  <c r="CO79" s="15"/>
      <c r="CP79" s="9"/>
    </row>
    <row r="80" spans="1:94" x14ac:dyDescent="0.25">
      <c r="A80" s="41"/>
      <c r="B80" s="9"/>
      <c r="C80" s="15"/>
      <c r="D80" s="9"/>
      <c r="E80" s="15"/>
      <c r="F80" s="24"/>
      <c r="G80" s="15"/>
      <c r="H80" s="9"/>
      <c r="I80" s="15"/>
      <c r="J80" s="9"/>
      <c r="K80" s="15"/>
      <c r="L80" s="9"/>
      <c r="M80" s="15"/>
      <c r="N80" s="9"/>
      <c r="O80" s="15"/>
      <c r="P80" s="9"/>
      <c r="Q80" s="15"/>
      <c r="R80" s="9"/>
      <c r="S80" s="15"/>
      <c r="T80" s="9"/>
      <c r="U80" s="15"/>
      <c r="V80" s="95">
        <f>+SUM(V70:V79)</f>
        <v>45416.71</v>
      </c>
      <c r="W80" s="15"/>
      <c r="X80" s="9"/>
      <c r="Y80" s="15"/>
      <c r="Z80" s="120"/>
      <c r="AA80" s="15"/>
      <c r="AB80" s="9"/>
      <c r="AC80" s="15"/>
      <c r="AD80" s="15"/>
      <c r="AE80" s="15"/>
      <c r="AF80" s="9"/>
      <c r="AG80" s="15"/>
      <c r="AH80" s="120"/>
      <c r="AI80" s="15"/>
      <c r="AJ80" s="72"/>
      <c r="AK80" s="15"/>
      <c r="AL80" s="15"/>
      <c r="AM80" s="15"/>
      <c r="AN80" s="9"/>
      <c r="AO80" s="15"/>
      <c r="AP80" s="9"/>
      <c r="AQ80" s="15"/>
      <c r="AR80" s="9"/>
      <c r="AS80" s="15"/>
      <c r="AT80" s="9"/>
      <c r="AU80" s="15"/>
      <c r="AV80" s="133"/>
      <c r="AW80" s="15"/>
      <c r="AX80" s="133"/>
      <c r="AY80" s="15"/>
      <c r="AZ80" s="9"/>
      <c r="BA80" s="15"/>
      <c r="BB80" s="9"/>
      <c r="BC80" s="9"/>
      <c r="BD80" s="9"/>
      <c r="BE80" s="15"/>
      <c r="BF80" s="9"/>
      <c r="BG80" s="15"/>
      <c r="BH80" s="9"/>
      <c r="BI80" s="15"/>
      <c r="BJ80" s="9"/>
      <c r="BK80" s="15"/>
      <c r="BL80" s="9"/>
      <c r="BM80" s="15"/>
      <c r="BN80" s="9"/>
      <c r="BO80" s="15"/>
      <c r="BP80" s="15"/>
      <c r="BQ80" s="15"/>
      <c r="BR80" s="9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  <c r="CO80" s="15"/>
      <c r="CP80" s="9"/>
    </row>
    <row r="81" spans="1:94" x14ac:dyDescent="0.25">
      <c r="A81" s="41"/>
      <c r="B81" s="9"/>
      <c r="C81" s="15"/>
      <c r="D81" s="9"/>
      <c r="E81" s="15"/>
      <c r="F81" s="9"/>
      <c r="G81" s="15"/>
      <c r="H81" s="9"/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9"/>
      <c r="W81" s="15"/>
      <c r="X81" s="9"/>
      <c r="Y81" s="15"/>
      <c r="Z81" s="15"/>
      <c r="AA81" s="15"/>
      <c r="AB81" s="9"/>
      <c r="AC81" s="15"/>
      <c r="AD81" s="9"/>
      <c r="AE81" s="15"/>
      <c r="AF81" s="15"/>
      <c r="AG81" s="15"/>
      <c r="AH81" s="9"/>
      <c r="AI81" s="15"/>
      <c r="AJ81" s="72"/>
      <c r="AK81" s="15"/>
      <c r="AL81" s="9"/>
      <c r="AM81" s="15"/>
      <c r="AN81" s="9"/>
      <c r="AO81" s="15"/>
      <c r="AP81" s="9"/>
      <c r="AQ81" s="15"/>
      <c r="AR81" s="9"/>
      <c r="AS81" s="15"/>
      <c r="AT81" s="15"/>
      <c r="AU81" s="15"/>
      <c r="AV81" s="9"/>
      <c r="AW81" s="15"/>
      <c r="AX81" s="9"/>
      <c r="AY81" s="15"/>
      <c r="AZ81" s="9"/>
      <c r="BA81" s="15"/>
      <c r="BB81" s="15"/>
      <c r="BC81" s="15"/>
      <c r="BD81" s="9"/>
      <c r="BE81" s="15"/>
      <c r="BF81" s="9"/>
      <c r="BG81" s="15"/>
      <c r="BH81" s="9"/>
      <c r="BI81" s="15"/>
      <c r="BJ81" s="15"/>
      <c r="BK81" s="15"/>
      <c r="BL81" s="9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  <c r="CO81" s="15"/>
      <c r="CP81" s="9"/>
    </row>
    <row r="82" spans="1:94" x14ac:dyDescent="0.25">
      <c r="A82" s="42"/>
      <c r="B82" s="23"/>
      <c r="C82" s="23"/>
      <c r="D82" s="23"/>
      <c r="E82" s="23"/>
      <c r="F82" s="23"/>
      <c r="G82" s="23"/>
      <c r="H82" s="14"/>
      <c r="I82" s="23"/>
      <c r="J82" s="23"/>
      <c r="K82" s="23"/>
      <c r="L82" s="14"/>
      <c r="M82" s="23"/>
      <c r="N82" s="23"/>
      <c r="O82" s="23"/>
      <c r="P82" s="14"/>
      <c r="Q82" s="23"/>
      <c r="R82" s="23"/>
      <c r="S82" s="23"/>
      <c r="T82" s="14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4"/>
      <c r="AK82" s="23"/>
      <c r="AL82" s="23"/>
      <c r="AM82" s="23"/>
      <c r="AN82" s="14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</row>
    <row r="83" spans="1:94" x14ac:dyDescent="0.25">
      <c r="A83" s="41"/>
      <c r="B83" s="9"/>
      <c r="C83" s="15"/>
      <c r="D83" s="9"/>
      <c r="E83" s="15"/>
      <c r="F83" s="9"/>
      <c r="G83" s="9"/>
      <c r="H83" s="15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9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9"/>
      <c r="AM83" s="15"/>
      <c r="AN83" s="14"/>
      <c r="AO83" s="23"/>
      <c r="AP83" s="9"/>
      <c r="AQ83" s="15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  <c r="CO83" s="15"/>
      <c r="CP83" s="9"/>
    </row>
    <row r="84" spans="1:94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15"/>
      <c r="Q84" s="15"/>
      <c r="R84" s="9"/>
      <c r="S84" s="15"/>
      <c r="T84" s="9"/>
      <c r="U84" s="15"/>
      <c r="V84" s="9"/>
      <c r="W84" s="15"/>
      <c r="X84" s="9"/>
      <c r="Y84" s="15"/>
      <c r="Z84" s="9"/>
      <c r="AA84" s="15"/>
      <c r="AB84" s="9"/>
      <c r="AC84" s="15"/>
      <c r="AD84" s="120"/>
      <c r="AE84" s="120"/>
      <c r="AF84" s="9"/>
      <c r="AG84" s="15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  <c r="CO84" s="15"/>
      <c r="CP84" s="9"/>
    </row>
    <row r="85" spans="1:94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15"/>
      <c r="M85" s="15"/>
      <c r="N85" s="9"/>
      <c r="O85" s="15"/>
      <c r="P85" s="9"/>
      <c r="Q85" s="15"/>
      <c r="R85" s="9"/>
      <c r="S85" s="15"/>
      <c r="T85" s="15"/>
      <c r="U85" s="15"/>
      <c r="V85" s="9"/>
      <c r="W85" s="15"/>
      <c r="X85" s="9"/>
      <c r="Y85" s="15"/>
      <c r="Z85" s="9"/>
      <c r="AA85" s="15"/>
      <c r="AB85" s="9"/>
      <c r="AC85" s="15"/>
      <c r="AD85" s="120"/>
      <c r="AE85" s="120"/>
      <c r="AF85" s="9"/>
      <c r="AG85" s="15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  <c r="CO85" s="15"/>
      <c r="CP85" s="9"/>
    </row>
    <row r="86" spans="1:94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9"/>
      <c r="AA86" s="15"/>
      <c r="AB86" s="9"/>
      <c r="AC86" s="15"/>
      <c r="AD86" s="120"/>
      <c r="AE86" s="120"/>
      <c r="AF86" s="9"/>
      <c r="AG86" s="15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  <c r="CO86" s="15"/>
      <c r="CP86" s="9"/>
    </row>
    <row r="87" spans="1:94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1"/>
      <c r="AA87" s="13"/>
      <c r="AB87" s="11"/>
      <c r="AC87" s="13"/>
      <c r="AD87" s="120"/>
      <c r="AE87" s="120"/>
      <c r="AF87" s="11"/>
      <c r="AG87" s="13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  <c r="CO87" s="13"/>
      <c r="CP87" s="11"/>
    </row>
    <row r="88" spans="1:94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23"/>
      <c r="AA88" s="13"/>
      <c r="AB88" s="13"/>
      <c r="AC88" s="13"/>
      <c r="AD88" s="120"/>
      <c r="AE88" s="120"/>
      <c r="AF88" s="13"/>
      <c r="AG88" s="13"/>
      <c r="AH88" s="13"/>
      <c r="AI88" s="13"/>
      <c r="AJ88" s="13"/>
      <c r="AK88" s="13"/>
      <c r="AL88" s="13"/>
      <c r="AM88" s="13"/>
      <c r="AN88" s="2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</row>
    <row r="89" spans="1:94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2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</row>
    <row r="90" spans="1:94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</row>
    <row r="91" spans="1:94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</row>
    <row r="92" spans="1:94" x14ac:dyDescent="0.25">
      <c r="A92" s="41" t="s">
        <v>6</v>
      </c>
      <c r="B92" s="9">
        <v>1970</v>
      </c>
      <c r="C92" s="15" t="s">
        <v>9203</v>
      </c>
      <c r="D92" s="9">
        <v>6977.2</v>
      </c>
      <c r="E92" s="15" t="s">
        <v>9173</v>
      </c>
      <c r="F92" s="9">
        <v>20000</v>
      </c>
      <c r="G92" s="15" t="s">
        <v>9256</v>
      </c>
      <c r="H92" s="9">
        <v>4395.01</v>
      </c>
      <c r="I92" s="15" t="s">
        <v>9311</v>
      </c>
      <c r="J92" s="9">
        <v>5000</v>
      </c>
      <c r="K92" s="15" t="s">
        <v>9351</v>
      </c>
      <c r="L92" s="15"/>
      <c r="M92" s="15"/>
      <c r="N92" s="9">
        <v>5468.12</v>
      </c>
      <c r="O92" s="15" t="s">
        <v>9393</v>
      </c>
      <c r="P92" s="9">
        <v>464</v>
      </c>
      <c r="Q92" s="15" t="s">
        <v>9450</v>
      </c>
      <c r="R92" s="9">
        <v>1056.33</v>
      </c>
      <c r="S92" s="15" t="s">
        <v>9457</v>
      </c>
      <c r="T92" s="9">
        <v>1797.81</v>
      </c>
      <c r="U92" s="15" t="s">
        <v>9562</v>
      </c>
      <c r="V92" s="9">
        <v>3319.99</v>
      </c>
      <c r="W92" s="15" t="s">
        <v>9617</v>
      </c>
      <c r="X92" s="172">
        <v>827.18</v>
      </c>
      <c r="Y92" s="15" t="s">
        <v>9679</v>
      </c>
      <c r="Z92" s="9">
        <v>419.36</v>
      </c>
      <c r="AA92" s="15" t="s">
        <v>9704</v>
      </c>
      <c r="AB92" s="9">
        <v>4464.99</v>
      </c>
      <c r="AC92" s="15" t="s">
        <v>9755</v>
      </c>
      <c r="AD92" s="15">
        <v>1169</v>
      </c>
      <c r="AE92" s="15" t="s">
        <v>9845</v>
      </c>
      <c r="AF92" s="9">
        <v>1198.5899999999999</v>
      </c>
      <c r="AG92" s="15" t="s">
        <v>9850</v>
      </c>
      <c r="AH92" s="9">
        <v>5000</v>
      </c>
      <c r="AI92" s="15" t="s">
        <v>9904</v>
      </c>
      <c r="AJ92" s="9">
        <v>3320</v>
      </c>
      <c r="AK92" s="15" t="s">
        <v>9948</v>
      </c>
      <c r="AL92" s="9">
        <v>5000</v>
      </c>
      <c r="AM92" s="9" t="s">
        <v>9976</v>
      </c>
      <c r="AN92" s="9">
        <v>5000</v>
      </c>
      <c r="AO92" s="9" t="s">
        <v>9979</v>
      </c>
      <c r="AP92" s="9">
        <v>5085.3500000000004</v>
      </c>
      <c r="AQ92" s="15" t="s">
        <v>10034</v>
      </c>
      <c r="AR92" s="9">
        <v>14652.34</v>
      </c>
      <c r="AS92" s="15" t="s">
        <v>10081</v>
      </c>
      <c r="AT92" s="9">
        <v>628.51</v>
      </c>
      <c r="AU92" s="15" t="s">
        <v>10145</v>
      </c>
      <c r="AV92" s="9">
        <v>15000</v>
      </c>
      <c r="AW92" s="15" t="s">
        <v>10166</v>
      </c>
      <c r="AX92" s="9">
        <v>5808.99</v>
      </c>
      <c r="AY92" s="15" t="s">
        <v>10220</v>
      </c>
      <c r="AZ92" s="9">
        <v>7269.51</v>
      </c>
      <c r="BA92" s="15" t="s">
        <v>10240</v>
      </c>
      <c r="BB92" s="9">
        <v>175</v>
      </c>
      <c r="BC92" s="15" t="s">
        <v>10304</v>
      </c>
      <c r="BD92" s="9">
        <v>1169</v>
      </c>
      <c r="BE92" s="15" t="s">
        <v>10404</v>
      </c>
      <c r="BF92" s="9">
        <v>1094.1500000000001</v>
      </c>
      <c r="BG92" s="15" t="s">
        <v>10474</v>
      </c>
      <c r="BH92" s="9"/>
      <c r="BI92" s="15"/>
      <c r="BJ92" s="9"/>
      <c r="BK92" s="15"/>
      <c r="BL92" s="9"/>
      <c r="BM92" s="15"/>
      <c r="BN92" s="9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  <c r="CO92" s="15"/>
      <c r="CP92" s="9"/>
    </row>
    <row r="93" spans="1:94" x14ac:dyDescent="0.25">
      <c r="A93" s="41"/>
      <c r="B93" s="9">
        <v>1169</v>
      </c>
      <c r="C93" s="15" t="s">
        <v>9210</v>
      </c>
      <c r="D93" s="121">
        <v>9934.76</v>
      </c>
      <c r="E93" s="15" t="s">
        <v>9177</v>
      </c>
      <c r="F93" s="9">
        <v>4601.91</v>
      </c>
      <c r="G93" s="15" t="s">
        <v>9262</v>
      </c>
      <c r="H93" s="9">
        <v>1099.01</v>
      </c>
      <c r="I93" s="15" t="s">
        <v>9312</v>
      </c>
      <c r="J93" s="9">
        <v>20000</v>
      </c>
      <c r="K93" s="15" t="s">
        <v>9354</v>
      </c>
      <c r="L93" s="9"/>
      <c r="M93" s="15"/>
      <c r="N93" s="9">
        <v>804.9</v>
      </c>
      <c r="O93" s="15" t="s">
        <v>9410</v>
      </c>
      <c r="P93" s="9">
        <v>2040</v>
      </c>
      <c r="Q93" s="15" t="s">
        <v>9454</v>
      </c>
      <c r="R93" s="9">
        <v>505.01</v>
      </c>
      <c r="S93" s="15" t="s">
        <v>9463</v>
      </c>
      <c r="T93" s="9">
        <v>1168.99</v>
      </c>
      <c r="U93" s="15" t="s">
        <v>9563</v>
      </c>
      <c r="V93" s="9">
        <v>2040</v>
      </c>
      <c r="W93" s="15" t="s">
        <v>9619</v>
      </c>
      <c r="X93" s="243">
        <v>1169</v>
      </c>
      <c r="Y93" s="15" t="s">
        <v>9689</v>
      </c>
      <c r="Z93" s="9">
        <v>1099.01</v>
      </c>
      <c r="AA93" s="15" t="s">
        <v>9706</v>
      </c>
      <c r="AB93" s="9">
        <v>3349</v>
      </c>
      <c r="AC93" s="15" t="s">
        <v>9756</v>
      </c>
      <c r="AD93" s="72"/>
      <c r="AE93" s="15"/>
      <c r="AF93" s="9"/>
      <c r="AG93" s="15"/>
      <c r="AH93" s="9">
        <v>2040</v>
      </c>
      <c r="AI93" s="15" t="s">
        <v>9914</v>
      </c>
      <c r="AJ93" s="9">
        <v>3319.99</v>
      </c>
      <c r="AK93" s="15" t="s">
        <v>9949</v>
      </c>
      <c r="AL93" s="9"/>
      <c r="AM93" s="15"/>
      <c r="AN93" s="9">
        <v>20000</v>
      </c>
      <c r="AO93" s="15" t="s">
        <v>9980</v>
      </c>
      <c r="AP93" s="9">
        <v>1549.01</v>
      </c>
      <c r="AQ93" s="15" t="s">
        <v>10037</v>
      </c>
      <c r="AR93" s="9">
        <v>683.15</v>
      </c>
      <c r="AS93" s="15" t="s">
        <v>10082</v>
      </c>
      <c r="AT93" s="9">
        <v>3619</v>
      </c>
      <c r="AU93" s="15" t="s">
        <v>10149</v>
      </c>
      <c r="AV93" s="9">
        <v>1099.01</v>
      </c>
      <c r="AW93" s="15" t="s">
        <v>10183</v>
      </c>
      <c r="AX93" s="9">
        <v>4395</v>
      </c>
      <c r="AY93" s="15" t="s">
        <v>10223</v>
      </c>
      <c r="AZ93" s="11"/>
      <c r="BA93" s="13"/>
      <c r="BB93" s="9">
        <v>1075.3399999999999</v>
      </c>
      <c r="BC93" s="15" t="s">
        <v>10314</v>
      </c>
      <c r="BD93" s="9">
        <v>1563.01</v>
      </c>
      <c r="BE93" s="15" t="s">
        <v>10408</v>
      </c>
      <c r="BF93" s="9">
        <v>3346</v>
      </c>
      <c r="BG93" s="15" t="s">
        <v>10481</v>
      </c>
      <c r="BH93" s="9"/>
      <c r="BI93" s="15"/>
      <c r="BJ93" s="9"/>
      <c r="BK93" s="15"/>
      <c r="BL93" s="9"/>
      <c r="BM93" s="15"/>
      <c r="BN93" s="9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  <c r="CO93" s="15"/>
      <c r="CP93" s="9"/>
    </row>
    <row r="94" spans="1:94" x14ac:dyDescent="0.25">
      <c r="A94" s="41"/>
      <c r="B94" s="9">
        <v>1169</v>
      </c>
      <c r="C94" s="15" t="s">
        <v>9215</v>
      </c>
      <c r="D94" s="121">
        <v>928</v>
      </c>
      <c r="E94" s="15" t="s">
        <v>9181</v>
      </c>
      <c r="F94" s="9">
        <v>1099.01</v>
      </c>
      <c r="G94" s="15" t="s">
        <v>9275</v>
      </c>
      <c r="H94" s="9">
        <v>1169</v>
      </c>
      <c r="I94" s="15" t="s">
        <v>9315</v>
      </c>
      <c r="J94" s="9">
        <v>1169</v>
      </c>
      <c r="K94" s="15" t="s">
        <v>9366</v>
      </c>
      <c r="L94" s="9"/>
      <c r="M94" s="15"/>
      <c r="N94" s="95">
        <f>+N93+N92</f>
        <v>6273.0199999999995</v>
      </c>
      <c r="O94" s="15"/>
      <c r="P94" s="95">
        <f>+P93+P92</f>
        <v>2504</v>
      </c>
      <c r="Q94" s="15"/>
      <c r="R94" s="9">
        <v>660.13</v>
      </c>
      <c r="S94" s="15" t="s">
        <v>9468</v>
      </c>
      <c r="T94" s="95">
        <f>+T93+T92</f>
        <v>2966.8</v>
      </c>
      <c r="U94" s="15"/>
      <c r="V94" s="95">
        <f>+V93+V92</f>
        <v>5359.99</v>
      </c>
      <c r="W94" s="15"/>
      <c r="X94" s="243">
        <v>1169</v>
      </c>
      <c r="Y94" s="15" t="s">
        <v>9695</v>
      </c>
      <c r="Z94" s="95">
        <f>+Z93+Z92</f>
        <v>1518.37</v>
      </c>
      <c r="AA94" s="15"/>
      <c r="AB94" s="95">
        <f>+AB93+AB92</f>
        <v>7813.99</v>
      </c>
      <c r="AC94" s="15"/>
      <c r="AD94" s="9"/>
      <c r="AE94" s="15"/>
      <c r="AF94" s="9">
        <v>5000</v>
      </c>
      <c r="AG94" s="15" t="s">
        <v>9863</v>
      </c>
      <c r="AH94" s="9">
        <v>1099.01</v>
      </c>
      <c r="AI94" s="15" t="s">
        <v>9920</v>
      </c>
      <c r="AJ94" s="9">
        <v>1970</v>
      </c>
      <c r="AK94" s="15" t="s">
        <v>9951</v>
      </c>
      <c r="AL94" s="9"/>
      <c r="AM94" s="15"/>
      <c r="AN94" s="9">
        <v>1169</v>
      </c>
      <c r="AO94" s="15" t="s">
        <v>9988</v>
      </c>
      <c r="AP94" s="137">
        <v>2065</v>
      </c>
      <c r="AQ94" s="120" t="s">
        <v>10041</v>
      </c>
      <c r="AR94" s="9">
        <v>462.03</v>
      </c>
      <c r="AS94" s="15" t="s">
        <v>10086</v>
      </c>
      <c r="AT94" s="9">
        <v>1970</v>
      </c>
      <c r="AU94" s="15" t="s">
        <v>10151</v>
      </c>
      <c r="AV94" s="9">
        <v>1099.01</v>
      </c>
      <c r="AW94" s="15" t="s">
        <v>10184</v>
      </c>
      <c r="AX94" s="9">
        <v>1099.01</v>
      </c>
      <c r="AY94" s="15" t="s">
        <v>10227</v>
      </c>
      <c r="AZ94" s="14">
        <v>1331.09</v>
      </c>
      <c r="BA94" s="13" t="s">
        <v>10341</v>
      </c>
      <c r="BB94" s="95">
        <f>+BB93+BB92</f>
        <v>1250.3399999999999</v>
      </c>
      <c r="BC94" s="15"/>
      <c r="BD94" s="95">
        <f>+SUM(BD92:BD93)</f>
        <v>2732.01</v>
      </c>
      <c r="BE94" s="15"/>
      <c r="BF94" s="9">
        <v>3238.99</v>
      </c>
      <c r="BG94" s="15" t="s">
        <v>10481</v>
      </c>
      <c r="BH94" s="15"/>
      <c r="BI94" s="15"/>
      <c r="BJ94" s="9"/>
      <c r="BK94" s="15"/>
      <c r="BL94" s="9"/>
      <c r="BM94" s="15"/>
      <c r="BN94" s="15"/>
      <c r="BO94" s="15"/>
      <c r="BP94" s="9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</row>
    <row r="95" spans="1:94" x14ac:dyDescent="0.25">
      <c r="A95" s="41"/>
      <c r="B95" s="9">
        <v>2040</v>
      </c>
      <c r="C95" s="15" t="s">
        <v>9221</v>
      </c>
      <c r="D95" s="167">
        <f>+D94+D93+D92</f>
        <v>17839.96</v>
      </c>
      <c r="E95" s="15"/>
      <c r="F95" s="9">
        <v>2945.01</v>
      </c>
      <c r="G95" s="15" t="s">
        <v>9276</v>
      </c>
      <c r="H95" s="9">
        <v>3320</v>
      </c>
      <c r="I95" s="15" t="s">
        <v>9321</v>
      </c>
      <c r="J95" s="9">
        <v>1169</v>
      </c>
      <c r="K95" s="15" t="s">
        <v>9376</v>
      </c>
      <c r="L95" s="9"/>
      <c r="M95" s="15"/>
      <c r="N95" s="9"/>
      <c r="O95" s="15"/>
      <c r="P95" s="9"/>
      <c r="Q95" s="15"/>
      <c r="R95" s="95">
        <f>+SUM(R92:R94)</f>
        <v>2221.4699999999998</v>
      </c>
      <c r="S95" s="15"/>
      <c r="T95" s="9"/>
      <c r="U95" s="15"/>
      <c r="V95" s="9"/>
      <c r="W95" s="15"/>
      <c r="X95" s="243">
        <v>1168.99</v>
      </c>
      <c r="Y95" s="15" t="s">
        <v>9696</v>
      </c>
      <c r="Z95" s="15"/>
      <c r="AA95" s="15"/>
      <c r="AB95" s="9"/>
      <c r="AC95" s="15"/>
      <c r="AD95" s="15"/>
      <c r="AE95" s="15"/>
      <c r="AF95" s="9">
        <v>2510</v>
      </c>
      <c r="AG95" s="15" t="s">
        <v>9866</v>
      </c>
      <c r="AH95" s="9">
        <v>2040</v>
      </c>
      <c r="AI95" s="15" t="s">
        <v>9923</v>
      </c>
      <c r="AJ95" s="9">
        <v>1099.01</v>
      </c>
      <c r="AK95" s="15" t="s">
        <v>9959</v>
      </c>
      <c r="AL95" s="9"/>
      <c r="AM95" s="15"/>
      <c r="AN95" s="95">
        <f>+AN94+AN93+AN92</f>
        <v>26169</v>
      </c>
      <c r="AO95" s="15"/>
      <c r="AP95" s="120">
        <v>1099.01</v>
      </c>
      <c r="AQ95" s="120" t="s">
        <v>10042</v>
      </c>
      <c r="AR95" s="9">
        <v>2453.9899999999998</v>
      </c>
      <c r="AS95" s="15" t="s">
        <v>10087</v>
      </c>
      <c r="AT95" s="9">
        <v>1970</v>
      </c>
      <c r="AU95" s="15" t="s">
        <v>10153</v>
      </c>
      <c r="AV95" s="193">
        <v>1995</v>
      </c>
      <c r="AW95" s="15" t="s">
        <v>10197</v>
      </c>
      <c r="AX95" s="193">
        <v>4627.01</v>
      </c>
      <c r="AY95" s="15" t="s">
        <v>10229</v>
      </c>
      <c r="AZ95" s="9">
        <v>1994.99</v>
      </c>
      <c r="BA95" s="15" t="s">
        <v>10342</v>
      </c>
      <c r="BB95" s="9"/>
      <c r="BC95" s="15"/>
      <c r="BD95" s="9"/>
      <c r="BE95" s="15"/>
      <c r="BF95" s="15">
        <v>232</v>
      </c>
      <c r="BG95" s="15" t="s">
        <v>10483</v>
      </c>
      <c r="BH95" s="9"/>
      <c r="BI95" s="15"/>
      <c r="BJ95" s="9"/>
      <c r="BK95" s="15"/>
      <c r="BL95" s="15"/>
      <c r="BM95" s="15"/>
      <c r="BN95" s="9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  <c r="CO95" s="15"/>
      <c r="CP95" s="9"/>
    </row>
    <row r="96" spans="1:94" x14ac:dyDescent="0.25">
      <c r="A96" s="41"/>
      <c r="B96" s="9">
        <v>1169</v>
      </c>
      <c r="C96" s="15" t="s">
        <v>9222</v>
      </c>
      <c r="D96" s="9"/>
      <c r="E96" s="26"/>
      <c r="F96" s="9">
        <v>992.3</v>
      </c>
      <c r="G96" s="26" t="s">
        <v>9292</v>
      </c>
      <c r="H96" s="9">
        <v>1099</v>
      </c>
      <c r="I96" s="15" t="s">
        <v>9322</v>
      </c>
      <c r="J96" s="9">
        <v>1169</v>
      </c>
      <c r="K96" s="15" t="s">
        <v>9378</v>
      </c>
      <c r="L96" s="9"/>
      <c r="M96" s="15"/>
      <c r="N96" s="7">
        <v>3750</v>
      </c>
      <c r="O96" s="26" t="s">
        <v>9417</v>
      </c>
      <c r="P96" s="9">
        <v>131.27000000000001</v>
      </c>
      <c r="Q96" s="15" t="s">
        <v>9477</v>
      </c>
      <c r="R96" s="9"/>
      <c r="S96" s="15"/>
      <c r="T96" s="9">
        <v>2435.7399999999998</v>
      </c>
      <c r="U96" s="9" t="s">
        <v>9584</v>
      </c>
      <c r="V96" s="9">
        <v>1164</v>
      </c>
      <c r="W96" s="15" t="s">
        <v>9636</v>
      </c>
      <c r="X96" s="243">
        <v>2250.0100000000002</v>
      </c>
      <c r="Y96" s="15" t="s">
        <v>9684</v>
      </c>
      <c r="Z96" s="9">
        <v>33232.11</v>
      </c>
      <c r="AA96" s="15" t="s">
        <v>9726</v>
      </c>
      <c r="AB96" s="9">
        <v>3250.01</v>
      </c>
      <c r="AC96" s="15" t="s">
        <v>9780</v>
      </c>
      <c r="AD96" s="9"/>
      <c r="AE96" s="13"/>
      <c r="AF96" s="15">
        <v>696</v>
      </c>
      <c r="AG96" s="15" t="s">
        <v>9870</v>
      </c>
      <c r="AH96" s="9">
        <v>1169</v>
      </c>
      <c r="AI96" s="15" t="s">
        <v>9925</v>
      </c>
      <c r="AJ96" s="9">
        <v>1099.01</v>
      </c>
      <c r="AK96" s="15" t="s">
        <v>9960</v>
      </c>
      <c r="AL96" s="9"/>
      <c r="AM96" s="15"/>
      <c r="AN96" s="9"/>
      <c r="AO96" s="15"/>
      <c r="AP96" s="9">
        <v>3319.99</v>
      </c>
      <c r="AQ96" s="15" t="s">
        <v>10043</v>
      </c>
      <c r="AR96" s="137">
        <v>704.99</v>
      </c>
      <c r="AS96" s="15" t="s">
        <v>10091</v>
      </c>
      <c r="AT96" s="9">
        <v>1563.01</v>
      </c>
      <c r="AU96" s="15" t="s">
        <v>10157</v>
      </c>
      <c r="AV96" s="9">
        <v>1041.32</v>
      </c>
      <c r="AW96" s="15" t="s">
        <v>10176</v>
      </c>
      <c r="AX96" s="9">
        <v>3250</v>
      </c>
      <c r="AY96" s="15" t="s">
        <v>10231</v>
      </c>
      <c r="AZ96" s="11">
        <v>13000</v>
      </c>
      <c r="BA96" s="13" t="s">
        <v>10325</v>
      </c>
      <c r="BB96" s="9">
        <v>1099</v>
      </c>
      <c r="BC96" s="15" t="s">
        <v>10351</v>
      </c>
      <c r="BD96" s="9">
        <v>3483.27</v>
      </c>
      <c r="BE96" s="15" t="s">
        <v>10443</v>
      </c>
      <c r="BF96" s="9">
        <v>1970</v>
      </c>
      <c r="BG96" s="15" t="s">
        <v>10489</v>
      </c>
      <c r="BH96" s="9"/>
      <c r="BI96" s="15"/>
      <c r="BJ96" s="9"/>
      <c r="BK96" s="15"/>
      <c r="BL96" s="15"/>
      <c r="BM96" s="15"/>
      <c r="BN96" s="9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  <c r="CO96" s="15"/>
      <c r="CP96" s="9"/>
    </row>
    <row r="97" spans="1:94" x14ac:dyDescent="0.25">
      <c r="A97" s="41"/>
      <c r="B97" s="9">
        <v>8617.92</v>
      </c>
      <c r="C97" s="15" t="s">
        <v>9223</v>
      </c>
      <c r="D97" s="9">
        <v>127.46</v>
      </c>
      <c r="E97" s="15" t="s">
        <v>9233</v>
      </c>
      <c r="F97" s="95">
        <f>+SUM(F91:F96)</f>
        <v>29638.23</v>
      </c>
      <c r="G97" s="15"/>
      <c r="H97" s="9">
        <v>1499</v>
      </c>
      <c r="I97" s="15" t="s">
        <v>9323</v>
      </c>
      <c r="J97" s="9">
        <v>1169</v>
      </c>
      <c r="K97" s="15" t="s">
        <v>9380</v>
      </c>
      <c r="L97" s="9"/>
      <c r="M97" s="15"/>
      <c r="N97" s="9">
        <v>1969.99</v>
      </c>
      <c r="O97" s="15" t="s">
        <v>9427</v>
      </c>
      <c r="P97" s="9">
        <v>746.94</v>
      </c>
      <c r="Q97" s="15" t="s">
        <v>9488</v>
      </c>
      <c r="R97" s="9">
        <v>629.91</v>
      </c>
      <c r="S97" s="15" t="s">
        <v>9510</v>
      </c>
      <c r="T97" s="9">
        <v>2176.31</v>
      </c>
      <c r="U97" s="15" t="s">
        <v>9586</v>
      </c>
      <c r="V97" s="137">
        <v>3319.99</v>
      </c>
      <c r="W97" s="15" t="s">
        <v>9651</v>
      </c>
      <c r="X97" s="255">
        <v>371.48</v>
      </c>
      <c r="Y97" s="15" t="s">
        <v>9700</v>
      </c>
      <c r="Z97" s="9"/>
      <c r="AA97" s="15"/>
      <c r="AB97" s="9">
        <v>185.74</v>
      </c>
      <c r="AC97" s="15" t="s">
        <v>9799</v>
      </c>
      <c r="AD97" s="23"/>
      <c r="AE97" s="13"/>
      <c r="AF97" s="9">
        <v>2676.14</v>
      </c>
      <c r="AG97" s="15" t="s">
        <v>9871</v>
      </c>
      <c r="AH97" s="132">
        <f>+SUM(AH92:AH96)</f>
        <v>11348.01</v>
      </c>
      <c r="AI97" s="15"/>
      <c r="AJ97" s="9">
        <v>1099.01</v>
      </c>
      <c r="AK97" s="15" t="s">
        <v>9968</v>
      </c>
      <c r="AL97" s="9"/>
      <c r="AM97" s="15"/>
      <c r="AN97" s="9">
        <v>3239</v>
      </c>
      <c r="AO97" s="15" t="s">
        <v>10007</v>
      </c>
      <c r="AP97" s="95">
        <f>+SUM(AP92:AP96)</f>
        <v>13118.36</v>
      </c>
      <c r="AQ97" s="15"/>
      <c r="AR97" s="9">
        <v>1995</v>
      </c>
      <c r="AS97" s="15" t="s">
        <v>10093</v>
      </c>
      <c r="AT97" s="9">
        <v>1305</v>
      </c>
      <c r="AU97" s="15" t="s">
        <v>10160</v>
      </c>
      <c r="AV97" s="95">
        <f>+SUM(AV92:AV96)</f>
        <v>20234.34</v>
      </c>
      <c r="AW97" s="15"/>
      <c r="AX97" s="9">
        <v>1169</v>
      </c>
      <c r="AY97" s="15" t="s">
        <v>10236</v>
      </c>
      <c r="AZ97" s="95">
        <f>+SUM(AZ94:AZ96)</f>
        <v>16326.08</v>
      </c>
      <c r="BA97" s="15"/>
      <c r="BB97" s="9">
        <v>3250.11</v>
      </c>
      <c r="BC97" s="15" t="s">
        <v>10357</v>
      </c>
      <c r="BD97" s="9"/>
      <c r="BE97" s="15"/>
      <c r="BF97" s="9">
        <v>1169</v>
      </c>
      <c r="BG97" s="15" t="s">
        <v>10497</v>
      </c>
      <c r="BH97" s="229"/>
      <c r="BI97" s="127"/>
      <c r="BJ97" s="9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</row>
    <row r="98" spans="1:94" x14ac:dyDescent="0.25">
      <c r="A98" s="41"/>
      <c r="B98" s="95">
        <f>+SUM(B92:B97)</f>
        <v>16134.92</v>
      </c>
      <c r="C98" s="15"/>
      <c r="D98" s="9">
        <v>1052.1199999999999</v>
      </c>
      <c r="E98" s="15" t="s">
        <v>9240</v>
      </c>
      <c r="F98" s="95"/>
      <c r="G98" s="15"/>
      <c r="H98" s="9">
        <v>3239</v>
      </c>
      <c r="I98" s="15" t="s">
        <v>9331</v>
      </c>
      <c r="J98" s="95">
        <f>+SUM(J92:J97)</f>
        <v>29676</v>
      </c>
      <c r="K98" s="15"/>
      <c r="L98" s="9"/>
      <c r="M98" s="15"/>
      <c r="N98" s="9">
        <v>1970.02</v>
      </c>
      <c r="O98" s="15" t="s">
        <v>9434</v>
      </c>
      <c r="P98" s="95">
        <f>+P97+P96</f>
        <v>878.21</v>
      </c>
      <c r="Q98" s="15"/>
      <c r="R98" s="9">
        <v>304.92</v>
      </c>
      <c r="S98" s="15" t="s">
        <v>9524</v>
      </c>
      <c r="T98" s="9">
        <v>4395</v>
      </c>
      <c r="U98" s="15" t="s">
        <v>9591</v>
      </c>
      <c r="V98" s="9">
        <v>1099</v>
      </c>
      <c r="W98" s="15" t="s">
        <v>9653</v>
      </c>
      <c r="X98" s="132">
        <f>+SUM(X92:X97)</f>
        <v>6955.66</v>
      </c>
      <c r="Y98" s="15"/>
      <c r="Z98" s="9"/>
      <c r="AA98" s="15"/>
      <c r="AB98" s="9">
        <v>2040</v>
      </c>
      <c r="AC98" s="15" t="s">
        <v>9787</v>
      </c>
      <c r="AD98" s="15"/>
      <c r="AE98" s="15"/>
      <c r="AF98" s="9">
        <v>1099.01</v>
      </c>
      <c r="AG98" s="15" t="s">
        <v>9876</v>
      </c>
      <c r="AH98" s="9"/>
      <c r="AI98" s="15"/>
      <c r="AJ98" s="9">
        <v>2500</v>
      </c>
      <c r="AK98" s="15" t="s">
        <v>9970</v>
      </c>
      <c r="AL98" s="9"/>
      <c r="AM98" s="15"/>
      <c r="AN98" s="9">
        <v>1169</v>
      </c>
      <c r="AO98" s="15" t="s">
        <v>10016</v>
      </c>
      <c r="AP98" s="9"/>
      <c r="AQ98" s="15"/>
      <c r="AR98" s="9">
        <v>2649.29</v>
      </c>
      <c r="AS98" s="15" t="s">
        <v>10094</v>
      </c>
      <c r="AT98" s="9">
        <v>3320</v>
      </c>
      <c r="AU98" s="15" t="s">
        <v>10163</v>
      </c>
      <c r="AV98" s="15"/>
      <c r="AW98" s="15"/>
      <c r="AX98" s="95">
        <f>+SUM(AX92:AX97)</f>
        <v>20349.010000000002</v>
      </c>
      <c r="AY98" s="15"/>
      <c r="AZ98" s="9"/>
      <c r="BA98" s="15"/>
      <c r="BB98" s="9">
        <v>1169</v>
      </c>
      <c r="BC98" s="15" t="s">
        <v>10360</v>
      </c>
      <c r="BD98" s="15"/>
      <c r="BE98" s="15"/>
      <c r="BF98" s="9">
        <v>1970</v>
      </c>
      <c r="BG98" s="15" t="s">
        <v>10501</v>
      </c>
      <c r="BH98" s="127"/>
      <c r="BI98" s="127"/>
      <c r="BJ98" s="9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</row>
    <row r="99" spans="1:94" x14ac:dyDescent="0.25">
      <c r="A99" s="41"/>
      <c r="B99" s="9"/>
      <c r="C99" s="15"/>
      <c r="D99" s="9">
        <v>1649</v>
      </c>
      <c r="E99" s="15" t="s">
        <v>9243</v>
      </c>
      <c r="F99" s="9"/>
      <c r="G99" s="15"/>
      <c r="H99" s="95">
        <f>+SUM(H92:H98)</f>
        <v>15820.02</v>
      </c>
      <c r="I99" s="15"/>
      <c r="J99" s="9"/>
      <c r="K99" s="15"/>
      <c r="L99" s="9"/>
      <c r="M99" s="15"/>
      <c r="N99" s="95">
        <f>+N98+N97+N96</f>
        <v>7690.01</v>
      </c>
      <c r="O99" s="15"/>
      <c r="P99" s="9"/>
      <c r="Q99" s="15"/>
      <c r="R99" s="9">
        <v>375.46</v>
      </c>
      <c r="S99" s="15" t="s">
        <v>9532</v>
      </c>
      <c r="T99" s="9">
        <v>1169</v>
      </c>
      <c r="U99" s="15" t="s">
        <v>9597</v>
      </c>
      <c r="V99" s="95">
        <f>+V98+V96+V97</f>
        <v>5582.99</v>
      </c>
      <c r="W99" s="15"/>
      <c r="X99" s="9"/>
      <c r="Y99" s="15"/>
      <c r="Z99" s="9"/>
      <c r="AA99" s="15"/>
      <c r="AB99" s="95">
        <f>+AB98+AB97+AB96</f>
        <v>5475.75</v>
      </c>
      <c r="AC99" s="15"/>
      <c r="AD99" s="9"/>
      <c r="AE99" s="15"/>
      <c r="AF99" s="9">
        <v>10607.01</v>
      </c>
      <c r="AG99" s="15" t="s">
        <v>9884</v>
      </c>
      <c r="AH99" s="15"/>
      <c r="AI99" s="15"/>
      <c r="AJ99" s="9">
        <v>304.92</v>
      </c>
      <c r="AK99" s="15" t="s">
        <v>9973</v>
      </c>
      <c r="AL99" s="15"/>
      <c r="AM99" s="15"/>
      <c r="AN99" s="9">
        <v>3319.99</v>
      </c>
      <c r="AO99" s="15" t="s">
        <v>10025</v>
      </c>
      <c r="AP99" s="9">
        <v>1031.99</v>
      </c>
      <c r="AQ99" s="15" t="s">
        <v>10056</v>
      </c>
      <c r="AR99" s="95">
        <f>+SUM(AR92:AR98)</f>
        <v>23600.790000000005</v>
      </c>
      <c r="AS99" s="15"/>
      <c r="AT99" s="95">
        <f>+SUM(AT92:AT98)</f>
        <v>14375.52</v>
      </c>
      <c r="AU99" s="15"/>
      <c r="AV99" s="9">
        <v>1744.34</v>
      </c>
      <c r="AW99" s="15" t="s">
        <v>10278</v>
      </c>
      <c r="AX99" s="15"/>
      <c r="AY99" s="15"/>
      <c r="AZ99" s="9"/>
      <c r="BA99" s="15"/>
      <c r="BB99" s="9">
        <v>3909</v>
      </c>
      <c r="BC99" s="15" t="s">
        <v>10364</v>
      </c>
      <c r="BD99" s="127"/>
      <c r="BE99" s="24"/>
      <c r="BF99" s="95">
        <f>+SUM(BF92:BF98)</f>
        <v>13020.14</v>
      </c>
      <c r="BG99" s="15"/>
      <c r="BH99" s="127"/>
      <c r="BI99" s="127"/>
      <c r="BJ99" s="15"/>
      <c r="BK99" s="15"/>
      <c r="BL99" s="9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  <c r="CO99" s="15"/>
      <c r="CP99" s="9"/>
    </row>
    <row r="100" spans="1:94" x14ac:dyDescent="0.25">
      <c r="A100" s="41"/>
      <c r="B100" s="9"/>
      <c r="C100" s="15"/>
      <c r="D100" s="9">
        <v>2369</v>
      </c>
      <c r="E100" s="15" t="s">
        <v>9246</v>
      </c>
      <c r="F100" s="9"/>
      <c r="G100" s="15"/>
      <c r="H100" s="9"/>
      <c r="I100" s="15"/>
      <c r="J100" s="9"/>
      <c r="K100" s="15"/>
      <c r="L100" s="9"/>
      <c r="M100" s="15"/>
      <c r="N100" s="9"/>
      <c r="O100" s="15"/>
      <c r="P100" s="9"/>
      <c r="Q100" s="15"/>
      <c r="R100" s="9">
        <v>2065</v>
      </c>
      <c r="S100" s="15" t="s">
        <v>9535</v>
      </c>
      <c r="T100" s="9"/>
      <c r="U100" s="15"/>
      <c r="V100" s="9"/>
      <c r="W100" s="15"/>
      <c r="X100" s="9"/>
      <c r="Y100" s="15"/>
      <c r="Z100" s="9"/>
      <c r="AA100" s="15"/>
      <c r="AB100" s="9"/>
      <c r="AC100" s="15"/>
      <c r="AD100" s="9"/>
      <c r="AE100" s="15"/>
      <c r="AF100" s="9">
        <v>2040</v>
      </c>
      <c r="AG100" s="15" t="s">
        <v>9890</v>
      </c>
      <c r="AH100" s="9"/>
      <c r="AI100" s="15"/>
      <c r="AJ100" s="95">
        <f>+SUM(AJ92:AJ99)</f>
        <v>14711.94</v>
      </c>
      <c r="AK100" s="15"/>
      <c r="AL100" s="9"/>
      <c r="AM100" s="15"/>
      <c r="AN100" s="95">
        <f>+AN99+AN97+AN98</f>
        <v>7727.99</v>
      </c>
      <c r="AO100" s="15"/>
      <c r="AP100" s="9">
        <v>547.47</v>
      </c>
      <c r="AQ100" s="15" t="s">
        <v>10058</v>
      </c>
      <c r="AR100" s="9"/>
      <c r="AS100" s="15"/>
      <c r="AT100" s="9"/>
      <c r="AU100" s="15"/>
      <c r="AV100" s="9">
        <v>1099.01</v>
      </c>
      <c r="AW100" s="15" t="s">
        <v>10287</v>
      </c>
      <c r="AX100" s="9"/>
      <c r="AY100" s="15"/>
      <c r="AZ100" s="9"/>
      <c r="BA100" s="15"/>
      <c r="BB100" s="9">
        <v>1168.99</v>
      </c>
      <c r="BC100" s="15" t="s">
        <v>10365</v>
      </c>
      <c r="BD100" s="15"/>
      <c r="BE100" s="15"/>
      <c r="BF100" s="9"/>
      <c r="BG100" s="15"/>
      <c r="BH100" s="127"/>
      <c r="BI100" s="127"/>
      <c r="BJ100" s="15"/>
      <c r="BK100" s="15"/>
      <c r="BL100" s="9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  <c r="CO100" s="15"/>
      <c r="CP100" s="9"/>
    </row>
    <row r="101" spans="1:94" x14ac:dyDescent="0.25">
      <c r="A101" s="41"/>
      <c r="B101" s="15"/>
      <c r="C101" s="15"/>
      <c r="D101" s="95">
        <f>+SUM(D97:D100)</f>
        <v>5197.58</v>
      </c>
      <c r="E101" s="15"/>
      <c r="F101" s="9"/>
      <c r="G101" s="15"/>
      <c r="H101" s="9">
        <v>7082.17</v>
      </c>
      <c r="I101" s="15" t="s">
        <v>9337</v>
      </c>
      <c r="J101" s="9"/>
      <c r="K101" s="15"/>
      <c r="L101" s="9"/>
      <c r="M101" s="15"/>
      <c r="N101" s="15"/>
      <c r="O101" s="15"/>
      <c r="P101" s="9"/>
      <c r="Q101" s="15"/>
      <c r="R101" s="9">
        <v>680</v>
      </c>
      <c r="S101" s="15" t="s">
        <v>9541</v>
      </c>
      <c r="T101" s="9"/>
      <c r="U101" s="15"/>
      <c r="V101" s="9"/>
      <c r="W101" s="15"/>
      <c r="X101" s="9"/>
      <c r="Y101" s="15"/>
      <c r="Z101" s="15"/>
      <c r="AA101" s="15"/>
      <c r="AB101" s="9"/>
      <c r="AC101" s="15"/>
      <c r="AD101" s="9"/>
      <c r="AE101" s="15"/>
      <c r="AF101" s="9">
        <v>1618.99</v>
      </c>
      <c r="AG101" s="15" t="s">
        <v>9891</v>
      </c>
      <c r="AH101" s="9"/>
      <c r="AI101" s="15"/>
      <c r="AJ101" s="9"/>
      <c r="AK101" s="15"/>
      <c r="AL101" s="15"/>
      <c r="AM101" s="15"/>
      <c r="AN101" s="15"/>
      <c r="AO101" s="15"/>
      <c r="AP101" s="9">
        <v>1099.01</v>
      </c>
      <c r="AQ101" s="15" t="s">
        <v>10064</v>
      </c>
      <c r="AR101" s="9">
        <v>1075.3399999999999</v>
      </c>
      <c r="AS101" s="15" t="s">
        <v>10117</v>
      </c>
      <c r="AT101" s="9"/>
      <c r="AU101" s="15"/>
      <c r="AV101" s="95">
        <f>+AV99+AV100</f>
        <v>2843.35</v>
      </c>
      <c r="AW101" s="15"/>
      <c r="AX101" s="9"/>
      <c r="AY101" s="15"/>
      <c r="AZ101" s="9"/>
      <c r="BA101" s="15"/>
      <c r="BB101" s="9">
        <v>1970</v>
      </c>
      <c r="BC101" s="15" t="s">
        <v>10369</v>
      </c>
      <c r="BD101" s="9"/>
      <c r="BE101" s="15"/>
      <c r="BF101" s="9"/>
      <c r="BG101" s="15"/>
      <c r="BH101" s="127"/>
      <c r="BI101" s="127"/>
      <c r="BJ101" s="9"/>
      <c r="BK101" s="1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  <c r="CO101" s="15"/>
      <c r="CP101" s="9"/>
    </row>
    <row r="102" spans="1:94" x14ac:dyDescent="0.25">
      <c r="A102" s="41"/>
      <c r="B102" s="9"/>
      <c r="C102" s="15"/>
      <c r="D102" s="15"/>
      <c r="E102" s="15"/>
      <c r="F102" s="9"/>
      <c r="G102" s="15"/>
      <c r="H102" s="9">
        <v>1099</v>
      </c>
      <c r="I102" s="15" t="s">
        <v>9345</v>
      </c>
      <c r="J102" s="9"/>
      <c r="K102" s="15"/>
      <c r="L102" s="9"/>
      <c r="M102" s="15"/>
      <c r="N102" s="9"/>
      <c r="O102" s="15"/>
      <c r="P102" s="9"/>
      <c r="Q102" s="15"/>
      <c r="R102" s="9">
        <v>1169</v>
      </c>
      <c r="S102" s="15" t="s">
        <v>9545</v>
      </c>
      <c r="T102" s="9"/>
      <c r="U102" s="15"/>
      <c r="V102" s="9"/>
      <c r="W102" s="15"/>
      <c r="X102" s="9"/>
      <c r="Y102" s="15"/>
      <c r="Z102" s="9"/>
      <c r="AA102" s="15"/>
      <c r="AB102" s="9"/>
      <c r="AC102" s="15"/>
      <c r="AD102" s="9"/>
      <c r="AE102" s="15"/>
      <c r="AF102" s="95">
        <f>+SUM(AF94:AF101)</f>
        <v>26247.15</v>
      </c>
      <c r="AG102" s="15"/>
      <c r="AH102" s="9"/>
      <c r="AI102" s="15"/>
      <c r="AJ102" s="9"/>
      <c r="AK102" s="15"/>
      <c r="AL102" s="9"/>
      <c r="AM102" s="15"/>
      <c r="AN102" s="9"/>
      <c r="AO102" s="15"/>
      <c r="AP102" s="9">
        <v>1099.01</v>
      </c>
      <c r="AQ102" s="15" t="s">
        <v>10080</v>
      </c>
      <c r="AR102" s="9">
        <v>118.17</v>
      </c>
      <c r="AS102" s="15" t="s">
        <v>10120</v>
      </c>
      <c r="AT102" s="9"/>
      <c r="AU102" s="15"/>
      <c r="AV102" s="15"/>
      <c r="AW102" s="15"/>
      <c r="AX102" s="9"/>
      <c r="AY102" s="15"/>
      <c r="AZ102" s="9"/>
      <c r="BA102" s="15"/>
      <c r="BB102" s="9">
        <v>1168.99</v>
      </c>
      <c r="BC102" s="15" t="s">
        <v>10376</v>
      </c>
      <c r="BD102" s="9"/>
      <c r="BE102" s="15"/>
      <c r="BF102" s="9"/>
      <c r="BG102" s="15"/>
      <c r="BH102" s="127"/>
      <c r="BI102" s="127"/>
      <c r="BJ102" s="9"/>
      <c r="BK102" s="1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  <c r="CO102" s="15"/>
      <c r="CP102" s="9"/>
    </row>
    <row r="103" spans="1:94" x14ac:dyDescent="0.25">
      <c r="A103" s="41"/>
      <c r="B103" s="9"/>
      <c r="C103" s="15"/>
      <c r="D103" s="9"/>
      <c r="E103" s="15"/>
      <c r="F103" s="9"/>
      <c r="G103" s="15"/>
      <c r="H103" s="95">
        <f>+H102+H101</f>
        <v>8181.17</v>
      </c>
      <c r="I103" s="15"/>
      <c r="J103" s="9"/>
      <c r="K103" s="15"/>
      <c r="L103" s="9"/>
      <c r="M103" s="15"/>
      <c r="N103" s="9"/>
      <c r="O103" s="15"/>
      <c r="P103" s="15"/>
      <c r="Q103" s="15"/>
      <c r="R103" s="95">
        <f>+SUM(R96:R102)</f>
        <v>5224.29</v>
      </c>
      <c r="S103" s="15"/>
      <c r="T103" s="9"/>
      <c r="U103" s="15"/>
      <c r="V103" s="9"/>
      <c r="W103" s="15"/>
      <c r="X103" s="9"/>
      <c r="Y103" s="15"/>
      <c r="Z103" s="9"/>
      <c r="AA103" s="15"/>
      <c r="AB103" s="9"/>
      <c r="AC103" s="15"/>
      <c r="AD103" s="9"/>
      <c r="AE103" s="15"/>
      <c r="AF103" s="9"/>
      <c r="AG103" s="15"/>
      <c r="AH103" s="9"/>
      <c r="AI103" s="15"/>
      <c r="AJ103" s="15"/>
      <c r="AK103" s="15"/>
      <c r="AL103" s="9"/>
      <c r="AM103" s="15"/>
      <c r="AN103" s="15"/>
      <c r="AO103" s="15"/>
      <c r="AP103" s="95">
        <f>+SUM(AP99:AP102)</f>
        <v>3777.4800000000005</v>
      </c>
      <c r="AQ103" s="15"/>
      <c r="AR103" s="9">
        <v>4464.99</v>
      </c>
      <c r="AS103" s="15" t="s">
        <v>10125</v>
      </c>
      <c r="AT103" s="9"/>
      <c r="AU103" s="15"/>
      <c r="AV103" s="9"/>
      <c r="AW103" s="15"/>
      <c r="AX103" s="9"/>
      <c r="AY103" s="15"/>
      <c r="AZ103" s="9"/>
      <c r="BA103" s="15"/>
      <c r="BB103" s="9">
        <v>1099.01</v>
      </c>
      <c r="BC103" s="15" t="s">
        <v>10377</v>
      </c>
      <c r="BD103" s="9"/>
      <c r="BE103" s="15"/>
      <c r="BF103" s="9"/>
      <c r="BG103" s="15"/>
      <c r="BH103" s="127"/>
      <c r="BI103" s="127"/>
      <c r="BJ103" s="9"/>
      <c r="BK103" s="1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  <c r="CO103" s="15"/>
      <c r="CP103" s="9"/>
    </row>
    <row r="104" spans="1:94" x14ac:dyDescent="0.25">
      <c r="A104" s="41"/>
      <c r="B104" s="9"/>
      <c r="C104" s="15"/>
      <c r="D104" s="15"/>
      <c r="E104" s="15"/>
      <c r="F104" s="9"/>
      <c r="G104" s="15"/>
      <c r="H104" s="9"/>
      <c r="I104" s="15"/>
      <c r="J104" s="9"/>
      <c r="K104" s="15"/>
      <c r="L104" s="9"/>
      <c r="M104" s="15"/>
      <c r="N104" s="9"/>
      <c r="O104" s="15"/>
      <c r="P104" s="9"/>
      <c r="Q104" s="15"/>
      <c r="R104" s="95"/>
      <c r="S104" s="15"/>
      <c r="T104" s="15"/>
      <c r="U104" s="15"/>
      <c r="V104" s="9"/>
      <c r="W104" s="15"/>
      <c r="X104" s="9"/>
      <c r="Y104" s="15"/>
      <c r="Z104" s="9"/>
      <c r="AA104" s="15"/>
      <c r="AB104" s="9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"/>
      <c r="AQ104" s="15"/>
      <c r="AR104" s="9">
        <v>1169</v>
      </c>
      <c r="AS104" s="15" t="s">
        <v>10137</v>
      </c>
      <c r="AT104" s="9"/>
      <c r="AU104" s="15"/>
      <c r="AV104" s="9"/>
      <c r="AW104" s="15"/>
      <c r="AX104" s="9"/>
      <c r="AY104" s="15"/>
      <c r="AZ104" s="9"/>
      <c r="BA104" s="15"/>
      <c r="BB104" s="9">
        <v>2040</v>
      </c>
      <c r="BC104" s="15" t="s">
        <v>10381</v>
      </c>
      <c r="BD104" s="9"/>
      <c r="BE104" s="15"/>
      <c r="BF104" s="9"/>
      <c r="BG104" s="15"/>
      <c r="BH104" s="127"/>
      <c r="BI104" s="127"/>
      <c r="BJ104" s="9"/>
      <c r="BK104" s="1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  <c r="CO104" s="15"/>
      <c r="CP104" s="9"/>
    </row>
    <row r="105" spans="1:94" x14ac:dyDescent="0.25">
      <c r="A105" s="41"/>
      <c r="B105" s="9"/>
      <c r="C105" s="15"/>
      <c r="D105" s="9"/>
      <c r="E105" s="15"/>
      <c r="F105" s="15"/>
      <c r="G105" s="15"/>
      <c r="H105" s="9"/>
      <c r="I105" s="15"/>
      <c r="J105" s="15"/>
      <c r="K105" s="15"/>
      <c r="L105" s="9"/>
      <c r="M105" s="15"/>
      <c r="N105" s="9"/>
      <c r="O105" s="15"/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9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15"/>
      <c r="AM105" s="15"/>
      <c r="AN105" s="15"/>
      <c r="AO105" s="15"/>
      <c r="AP105" s="15"/>
      <c r="AQ105" s="15"/>
      <c r="AR105" s="95">
        <f>+SUM(AR101:AR104)</f>
        <v>6827.5</v>
      </c>
      <c r="AS105" s="15"/>
      <c r="AT105" s="9"/>
      <c r="AU105" s="15"/>
      <c r="AV105" s="9"/>
      <c r="AW105" s="15"/>
      <c r="AX105" s="9"/>
      <c r="AY105" s="15"/>
      <c r="AZ105" s="9"/>
      <c r="BA105" s="15"/>
      <c r="BB105" s="9">
        <v>11108.95</v>
      </c>
      <c r="BC105" s="15" t="s">
        <v>10382</v>
      </c>
      <c r="BD105" s="9"/>
      <c r="BE105" s="15"/>
      <c r="BF105" s="9"/>
      <c r="BG105" s="15"/>
      <c r="BH105" s="127"/>
      <c r="BI105" s="127"/>
      <c r="BJ105" s="9"/>
      <c r="BK105" s="1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  <c r="CO105" s="15"/>
      <c r="CP105" s="9"/>
    </row>
    <row r="106" spans="1:94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9"/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9"/>
      <c r="AA106" s="15"/>
      <c r="AB106" s="9"/>
      <c r="AC106" s="15"/>
      <c r="AD106" s="9"/>
      <c r="AE106" s="15"/>
      <c r="AF106" s="15"/>
      <c r="AG106" s="15"/>
      <c r="AH106" s="15"/>
      <c r="AI106" s="15"/>
      <c r="AJ106" s="9"/>
      <c r="AK106" s="15"/>
      <c r="AL106" s="9"/>
      <c r="AM106" s="15"/>
      <c r="AN106" s="9"/>
      <c r="AO106" s="15"/>
      <c r="AP106" s="9"/>
      <c r="AQ106" s="15"/>
      <c r="AR106" s="15"/>
      <c r="AS106" s="15"/>
      <c r="AT106" s="15"/>
      <c r="AU106" s="15"/>
      <c r="AV106" s="9"/>
      <c r="AW106" s="15"/>
      <c r="AX106" s="9"/>
      <c r="AY106" s="15"/>
      <c r="AZ106" s="15"/>
      <c r="BA106" s="15"/>
      <c r="BB106" s="95">
        <f>+SUM(BB96:BB105)</f>
        <v>27983.05</v>
      </c>
      <c r="BC106" s="15"/>
      <c r="BD106" s="9"/>
      <c r="BE106" s="15"/>
      <c r="BF106" s="9"/>
      <c r="BG106" s="15"/>
      <c r="BH106" s="15"/>
      <c r="BI106" s="15"/>
      <c r="BJ106" s="9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  <c r="CO106" s="15"/>
      <c r="CP106" s="9"/>
    </row>
    <row r="107" spans="1:94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15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9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15"/>
      <c r="AU107" s="15"/>
      <c r="AV107" s="9"/>
      <c r="AW107" s="15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15"/>
      <c r="BI107" s="15"/>
      <c r="BJ107" s="9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  <c r="CO107" s="15"/>
      <c r="CP107" s="9"/>
    </row>
    <row r="108" spans="1:94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9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  <c r="CO108" s="15"/>
      <c r="CP108" s="9"/>
    </row>
    <row r="109" spans="1:94" x14ac:dyDescent="0.25">
      <c r="A109" s="41"/>
      <c r="B109" s="9"/>
      <c r="C109" s="15"/>
      <c r="D109" s="9"/>
      <c r="E109" s="15"/>
      <c r="F109" s="9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9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  <c r="CO109" s="15"/>
      <c r="CP109" s="9"/>
    </row>
    <row r="110" spans="1:94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1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  <c r="CO110" s="13"/>
      <c r="CP110" s="11"/>
    </row>
    <row r="111" spans="1:94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1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23"/>
      <c r="AS111" s="13"/>
      <c r="AT111" s="11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  <c r="CO111" s="13"/>
      <c r="CP111" s="11"/>
    </row>
    <row r="112" spans="1:94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1"/>
      <c r="AA112" s="13"/>
      <c r="AB112" s="14"/>
      <c r="AC112" s="23"/>
      <c r="AD112" s="11"/>
      <c r="AE112" s="1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3"/>
      <c r="AS112" s="13"/>
      <c r="AT112" s="11"/>
      <c r="AU112" s="13"/>
      <c r="AV112" s="11"/>
      <c r="AW112" s="13"/>
      <c r="AX112" s="9"/>
      <c r="AY112" s="26"/>
      <c r="AZ112" s="11"/>
      <c r="BA112" s="13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  <c r="CO112" s="13"/>
      <c r="CP112" s="11"/>
    </row>
    <row r="113" spans="1:94" x14ac:dyDescent="0.25">
      <c r="A113" s="43"/>
      <c r="B113" s="11"/>
      <c r="C113" s="13"/>
      <c r="D113" s="11"/>
      <c r="E113" s="13"/>
      <c r="F113" s="11"/>
      <c r="G113" s="13"/>
      <c r="H113" s="11"/>
      <c r="I113" s="13"/>
      <c r="J113" s="11"/>
      <c r="K113" s="13"/>
      <c r="L113" s="11"/>
      <c r="M113" s="13"/>
      <c r="N113" s="11"/>
      <c r="O113" s="13"/>
      <c r="P113" s="11"/>
      <c r="Q113" s="13"/>
      <c r="R113" s="11"/>
      <c r="S113" s="13"/>
      <c r="T113" s="11"/>
      <c r="U113" s="13"/>
      <c r="V113" s="11"/>
      <c r="W113" s="13"/>
      <c r="X113" s="11"/>
      <c r="Y113" s="13"/>
      <c r="Z113" s="11"/>
      <c r="AA113" s="13"/>
      <c r="AB113" s="14"/>
      <c r="AC113" s="23"/>
      <c r="AD113" s="11"/>
      <c r="AE113" s="13"/>
      <c r="AF113" s="11"/>
      <c r="AG113" s="13"/>
      <c r="AH113" s="11"/>
      <c r="AI113" s="13"/>
      <c r="AJ113" s="11"/>
      <c r="AK113" s="13"/>
      <c r="AL113" s="11"/>
      <c r="AM113" s="13"/>
      <c r="AN113" s="11"/>
      <c r="AO113" s="13"/>
      <c r="AP113" s="11"/>
      <c r="AQ113" s="13"/>
      <c r="AR113" s="13"/>
      <c r="AS113" s="13"/>
      <c r="AT113" s="11"/>
      <c r="AU113" s="13"/>
      <c r="AV113" s="11"/>
      <c r="AW113" s="13"/>
      <c r="AX113" s="23"/>
      <c r="AY113" s="13"/>
      <c r="AZ113" s="11"/>
      <c r="BA113" s="13"/>
      <c r="BB113" s="11"/>
      <c r="BC113" s="13"/>
      <c r="BD113" s="11"/>
      <c r="BE113" s="13"/>
      <c r="BF113" s="11"/>
      <c r="BG113" s="13"/>
      <c r="BH113" s="11"/>
      <c r="BI113" s="13"/>
      <c r="BJ113" s="11"/>
      <c r="BK113" s="13"/>
      <c r="BL113" s="11"/>
      <c r="BM113" s="13"/>
      <c r="BN113" s="11"/>
      <c r="BO113" s="13"/>
      <c r="BP113" s="11"/>
      <c r="BQ113" s="13"/>
      <c r="BR113" s="11"/>
      <c r="BS113" s="13"/>
      <c r="BT113" s="11"/>
      <c r="BU113" s="13"/>
      <c r="BV113" s="11"/>
      <c r="BW113" s="13"/>
      <c r="BX113" s="11"/>
      <c r="BY113" s="13"/>
      <c r="BZ113" s="11"/>
      <c r="CA113" s="13"/>
      <c r="CB113" s="11"/>
      <c r="CC113" s="13"/>
      <c r="CD113" s="11"/>
      <c r="CE113" s="13"/>
      <c r="CF113" s="11"/>
      <c r="CG113" s="13"/>
      <c r="CH113" s="11"/>
      <c r="CI113" s="13"/>
      <c r="CJ113" s="11"/>
      <c r="CK113" s="13"/>
      <c r="CL113" s="11"/>
      <c r="CM113" s="13"/>
      <c r="CN113" s="11"/>
      <c r="CO113" s="13"/>
      <c r="CP113" s="11"/>
    </row>
    <row r="114" spans="1:94" x14ac:dyDescent="0.25">
      <c r="A114" s="42" t="s">
        <v>7</v>
      </c>
      <c r="B114" s="23">
        <v>2430</v>
      </c>
      <c r="C114" s="23" t="s">
        <v>9211</v>
      </c>
      <c r="D114" s="14"/>
      <c r="E114" s="23"/>
      <c r="F114" s="14"/>
      <c r="G114" s="23"/>
      <c r="H114" s="23"/>
      <c r="I114" s="23"/>
      <c r="J114" s="14"/>
      <c r="K114" s="23"/>
      <c r="L114" s="23"/>
      <c r="M114" s="23"/>
      <c r="N114" s="23"/>
      <c r="O114" s="23"/>
      <c r="P114" s="14">
        <v>1099.01</v>
      </c>
      <c r="Q114" s="23" t="s">
        <v>9494</v>
      </c>
      <c r="R114" s="14"/>
      <c r="S114" s="23"/>
      <c r="T114" s="14"/>
      <c r="U114" s="23"/>
      <c r="V114" s="14">
        <v>8867.56</v>
      </c>
      <c r="W114" s="23"/>
      <c r="X114" s="14">
        <v>3250.1</v>
      </c>
      <c r="Y114" s="23" t="s">
        <v>9688</v>
      </c>
      <c r="Z114" s="9">
        <v>5487.14</v>
      </c>
      <c r="AA114" s="15" t="s">
        <v>9701</v>
      </c>
      <c r="AB114" s="14"/>
      <c r="AC114" s="23"/>
      <c r="AD114" s="23">
        <v>1419</v>
      </c>
      <c r="AE114" s="23" t="s">
        <v>9834</v>
      </c>
      <c r="AF114" s="14"/>
      <c r="AG114" s="23"/>
      <c r="AH114" s="23">
        <v>1519.45</v>
      </c>
      <c r="AI114" s="14" t="s">
        <v>9900</v>
      </c>
      <c r="AJ114" s="23"/>
      <c r="AK114" s="14"/>
      <c r="AL114" s="14"/>
      <c r="AM114" s="23"/>
      <c r="AN114" s="14"/>
      <c r="AO114" s="23"/>
      <c r="AP114" s="23"/>
      <c r="AQ114" s="23"/>
      <c r="AR114" s="14"/>
      <c r="AS114" s="23"/>
      <c r="AT114" s="14">
        <v>1169</v>
      </c>
      <c r="AU114" s="23" t="s">
        <v>10100</v>
      </c>
      <c r="AV114" s="14">
        <v>2040</v>
      </c>
      <c r="AW114" s="23" t="s">
        <v>10291</v>
      </c>
      <c r="AX114" s="23"/>
      <c r="AY114" s="23"/>
      <c r="AZ114" s="23"/>
      <c r="BA114" s="23"/>
      <c r="BB114" s="14"/>
      <c r="BC114" s="23"/>
      <c r="BD114" s="15"/>
      <c r="BE114" s="15"/>
      <c r="BF114" s="15">
        <v>2866</v>
      </c>
      <c r="BG114" s="15" t="s">
        <v>10423</v>
      </c>
      <c r="BH114" s="14"/>
      <c r="BI114" s="23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  <c r="CO114" s="23"/>
      <c r="CP114" s="14"/>
    </row>
    <row r="115" spans="1:94" x14ac:dyDescent="0.25">
      <c r="A115" s="42"/>
      <c r="B115" s="14"/>
      <c r="C115" s="23"/>
      <c r="D115" s="14"/>
      <c r="E115" s="23"/>
      <c r="F115" s="14"/>
      <c r="G115" s="23"/>
      <c r="H115" s="14"/>
      <c r="I115" s="23"/>
      <c r="J115" s="14"/>
      <c r="K115" s="23"/>
      <c r="L115" s="14"/>
      <c r="M115" s="23"/>
      <c r="N115" s="14"/>
      <c r="O115" s="23"/>
      <c r="P115" s="14"/>
      <c r="Q115" s="23"/>
      <c r="R115" s="14"/>
      <c r="S115" s="23"/>
      <c r="T115" s="14"/>
      <c r="U115" s="23"/>
      <c r="V115" s="14"/>
      <c r="W115" s="23"/>
      <c r="X115" s="14"/>
      <c r="Y115" s="23"/>
      <c r="Z115" s="14"/>
      <c r="AA115" s="23"/>
      <c r="AB115" s="14"/>
      <c r="AC115" s="23"/>
      <c r="AD115" s="14"/>
      <c r="AE115" s="23"/>
      <c r="AF115" s="14"/>
      <c r="AG115" s="23"/>
      <c r="AH115" s="14"/>
      <c r="AI115" s="23"/>
      <c r="AJ115" s="14"/>
      <c r="AK115" s="23"/>
      <c r="AL115" s="14"/>
      <c r="AM115" s="23"/>
      <c r="AN115" s="23"/>
      <c r="AO115" s="23"/>
      <c r="AP115" s="14"/>
      <c r="AQ115" s="23"/>
      <c r="AR115" s="14"/>
      <c r="AS115" s="23"/>
      <c r="AT115" s="14"/>
      <c r="AU115" s="23"/>
      <c r="AV115" s="14"/>
      <c r="AW115" s="23"/>
      <c r="AX115" s="14"/>
      <c r="AY115" s="23"/>
      <c r="AZ115" s="14"/>
      <c r="BA115" s="23"/>
      <c r="BB115" s="14"/>
      <c r="BC115" s="23"/>
      <c r="BD115" s="14"/>
      <c r="BE115" s="23"/>
      <c r="BF115" s="14"/>
      <c r="BG115" s="23"/>
      <c r="BH115" s="14"/>
      <c r="BI115" s="23"/>
      <c r="BJ115" s="14"/>
      <c r="BK115" s="23"/>
      <c r="BL115" s="14"/>
      <c r="BM115" s="23"/>
      <c r="BN115" s="14"/>
      <c r="BO115" s="23"/>
      <c r="BP115" s="14"/>
      <c r="BQ115" s="23"/>
      <c r="BR115" s="14"/>
      <c r="BS115" s="23"/>
      <c r="BT115" s="14"/>
      <c r="BU115" s="23"/>
      <c r="BV115" s="14"/>
      <c r="BW115" s="23"/>
      <c r="BX115" s="14"/>
      <c r="BY115" s="23"/>
      <c r="BZ115" s="14"/>
      <c r="CA115" s="23"/>
      <c r="CB115" s="14"/>
      <c r="CC115" s="23"/>
      <c r="CD115" s="14"/>
      <c r="CE115" s="23"/>
      <c r="CF115" s="14"/>
      <c r="CG115" s="23"/>
      <c r="CH115" s="14"/>
      <c r="CI115" s="23"/>
      <c r="CJ115" s="14"/>
      <c r="CK115" s="23"/>
      <c r="CL115" s="14"/>
      <c r="CM115" s="23"/>
      <c r="CN115" s="14"/>
      <c r="CO115" s="23"/>
      <c r="CP115" s="14"/>
    </row>
    <row r="116" spans="1:94" x14ac:dyDescent="0.25">
      <c r="A116" s="42"/>
      <c r="B116" s="14"/>
      <c r="C116" s="23"/>
      <c r="D116" s="23"/>
      <c r="E116" s="23"/>
      <c r="F116" s="23"/>
      <c r="G116" s="23"/>
      <c r="H116" s="23"/>
      <c r="I116" s="23"/>
      <c r="J116" s="14"/>
      <c r="K116" s="23"/>
      <c r="L116" s="23"/>
      <c r="M116" s="23"/>
      <c r="N116" s="23"/>
      <c r="O116" s="23"/>
      <c r="P116" s="23"/>
      <c r="Q116" s="23"/>
      <c r="R116" s="14"/>
      <c r="S116" s="23"/>
      <c r="T116" s="23"/>
      <c r="U116" s="23"/>
      <c r="V116" s="23"/>
      <c r="W116" s="23"/>
      <c r="X116" s="23"/>
      <c r="Y116" s="23"/>
      <c r="Z116" s="23">
        <v>629.92999999999995</v>
      </c>
      <c r="AA116" s="23" t="s">
        <v>9722</v>
      </c>
      <c r="AB116" s="23"/>
      <c r="AC116" s="23"/>
      <c r="AD116" s="23"/>
      <c r="AE116" s="23"/>
      <c r="AF116" s="14"/>
      <c r="AG116" s="23"/>
      <c r="AH116" s="14">
        <v>2500</v>
      </c>
      <c r="AI116" s="23" t="s">
        <v>9902</v>
      </c>
      <c r="AJ116" s="23"/>
      <c r="AK116" s="23"/>
      <c r="AL116" s="23"/>
      <c r="AM116" s="23"/>
      <c r="AN116" s="23"/>
      <c r="AO116" s="23"/>
      <c r="AP116" s="23"/>
      <c r="AQ116" s="23"/>
      <c r="AR116" s="14"/>
      <c r="AS116" s="23"/>
      <c r="AT116" s="14">
        <v>3250.01</v>
      </c>
      <c r="AU116" s="23" t="s">
        <v>10152</v>
      </c>
      <c r="AV116" s="23"/>
      <c r="AW116" s="23"/>
      <c r="AX116" s="23"/>
      <c r="AY116" s="23"/>
      <c r="AZ116" s="23"/>
      <c r="BA116" s="23"/>
      <c r="BB116" s="23"/>
      <c r="BC116" s="23"/>
      <c r="BD116" s="14"/>
      <c r="BE116" s="23"/>
      <c r="BF116" s="23"/>
      <c r="BG116" s="23"/>
      <c r="BH116" s="153"/>
      <c r="BI116" s="120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</row>
    <row r="117" spans="1:94" x14ac:dyDescent="0.25">
      <c r="A117" s="43"/>
      <c r="B117" s="23"/>
      <c r="C117" s="13"/>
      <c r="D117" s="11"/>
      <c r="E117" s="13"/>
      <c r="F117" s="11"/>
      <c r="G117" s="13"/>
      <c r="H117" s="11"/>
      <c r="I117" s="13"/>
      <c r="J117" s="13"/>
      <c r="K117" s="13"/>
      <c r="L117" s="11"/>
      <c r="M117" s="13"/>
      <c r="N117" s="11"/>
      <c r="O117" s="13"/>
      <c r="P117" s="23"/>
      <c r="Q117" s="13"/>
      <c r="R117" s="14"/>
      <c r="S117" s="13"/>
      <c r="T117" s="11"/>
      <c r="U117" s="13"/>
      <c r="V117" s="11"/>
      <c r="W117" s="13"/>
      <c r="X117" s="11"/>
      <c r="Y117" s="13"/>
      <c r="Z117" s="11"/>
      <c r="AA117" s="13"/>
      <c r="AB117" s="11"/>
      <c r="AC117" s="13"/>
      <c r="AD117" s="11"/>
      <c r="AE117" s="13"/>
      <c r="AF117" s="15"/>
      <c r="AG117" s="13"/>
      <c r="AH117" s="11">
        <v>579.70000000000005</v>
      </c>
      <c r="AI117" s="13" t="s">
        <v>9917</v>
      </c>
      <c r="AJ117" s="11"/>
      <c r="AK117" s="13"/>
      <c r="AL117" s="11"/>
      <c r="AM117" s="13"/>
      <c r="AN117" s="11"/>
      <c r="AO117" s="13"/>
      <c r="AP117" s="11"/>
      <c r="AQ117" s="13"/>
      <c r="AR117" s="23"/>
      <c r="AS117" s="13"/>
      <c r="AT117" s="11"/>
      <c r="AU117" s="13"/>
      <c r="AV117" s="11"/>
      <c r="AW117" s="13"/>
      <c r="AX117" s="11"/>
      <c r="AY117" s="13"/>
      <c r="AZ117" s="11"/>
      <c r="BA117" s="13"/>
      <c r="BB117" s="11"/>
      <c r="BC117" s="13"/>
      <c r="BD117" s="15"/>
      <c r="BE117" s="13"/>
      <c r="BF117" s="11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  <c r="CO117" s="13"/>
      <c r="CP117" s="11"/>
    </row>
    <row r="118" spans="1:94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23"/>
      <c r="S118" s="13"/>
      <c r="T118" s="11"/>
      <c r="U118" s="13"/>
      <c r="V118" s="11"/>
      <c r="W118" s="13"/>
      <c r="X118" s="11"/>
      <c r="Y118" s="13"/>
      <c r="Z118" s="11"/>
      <c r="AA118" s="13"/>
      <c r="AB118" s="11"/>
      <c r="AC118" s="13"/>
      <c r="AD118" s="11"/>
      <c r="AE118" s="13"/>
      <c r="AF118" s="11"/>
      <c r="AG118" s="13"/>
      <c r="AH118" s="111">
        <f>+AH117+AH116</f>
        <v>3079.7</v>
      </c>
      <c r="AI118" s="13"/>
      <c r="AJ118" s="11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"/>
      <c r="BA118" s="13"/>
      <c r="BB118" s="11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  <c r="CO118" s="13"/>
      <c r="CP118" s="11"/>
    </row>
    <row r="119" spans="1:94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1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  <c r="CO119" s="13"/>
      <c r="CP119" s="11"/>
    </row>
    <row r="120" spans="1:94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1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  <c r="CO120" s="13"/>
      <c r="CP120" s="11"/>
    </row>
    <row r="121" spans="1:94" x14ac:dyDescent="0.25">
      <c r="A121" s="43"/>
      <c r="B121" s="11"/>
      <c r="C121" s="13"/>
      <c r="D121" s="11"/>
      <c r="E121" s="13"/>
      <c r="F121" s="11"/>
      <c r="G121" s="13"/>
      <c r="H121" s="11"/>
      <c r="I121" s="13"/>
      <c r="J121" s="11"/>
      <c r="K121" s="13"/>
      <c r="L121" s="11"/>
      <c r="M121" s="13"/>
      <c r="N121" s="11"/>
      <c r="O121" s="13"/>
      <c r="P121" s="11"/>
      <c r="Q121" s="13"/>
      <c r="R121" s="11"/>
      <c r="S121" s="13"/>
      <c r="T121" s="11"/>
      <c r="U121" s="13"/>
      <c r="V121" s="11"/>
      <c r="W121" s="13"/>
      <c r="X121" s="11"/>
      <c r="Y121" s="13"/>
      <c r="Z121" s="11"/>
      <c r="AA121" s="13"/>
      <c r="AB121" s="11"/>
      <c r="AC121" s="13"/>
      <c r="AD121" s="11"/>
      <c r="AE121" s="13"/>
      <c r="AF121" s="11"/>
      <c r="AG121" s="13"/>
      <c r="AH121" s="11"/>
      <c r="AI121" s="13"/>
      <c r="AJ121" s="11"/>
      <c r="AK121" s="13"/>
      <c r="AL121" s="11"/>
      <c r="AM121" s="13"/>
      <c r="AN121" s="11"/>
      <c r="AO121" s="13"/>
      <c r="AP121" s="11"/>
      <c r="AQ121" s="13"/>
      <c r="AR121" s="11"/>
      <c r="AS121" s="13"/>
      <c r="AT121" s="11"/>
      <c r="AU121" s="13"/>
      <c r="AV121" s="11"/>
      <c r="AW121" s="13"/>
      <c r="AX121" s="11"/>
      <c r="AY121" s="13"/>
      <c r="AZ121" s="11"/>
      <c r="BA121" s="13"/>
      <c r="BB121" s="11"/>
      <c r="BC121" s="13"/>
      <c r="BD121" s="11"/>
      <c r="BE121" s="13"/>
      <c r="BF121" s="11"/>
      <c r="BG121" s="13"/>
      <c r="BH121" s="11"/>
      <c r="BI121" s="13"/>
      <c r="BJ121" s="11"/>
      <c r="BK121" s="13"/>
      <c r="BL121" s="11"/>
      <c r="BM121" s="13"/>
      <c r="BN121" s="11"/>
      <c r="BO121" s="13"/>
      <c r="BP121" s="11"/>
      <c r="BQ121" s="13"/>
      <c r="BR121" s="11"/>
      <c r="BS121" s="13"/>
      <c r="BT121" s="11"/>
      <c r="BU121" s="13"/>
      <c r="BV121" s="11"/>
      <c r="BW121" s="13"/>
      <c r="BX121" s="11"/>
      <c r="BY121" s="13"/>
      <c r="BZ121" s="11"/>
      <c r="CA121" s="13"/>
      <c r="CB121" s="11"/>
      <c r="CC121" s="13"/>
      <c r="CD121" s="11"/>
      <c r="CE121" s="13"/>
      <c r="CF121" s="11"/>
      <c r="CG121" s="13"/>
      <c r="CH121" s="11"/>
      <c r="CI121" s="13"/>
      <c r="CJ121" s="11"/>
      <c r="CK121" s="13"/>
      <c r="CL121" s="11"/>
      <c r="CM121" s="13"/>
      <c r="CN121" s="11"/>
      <c r="CO121" s="13"/>
      <c r="CP121" s="11"/>
    </row>
    <row r="122" spans="1:94" x14ac:dyDescent="0.25">
      <c r="A122" s="42" t="s">
        <v>5</v>
      </c>
      <c r="B122" s="14">
        <f>+B62+B72</f>
        <v>46354.58</v>
      </c>
      <c r="C122" s="23"/>
      <c r="D122" s="14">
        <f>+D59+D66</f>
        <v>20196.43</v>
      </c>
      <c r="E122" s="23"/>
      <c r="F122" s="14">
        <f>+F62+F76</f>
        <v>79000.790000000008</v>
      </c>
      <c r="G122" s="23"/>
      <c r="H122" s="14">
        <f>+H67+H72</f>
        <v>20004.449999999997</v>
      </c>
      <c r="I122" s="23"/>
      <c r="J122" s="14">
        <f>+J77</f>
        <v>89561.160000000018</v>
      </c>
      <c r="K122" s="23"/>
      <c r="L122" s="14"/>
      <c r="M122" s="23"/>
      <c r="N122" s="14">
        <f>+N63+N79</f>
        <v>72275.23</v>
      </c>
      <c r="O122" s="23"/>
      <c r="P122" s="14">
        <f>+P63+P74</f>
        <v>30820.16</v>
      </c>
      <c r="Q122" s="23"/>
      <c r="R122" s="14">
        <f>+R61+R74</f>
        <v>28171.410000000003</v>
      </c>
      <c r="S122" s="23"/>
      <c r="T122" s="14">
        <f>+T63</f>
        <v>6395</v>
      </c>
      <c r="U122" s="23"/>
      <c r="V122" s="14">
        <f>+V68+V80</f>
        <v>86962.57</v>
      </c>
      <c r="W122" s="23"/>
      <c r="X122" s="14">
        <f>+X71</f>
        <v>43678.9</v>
      </c>
      <c r="Y122" s="23"/>
      <c r="Z122" s="14">
        <f>+Z61+Z73</f>
        <v>122040.36000000002</v>
      </c>
      <c r="AA122" s="23"/>
      <c r="AB122" s="14">
        <f>+AB66+AB75</f>
        <v>58558.62000000001</v>
      </c>
      <c r="AC122" s="23"/>
      <c r="AD122" s="14">
        <f>+AD65+AD74</f>
        <v>22005.38</v>
      </c>
      <c r="AE122" s="23"/>
      <c r="AF122" s="14">
        <f>+AF61+AF73</f>
        <v>38654.29</v>
      </c>
      <c r="AG122" s="23"/>
      <c r="AH122" s="14">
        <f>+AH59+AH71</f>
        <v>37396.07</v>
      </c>
      <c r="AI122" s="23"/>
      <c r="AJ122" s="14">
        <f>+AJ74</f>
        <v>48136.679999999993</v>
      </c>
      <c r="AK122" s="23"/>
      <c r="AL122" s="14">
        <f>+AL61</f>
        <v>10000</v>
      </c>
      <c r="AM122" s="23"/>
      <c r="AN122" s="14">
        <f>+AN59+AN68</f>
        <v>239109.17</v>
      </c>
      <c r="AO122" s="23"/>
      <c r="AP122" s="14">
        <f>+AP66+AP72</f>
        <v>226901.59000000003</v>
      </c>
      <c r="AQ122" s="23"/>
      <c r="AR122" s="14">
        <f>+AR68</f>
        <v>114223.6</v>
      </c>
      <c r="AS122" s="23"/>
      <c r="AT122" s="14">
        <f>+AT63+AT71</f>
        <v>36919.74</v>
      </c>
      <c r="AU122" s="23"/>
      <c r="AV122" s="14">
        <f>+AV73+AV78</f>
        <v>50353.970000000008</v>
      </c>
      <c r="AW122" s="23"/>
      <c r="AX122" s="14">
        <f>+AX74</f>
        <v>56827.580000000009</v>
      </c>
      <c r="AY122" s="23"/>
      <c r="AZ122" s="14">
        <f>+AZ62+AZ68</f>
        <v>80158.990000000005</v>
      </c>
      <c r="BA122" s="23"/>
      <c r="BB122" s="14">
        <f>+BB62+BB71</f>
        <v>275760.19000000006</v>
      </c>
      <c r="BC122" s="23"/>
      <c r="BD122" s="14">
        <f>+BD65</f>
        <v>33463.279999999999</v>
      </c>
      <c r="BE122" s="23"/>
      <c r="BF122" s="14">
        <f>+BF64+BF74</f>
        <v>71658.099999999991</v>
      </c>
      <c r="BG122" s="23"/>
      <c r="BH122" s="14"/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  <c r="CO122" s="23"/>
      <c r="CP122" s="14"/>
    </row>
    <row r="123" spans="1:94" x14ac:dyDescent="0.25">
      <c r="A123" s="42" t="s">
        <v>8</v>
      </c>
      <c r="B123" s="14">
        <f>+B98</f>
        <v>16134.92</v>
      </c>
      <c r="C123" s="23"/>
      <c r="D123" s="14">
        <f>+D95+D101</f>
        <v>23037.54</v>
      </c>
      <c r="E123" s="23"/>
      <c r="F123" s="14">
        <f>+F97</f>
        <v>29638.23</v>
      </c>
      <c r="G123" s="23"/>
      <c r="H123" s="14">
        <f>+H99+H103</f>
        <v>24001.190000000002</v>
      </c>
      <c r="I123" s="23"/>
      <c r="J123" s="14">
        <f>+J98</f>
        <v>29676</v>
      </c>
      <c r="K123" s="23"/>
      <c r="L123" s="14"/>
      <c r="M123" s="23"/>
      <c r="N123" s="14">
        <f>+N94+N99</f>
        <v>13963.029999999999</v>
      </c>
      <c r="O123" s="23"/>
      <c r="P123" s="14">
        <f>+P94+P98</f>
        <v>3382.21</v>
      </c>
      <c r="Q123" s="23"/>
      <c r="R123" s="14">
        <f>+R95+R103</f>
        <v>7445.76</v>
      </c>
      <c r="S123" s="23"/>
      <c r="T123" s="14">
        <f>+T94</f>
        <v>2966.8</v>
      </c>
      <c r="U123" s="23"/>
      <c r="V123" s="14">
        <f>+V94+V99</f>
        <v>10942.98</v>
      </c>
      <c r="W123" s="23"/>
      <c r="X123" s="14">
        <f>+X98</f>
        <v>6955.66</v>
      </c>
      <c r="Y123" s="23"/>
      <c r="Z123" s="14">
        <f>+Z94+Z96</f>
        <v>34750.480000000003</v>
      </c>
      <c r="AA123" s="23"/>
      <c r="AB123" s="14">
        <f>+AB94+AB99</f>
        <v>13289.74</v>
      </c>
      <c r="AC123" s="23"/>
      <c r="AD123" s="14">
        <f>+AD92</f>
        <v>1169</v>
      </c>
      <c r="AE123" s="23"/>
      <c r="AF123" s="14">
        <f>+AF92+AF102</f>
        <v>27445.74</v>
      </c>
      <c r="AG123" s="23"/>
      <c r="AH123" s="14">
        <f>+AH97</f>
        <v>11348.01</v>
      </c>
      <c r="AI123" s="23"/>
      <c r="AJ123" s="14">
        <f>+AJ100</f>
        <v>14711.94</v>
      </c>
      <c r="AK123" s="23"/>
      <c r="AL123" s="14">
        <f>+AL92</f>
        <v>5000</v>
      </c>
      <c r="AM123" s="23"/>
      <c r="AN123" s="14">
        <f>+AN95+AN100</f>
        <v>33896.99</v>
      </c>
      <c r="AO123" s="23"/>
      <c r="AP123" s="14">
        <f>+AP97+AP103</f>
        <v>16895.84</v>
      </c>
      <c r="AQ123" s="23"/>
      <c r="AR123" s="14">
        <f>+AR99+AR105</f>
        <v>30428.290000000005</v>
      </c>
      <c r="AS123" s="23"/>
      <c r="AT123" s="14">
        <f>+AT99</f>
        <v>14375.52</v>
      </c>
      <c r="AU123" s="23"/>
      <c r="AV123" s="14">
        <f>+AV97+AV101</f>
        <v>23077.69</v>
      </c>
      <c r="AW123" s="23"/>
      <c r="AX123" s="14">
        <f>+AX98</f>
        <v>20349.010000000002</v>
      </c>
      <c r="AY123" s="23"/>
      <c r="AZ123" s="14">
        <f>+AZ92+AZ97</f>
        <v>23595.59</v>
      </c>
      <c r="BA123" s="23"/>
      <c r="BB123" s="14">
        <f>+BB94+BB106</f>
        <v>29233.39</v>
      </c>
      <c r="BC123" s="23"/>
      <c r="BD123" s="14">
        <f>+BD94+BD96</f>
        <v>6215.2800000000007</v>
      </c>
      <c r="BE123" s="23"/>
      <c r="BF123" s="14">
        <f>+BF99</f>
        <v>13020.14</v>
      </c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  <c r="CO123" s="23"/>
      <c r="CP123" s="14"/>
    </row>
    <row r="124" spans="1:94" x14ac:dyDescent="0.25">
      <c r="A124" s="42" t="s">
        <v>7</v>
      </c>
      <c r="B124" s="14">
        <f>+B114</f>
        <v>2430</v>
      </c>
      <c r="C124" s="23"/>
      <c r="D124" s="14"/>
      <c r="E124" s="23"/>
      <c r="F124" s="14"/>
      <c r="G124" s="23"/>
      <c r="H124" s="14"/>
      <c r="I124" s="23"/>
      <c r="J124" s="14"/>
      <c r="K124" s="23"/>
      <c r="L124" s="14"/>
      <c r="M124" s="23"/>
      <c r="N124" s="144">
        <f>+N121+N122+N123</f>
        <v>86238.26</v>
      </c>
      <c r="O124" s="23"/>
      <c r="P124" s="14">
        <f>+P114</f>
        <v>1099.01</v>
      </c>
      <c r="Q124" s="23"/>
      <c r="R124" s="14"/>
      <c r="S124" s="23"/>
      <c r="T124" s="14"/>
      <c r="U124" s="23"/>
      <c r="V124" s="14">
        <f>+V114</f>
        <v>8867.56</v>
      </c>
      <c r="W124" s="23"/>
      <c r="X124" s="14">
        <f>+X114</f>
        <v>3250.1</v>
      </c>
      <c r="Y124" s="23"/>
      <c r="Z124" s="14">
        <f>+Z114+Z116</f>
        <v>6117.0700000000006</v>
      </c>
      <c r="AA124" s="23"/>
      <c r="AB124" s="14"/>
      <c r="AC124" s="23"/>
      <c r="AD124" s="14">
        <f>+AD114</f>
        <v>1419</v>
      </c>
      <c r="AE124" s="23"/>
      <c r="AF124" s="14"/>
      <c r="AG124" s="23"/>
      <c r="AH124" s="14">
        <f>+AH114+AH118</f>
        <v>4599.1499999999996</v>
      </c>
      <c r="AI124" s="23"/>
      <c r="AJ124" s="14">
        <f>+AJ114</f>
        <v>0</v>
      </c>
      <c r="AK124" s="23"/>
      <c r="AL124" s="14"/>
      <c r="AM124" s="23"/>
      <c r="AN124" s="14"/>
      <c r="AO124" s="23"/>
      <c r="AP124" s="14"/>
      <c r="AQ124" s="23"/>
      <c r="AR124" s="14"/>
      <c r="AS124" s="23"/>
      <c r="AT124" s="14">
        <f>+AT114+AT116</f>
        <v>4419.01</v>
      </c>
      <c r="AU124" s="23"/>
      <c r="AV124" s="14">
        <f>+AV114</f>
        <v>2040</v>
      </c>
      <c r="AW124" s="23"/>
      <c r="AX124" s="14"/>
      <c r="AY124" s="23"/>
      <c r="AZ124" s="14"/>
      <c r="BA124" s="23"/>
      <c r="BB124" s="14"/>
      <c r="BC124" s="23"/>
      <c r="BD124" s="14">
        <f>+BD114</f>
        <v>0</v>
      </c>
      <c r="BE124" s="23"/>
      <c r="BF124" s="14">
        <f>+BF114</f>
        <v>2866</v>
      </c>
      <c r="BG124" s="23"/>
      <c r="BH124" s="14"/>
      <c r="BI124" s="23"/>
      <c r="BJ124" s="14"/>
      <c r="BK124" s="23"/>
      <c r="BL124" s="14"/>
      <c r="BM124" s="23"/>
      <c r="BN124" s="14"/>
      <c r="BO124" s="23"/>
      <c r="BP124" s="14"/>
      <c r="BQ124" s="23"/>
      <c r="BR124" s="14"/>
      <c r="BS124" s="23"/>
      <c r="BT124" s="14"/>
      <c r="BU124" s="23"/>
      <c r="BV124" s="14"/>
      <c r="BW124" s="23"/>
      <c r="BX124" s="14"/>
      <c r="BY124" s="23"/>
      <c r="BZ124" s="14"/>
      <c r="CA124" s="23"/>
      <c r="CB124" s="14"/>
      <c r="CC124" s="23"/>
      <c r="CD124" s="14"/>
      <c r="CE124" s="23"/>
      <c r="CF124" s="14"/>
      <c r="CG124" s="23"/>
      <c r="CH124" s="14"/>
      <c r="CI124" s="23"/>
      <c r="CJ124" s="14"/>
      <c r="CK124" s="23"/>
      <c r="CL124" s="14"/>
      <c r="CM124" s="23"/>
      <c r="CN124" s="14"/>
      <c r="CO124" s="23"/>
      <c r="CP124" s="14"/>
    </row>
    <row r="125" spans="1:94" x14ac:dyDescent="0.25">
      <c r="A125" s="44" t="s">
        <v>9</v>
      </c>
      <c r="B125" s="144">
        <f>+B122+B123+B124</f>
        <v>64919.5</v>
      </c>
      <c r="C125" s="144"/>
      <c r="D125" s="144">
        <f>+D122+D123+D124</f>
        <v>43233.97</v>
      </c>
      <c r="E125" s="144"/>
      <c r="F125" s="144">
        <f>+F122+F123+F124</f>
        <v>108639.02</v>
      </c>
      <c r="G125" s="144"/>
      <c r="H125" s="144">
        <f>+H122+H123+H124</f>
        <v>44005.64</v>
      </c>
      <c r="I125" s="144"/>
      <c r="J125" s="144">
        <f>+J122+J123+J124</f>
        <v>119237.16000000002</v>
      </c>
      <c r="K125" s="144"/>
      <c r="L125" s="144"/>
      <c r="M125" s="144"/>
      <c r="N125" s="144">
        <f>6776.41+6273.02+65498.83+7690.01</f>
        <v>86238.27</v>
      </c>
      <c r="O125" s="144"/>
      <c r="P125" s="144">
        <f>+P122+P123+P124</f>
        <v>35301.380000000005</v>
      </c>
      <c r="Q125" s="144"/>
      <c r="R125" s="144">
        <f>+R122+R123+R124</f>
        <v>35617.170000000006</v>
      </c>
      <c r="S125" s="144"/>
      <c r="T125" s="144">
        <f>+T122+T123+T124</f>
        <v>9361.7999999999993</v>
      </c>
      <c r="U125" s="144"/>
      <c r="V125" s="144">
        <f>+V122+V123+V124</f>
        <v>106773.11</v>
      </c>
      <c r="W125" s="144"/>
      <c r="X125" s="144">
        <f>+X122+X123+X124</f>
        <v>53884.659999999996</v>
      </c>
      <c r="Y125" s="144"/>
      <c r="Z125" s="144">
        <f>+Z122+Z123+Z124</f>
        <v>162907.91000000003</v>
      </c>
      <c r="AA125" s="144"/>
      <c r="AB125" s="144">
        <f>+AB122+AB123+AB124</f>
        <v>71848.360000000015</v>
      </c>
      <c r="AC125" s="144"/>
      <c r="AD125" s="144">
        <f>+AD122+AD123+AD124</f>
        <v>24593.38</v>
      </c>
      <c r="AE125" s="144"/>
      <c r="AF125" s="144">
        <f>+AF122+AF123+AF124</f>
        <v>66100.03</v>
      </c>
      <c r="AG125" s="144"/>
      <c r="AH125" s="144">
        <f>+AH122+AH123+AH124</f>
        <v>53343.23</v>
      </c>
      <c r="AI125" s="144"/>
      <c r="AJ125" s="144">
        <f>+AJ122+AJ123+AJ124</f>
        <v>62848.619999999995</v>
      </c>
      <c r="AK125" s="144"/>
      <c r="AL125" s="144">
        <f>+AL122+AL123+AL124</f>
        <v>15000</v>
      </c>
      <c r="AM125" s="144"/>
      <c r="AN125" s="144">
        <f>+AN122+AN123+AN124</f>
        <v>273006.16000000003</v>
      </c>
      <c r="AO125" s="144"/>
      <c r="AP125" s="144">
        <f>+AP122+AP123+AP124</f>
        <v>243797.43000000002</v>
      </c>
      <c r="AQ125" s="144"/>
      <c r="AR125" s="144">
        <f>+AR122+AR123+AR124</f>
        <v>144651.89000000001</v>
      </c>
      <c r="AS125" s="144"/>
      <c r="AT125" s="144">
        <f>+AT122+AT123+AT124</f>
        <v>55714.27</v>
      </c>
      <c r="AU125" s="144"/>
      <c r="AV125" s="144">
        <f>+AV122+AV123+AV124</f>
        <v>75471.66</v>
      </c>
      <c r="AW125" s="144"/>
      <c r="AX125" s="144">
        <f>+AX122+AX123+AX124</f>
        <v>77176.590000000011</v>
      </c>
      <c r="AY125" s="144"/>
      <c r="AZ125" s="144">
        <f>+AZ122+AZ123+AZ124</f>
        <v>103754.58</v>
      </c>
      <c r="BA125" s="144"/>
      <c r="BB125" s="144">
        <f>+BB122+BB123+BB124</f>
        <v>304993.58000000007</v>
      </c>
      <c r="BC125" s="144"/>
      <c r="BD125" s="144">
        <f>+BD122+BD123+BD124</f>
        <v>39678.559999999998</v>
      </c>
      <c r="BE125" s="144"/>
      <c r="BF125" s="144">
        <f>+BF122+BF123+BF124</f>
        <v>87544.239999999991</v>
      </c>
      <c r="BG125" s="144"/>
      <c r="BH125" s="144"/>
      <c r="BI125" s="14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</row>
    <row r="126" spans="1:94" x14ac:dyDescent="0.25">
      <c r="A126" s="44"/>
      <c r="B126" s="144">
        <f>18139.01+28215.57+16134.92+2430</f>
        <v>64919.5</v>
      </c>
      <c r="C126" s="144"/>
      <c r="D126" s="144">
        <f>6442.44+17839.96+13753.99+5197.58</f>
        <v>43233.97</v>
      </c>
      <c r="E126" s="144"/>
      <c r="F126" s="144">
        <f>10634+68366.78+29638.23</f>
        <v>108639.01</v>
      </c>
      <c r="G126" s="144"/>
      <c r="H126" s="144">
        <f>17865.65+15820.02+2138.83+8181.17</f>
        <v>44005.67</v>
      </c>
      <c r="I126" s="144"/>
      <c r="J126" s="144">
        <f>89560.95+29676</f>
        <v>119236.95</v>
      </c>
      <c r="K126" s="144"/>
      <c r="L126" s="144"/>
      <c r="M126" s="144"/>
      <c r="N126" s="145">
        <f>+N124-N125</f>
        <v>-1.0000000009313226E-2</v>
      </c>
      <c r="O126" s="144"/>
      <c r="P126" s="144">
        <f>8957.32+2504+21862.85+878.21+1099.01</f>
        <v>35301.39</v>
      </c>
      <c r="Q126" s="144"/>
      <c r="R126" s="144">
        <f>3400+2221.47+24771.41+5224.29</f>
        <v>35617.17</v>
      </c>
      <c r="S126" s="144"/>
      <c r="T126" s="144">
        <f>6395+2966.8</f>
        <v>9361.7999999999993</v>
      </c>
      <c r="U126" s="144"/>
      <c r="V126" s="144">
        <f>41545.86+5359.99+45416.71+5582.99+8867.56</f>
        <v>106773.11</v>
      </c>
      <c r="W126" s="144"/>
      <c r="X126" s="144">
        <f>43678.82+6955.66+3250.1</f>
        <v>53884.579999999994</v>
      </c>
      <c r="Y126" s="144"/>
      <c r="Z126" s="144">
        <f>119842.33+33232.11+629.93+2198.03+1518.37+5487.14</f>
        <v>162907.91</v>
      </c>
      <c r="AA126" s="144"/>
      <c r="AB126" s="144">
        <f>10980.23+7813.49+47578.39+5475.75</f>
        <v>71847.86</v>
      </c>
      <c r="AC126" s="144"/>
      <c r="AD126" s="144">
        <f>8161.73+13843.65+1169+1419</f>
        <v>24593.379999999997</v>
      </c>
      <c r="AE126" s="144"/>
      <c r="AF126" s="144">
        <f>2153.54+1198.99+36500.75+26247.15</f>
        <v>66100.429999999993</v>
      </c>
      <c r="AG126" s="144"/>
      <c r="AH126" s="144">
        <f>3250+1519.45+34146.08+11348.01+3076.7</f>
        <v>53340.24</v>
      </c>
      <c r="AI126" s="144"/>
      <c r="AJ126" s="144">
        <f>48136.68+14711.94</f>
        <v>62848.62</v>
      </c>
      <c r="AK126" s="144"/>
      <c r="AL126" s="144">
        <v>15000</v>
      </c>
      <c r="AM126" s="144"/>
      <c r="AN126" s="144">
        <f>991.71+26169+238117.45+7727.99</f>
        <v>273006.15000000002</v>
      </c>
      <c r="AO126" s="144"/>
      <c r="AP126" s="144">
        <f>215752.95+13118.36+11148.64+3777.48</f>
        <v>243797.43000000002</v>
      </c>
      <c r="AQ126" s="144"/>
      <c r="AR126" s="144">
        <f>23600.79+114223.6+6827.5</f>
        <v>144651.89000000001</v>
      </c>
      <c r="AS126" s="144"/>
      <c r="AT126" s="144">
        <f>25646.74+1169+11273+14375.52+3250.01</f>
        <v>55714.270000000011</v>
      </c>
      <c r="AU126" s="144"/>
      <c r="AV126" s="144">
        <f>42214.96+20234.34+8139.01+2843.3585+2040</f>
        <v>75471.6685</v>
      </c>
      <c r="AW126" s="144"/>
      <c r="AX126" s="144">
        <f>56827.58+20349.01</f>
        <v>77176.59</v>
      </c>
      <c r="AY126" s="144"/>
      <c r="AZ126" s="144">
        <f>55500+7269.51+24658.99+16326.08</f>
        <v>103754.58</v>
      </c>
      <c r="BA126" s="144"/>
      <c r="BB126" s="144">
        <f>6048.96+1250.34+269711.23+27983.05</f>
        <v>304993.57999999996</v>
      </c>
      <c r="BC126" s="144"/>
      <c r="BD126" s="144">
        <f>2732.01+33463.28+3483.27</f>
        <v>39678.559999999998</v>
      </c>
      <c r="BE126" s="144"/>
      <c r="BF126" s="144">
        <f>40600.03+2866+31058.07+13020.14</f>
        <v>87544.24</v>
      </c>
      <c r="BG126" s="144"/>
      <c r="BH126" s="144"/>
      <c r="BI126" s="14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</row>
    <row r="127" spans="1:94" x14ac:dyDescent="0.25">
      <c r="A127" s="44" t="s">
        <v>3</v>
      </c>
      <c r="B127" s="145">
        <f>+B125-B126</f>
        <v>0</v>
      </c>
      <c r="C127" s="145"/>
      <c r="D127" s="145">
        <f>+D125-D126</f>
        <v>0</v>
      </c>
      <c r="E127" s="145"/>
      <c r="F127" s="145">
        <f>+F125-F126</f>
        <v>1.0000000009313226E-2</v>
      </c>
      <c r="G127" s="145"/>
      <c r="H127" s="145">
        <f>+H125-H126</f>
        <v>-2.9999999998835847E-2</v>
      </c>
      <c r="I127" s="145"/>
      <c r="J127" s="145">
        <f>+J125-J126</f>
        <v>0.21000000002095476</v>
      </c>
      <c r="K127" s="145"/>
      <c r="L127" s="145"/>
      <c r="M127" s="145"/>
      <c r="N127" s="145"/>
      <c r="O127" s="145"/>
      <c r="P127" s="145">
        <f>+P125-P126</f>
        <v>-9.9999999947613105E-3</v>
      </c>
      <c r="Q127" s="145"/>
      <c r="R127" s="145">
        <f>+R125-R126</f>
        <v>0</v>
      </c>
      <c r="S127" s="145"/>
      <c r="T127" s="145">
        <f>+T125-T126</f>
        <v>0</v>
      </c>
      <c r="U127" s="145"/>
      <c r="V127" s="145">
        <f>+V125-V126</f>
        <v>0</v>
      </c>
      <c r="W127" s="145"/>
      <c r="X127" s="145">
        <f>+X125-X126</f>
        <v>8.000000000174623E-2</v>
      </c>
      <c r="Y127" s="145"/>
      <c r="Z127" s="145">
        <f>+Z125-Z126</f>
        <v>0</v>
      </c>
      <c r="AA127" s="145"/>
      <c r="AB127" s="145">
        <f>+AB125-AB126</f>
        <v>0.50000000001455192</v>
      </c>
      <c r="AC127" s="145"/>
      <c r="AD127" s="145">
        <f>+AD125-AD126</f>
        <v>0</v>
      </c>
      <c r="AE127" s="145"/>
      <c r="AF127" s="145">
        <f>+AF125-AF126</f>
        <v>-0.39999999999417923</v>
      </c>
      <c r="AG127" s="145"/>
      <c r="AH127" s="145">
        <f>+AH125-AH126</f>
        <v>2.9900000000052387</v>
      </c>
      <c r="AI127" s="145"/>
      <c r="AJ127" s="145">
        <f>+AJ125-AJ126</f>
        <v>0</v>
      </c>
      <c r="AK127" s="145"/>
      <c r="AL127" s="145">
        <f>+AL125-AL126</f>
        <v>0</v>
      </c>
      <c r="AM127" s="145"/>
      <c r="AN127" s="145">
        <f>+AN125-AN126</f>
        <v>1.0000000009313226E-2</v>
      </c>
      <c r="AO127" s="145"/>
      <c r="AP127" s="145">
        <f>+AP125-AP126</f>
        <v>0</v>
      </c>
      <c r="AQ127" s="145"/>
      <c r="AR127" s="145">
        <f>+AR125-AR126</f>
        <v>0</v>
      </c>
      <c r="AS127" s="145"/>
      <c r="AT127" s="145">
        <f>+AT125-AT126</f>
        <v>0</v>
      </c>
      <c r="AU127" s="145"/>
      <c r="AV127" s="145">
        <f>+AV125-AV126</f>
        <v>-8.4999999962747097E-3</v>
      </c>
      <c r="AW127" s="145"/>
      <c r="AX127" s="145">
        <f>+AX125-AX126</f>
        <v>0</v>
      </c>
      <c r="AY127" s="145"/>
      <c r="AZ127" s="145">
        <f>+AZ125-AZ126</f>
        <v>0</v>
      </c>
      <c r="BA127" s="145"/>
      <c r="BB127" s="145">
        <f>+BB125-BB126</f>
        <v>0</v>
      </c>
      <c r="BC127" s="145"/>
      <c r="BD127" s="145">
        <f>+BD125-BD126</f>
        <v>0</v>
      </c>
      <c r="BE127" s="145"/>
      <c r="BF127" s="145">
        <f>+BF125-BF126</f>
        <v>0</v>
      </c>
      <c r="BG127" s="145"/>
      <c r="BH127" s="145"/>
      <c r="BI127" s="145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</row>
    <row r="128" spans="1:94" x14ac:dyDescent="0.25">
      <c r="A128" s="48"/>
      <c r="B128" s="18"/>
      <c r="C128" s="59"/>
      <c r="D128" s="18"/>
      <c r="E128" s="59"/>
      <c r="F128" s="18"/>
      <c r="G128" s="59"/>
      <c r="H128" s="18"/>
      <c r="I128" s="59"/>
      <c r="J128" s="18"/>
      <c r="K128" s="59"/>
      <c r="L128" s="145"/>
      <c r="M128" s="59"/>
      <c r="N128" s="18"/>
      <c r="O128" s="59"/>
      <c r="P128" s="18"/>
      <c r="Q128" s="59"/>
      <c r="R128" s="18"/>
      <c r="S128" s="59"/>
      <c r="T128" s="18"/>
      <c r="U128" s="59"/>
      <c r="V128" s="18"/>
      <c r="W128" s="59"/>
      <c r="X128" s="18"/>
      <c r="Y128" s="59"/>
      <c r="Z128" s="18"/>
      <c r="AA128" s="59"/>
      <c r="AB128" s="18"/>
      <c r="AC128" s="59"/>
      <c r="AD128" s="18"/>
      <c r="AE128" s="59"/>
      <c r="AF128" s="18"/>
      <c r="AG128" s="59"/>
      <c r="AH128" s="18"/>
      <c r="AI128" s="59"/>
      <c r="AJ128" s="18"/>
      <c r="AK128" s="59"/>
      <c r="AL128" s="18"/>
      <c r="AM128" s="59"/>
      <c r="AN128" s="18"/>
      <c r="AO128" s="59"/>
      <c r="AP128" s="18"/>
      <c r="AQ128" s="59"/>
      <c r="AR128" s="18"/>
      <c r="AS128" s="59"/>
      <c r="AT128" s="18"/>
      <c r="AU128" s="59"/>
      <c r="AV128" s="18"/>
      <c r="AW128" s="59"/>
      <c r="AX128" s="18"/>
      <c r="AY128" s="59"/>
      <c r="AZ128" s="18"/>
      <c r="BA128" s="59"/>
      <c r="BB128" s="18"/>
      <c r="BC128" s="59"/>
      <c r="BD128" s="18"/>
      <c r="BE128" s="59"/>
      <c r="BF128" s="18"/>
      <c r="BG128" s="59"/>
      <c r="BH128" s="18"/>
      <c r="BI128" s="59"/>
      <c r="BJ128" s="75"/>
      <c r="BK128" s="25"/>
      <c r="BL128" s="75"/>
      <c r="BM128" s="25"/>
      <c r="BN128" s="75"/>
      <c r="BO128" s="25"/>
      <c r="BP128" s="75"/>
      <c r="BQ128" s="25"/>
      <c r="BR128" s="75"/>
      <c r="BS128" s="25"/>
      <c r="BT128" s="75"/>
      <c r="BU128" s="25"/>
      <c r="BV128" s="75"/>
      <c r="BW128" s="25"/>
      <c r="BX128" s="75"/>
      <c r="BY128" s="25"/>
      <c r="BZ128" s="75"/>
      <c r="CA128" s="25"/>
      <c r="CB128" s="75"/>
      <c r="CC128" s="25"/>
      <c r="CD128" s="75"/>
      <c r="CE128" s="25"/>
      <c r="CF128" s="76"/>
      <c r="CG128" s="234"/>
      <c r="CH128" s="76"/>
      <c r="CI128" s="234"/>
      <c r="CJ128" s="76"/>
      <c r="CK128" s="234"/>
      <c r="CL128" s="76"/>
      <c r="CM128" s="234"/>
      <c r="CN128" s="76"/>
      <c r="CO128" s="234"/>
      <c r="CP128" s="76"/>
    </row>
    <row r="129" spans="1:94" x14ac:dyDescent="0.25">
      <c r="A129" s="48"/>
      <c r="B129" s="163"/>
      <c r="C129" s="59"/>
      <c r="D129" s="163"/>
      <c r="E129" s="59"/>
      <c r="F129" s="163"/>
      <c r="G129" s="59"/>
      <c r="H129" s="163"/>
      <c r="I129" s="59"/>
      <c r="J129" s="163"/>
      <c r="K129" s="25"/>
      <c r="L129" s="163"/>
      <c r="M129" s="59"/>
      <c r="N129" s="163"/>
      <c r="O129" s="59"/>
      <c r="P129" s="163"/>
      <c r="Q129" s="59"/>
      <c r="R129" s="163"/>
      <c r="S129" s="59"/>
      <c r="T129" s="163"/>
      <c r="U129" s="59"/>
      <c r="V129" s="163"/>
      <c r="W129" s="59"/>
      <c r="X129" s="163"/>
      <c r="Y129" s="59"/>
      <c r="Z129" s="163"/>
      <c r="AA129" s="59"/>
      <c r="AB129" s="163"/>
      <c r="AC129" s="59"/>
      <c r="AD129" s="163"/>
      <c r="AE129" s="59"/>
      <c r="AF129" s="163"/>
      <c r="AG129" s="59"/>
      <c r="AH129" s="163"/>
      <c r="AI129" s="59"/>
      <c r="AJ129" s="163"/>
      <c r="AK129" s="59"/>
      <c r="AL129" s="163"/>
      <c r="AM129" s="59"/>
      <c r="AN129" s="163"/>
      <c r="AO129" s="59"/>
      <c r="AP129" s="163"/>
      <c r="AQ129" s="59"/>
      <c r="AR129" s="163"/>
      <c r="AS129" s="59"/>
      <c r="AT129" s="163"/>
      <c r="AU129" s="59"/>
      <c r="AV129" s="163"/>
      <c r="AW129" s="59"/>
      <c r="AX129" s="163"/>
      <c r="AY129" s="59"/>
      <c r="AZ129" s="163"/>
      <c r="BA129" s="59"/>
      <c r="BB129" s="163"/>
      <c r="BC129" s="59"/>
      <c r="BD129" s="163"/>
      <c r="BE129" s="59"/>
      <c r="BF129" s="163"/>
      <c r="BG129" s="59"/>
      <c r="BH129" s="163"/>
      <c r="BI129" s="59"/>
      <c r="BJ129" s="235"/>
      <c r="BK129" s="25"/>
      <c r="BL129" s="75"/>
      <c r="BM129" s="25"/>
      <c r="BN129" s="75"/>
      <c r="BO129" s="25"/>
      <c r="BP129" s="75"/>
      <c r="BQ129" s="25"/>
      <c r="BR129" s="75"/>
      <c r="BS129" s="25"/>
      <c r="BT129" s="75"/>
      <c r="BU129" s="25"/>
      <c r="BV129" s="75"/>
      <c r="BW129" s="25"/>
      <c r="BX129" s="75"/>
      <c r="BY129" s="25"/>
      <c r="BZ129" s="75"/>
      <c r="CA129" s="25"/>
      <c r="CB129" s="75"/>
      <c r="CC129" s="25"/>
      <c r="CD129" s="75"/>
      <c r="CE129" s="25"/>
      <c r="CF129" s="76"/>
      <c r="CG129" s="234"/>
      <c r="CH129" s="76"/>
      <c r="CI129" s="234"/>
      <c r="CJ129" s="76"/>
      <c r="CK129" s="234"/>
      <c r="CL129" s="76"/>
      <c r="CM129" s="234"/>
      <c r="CN129" s="76"/>
      <c r="CO129" s="234"/>
      <c r="CP129" s="76"/>
    </row>
    <row r="130" spans="1:94" x14ac:dyDescent="0.25">
      <c r="A130" s="37" t="s">
        <v>10</v>
      </c>
      <c r="B130" s="164">
        <v>42948</v>
      </c>
      <c r="C130" s="118"/>
      <c r="D130" s="164">
        <v>42949</v>
      </c>
      <c r="E130" s="118"/>
      <c r="F130" s="164">
        <v>42950</v>
      </c>
      <c r="G130" s="118"/>
      <c r="H130" s="164">
        <v>42951</v>
      </c>
      <c r="I130" s="118"/>
      <c r="J130" s="164">
        <v>42952</v>
      </c>
      <c r="K130" s="119"/>
      <c r="L130" s="164">
        <v>42953</v>
      </c>
      <c r="M130" s="118"/>
      <c r="N130" s="164">
        <v>42954</v>
      </c>
      <c r="O130" s="118"/>
      <c r="P130" s="164">
        <v>42955</v>
      </c>
      <c r="Q130" s="118"/>
      <c r="R130" s="164">
        <v>42956</v>
      </c>
      <c r="S130" s="118"/>
      <c r="T130" s="22">
        <v>42957</v>
      </c>
      <c r="U130" s="118"/>
      <c r="V130" s="22">
        <v>42958</v>
      </c>
      <c r="W130" s="118"/>
      <c r="X130" s="22">
        <v>42959</v>
      </c>
      <c r="Y130" s="118"/>
      <c r="Z130" s="164">
        <v>42961</v>
      </c>
      <c r="AA130" s="118"/>
      <c r="AB130" s="175">
        <v>42962</v>
      </c>
      <c r="AC130" s="118"/>
      <c r="AD130" s="164">
        <v>42963</v>
      </c>
      <c r="AE130" s="118"/>
      <c r="AF130" s="164">
        <v>42964</v>
      </c>
      <c r="AG130" s="118"/>
      <c r="AH130" s="164">
        <v>42965</v>
      </c>
      <c r="AI130" s="119"/>
      <c r="AJ130" s="164">
        <v>42966</v>
      </c>
      <c r="AK130" s="118"/>
      <c r="AL130" s="164"/>
      <c r="AM130" s="118"/>
      <c r="AN130" s="164">
        <v>42968</v>
      </c>
      <c r="AO130" s="118"/>
      <c r="AP130" s="164">
        <v>42969</v>
      </c>
      <c r="AQ130" s="118"/>
      <c r="AR130" s="164">
        <v>42970</v>
      </c>
      <c r="AS130" s="118"/>
      <c r="AT130" s="164">
        <v>42971</v>
      </c>
      <c r="AU130" s="119"/>
      <c r="AV130" s="164">
        <v>42972</v>
      </c>
      <c r="AW130" s="118"/>
      <c r="AX130" s="164">
        <v>42973</v>
      </c>
      <c r="AY130" s="118"/>
      <c r="AZ130" s="164">
        <v>42975</v>
      </c>
      <c r="BA130" s="118"/>
      <c r="BB130" s="164">
        <v>42976</v>
      </c>
      <c r="BC130" s="118"/>
      <c r="BD130" s="164">
        <v>42977</v>
      </c>
      <c r="BE130" s="118"/>
      <c r="BF130" s="164">
        <v>42978</v>
      </c>
      <c r="BG130" s="118"/>
      <c r="BH130" s="164"/>
      <c r="BI130" s="118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</row>
    <row r="131" spans="1:94" x14ac:dyDescent="0.25">
      <c r="A131" s="40"/>
      <c r="B131" s="22"/>
      <c r="C131" s="22"/>
      <c r="D131" s="22"/>
      <c r="E131" s="22"/>
      <c r="F131" s="22"/>
      <c r="G131" s="22"/>
      <c r="H131" s="22"/>
      <c r="I131" s="22"/>
      <c r="J131" s="22"/>
      <c r="K131" s="20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9"/>
      <c r="W131" s="120"/>
      <c r="X131" s="9"/>
      <c r="Y131" s="120"/>
      <c r="Z131" s="22"/>
      <c r="AA131" s="22"/>
      <c r="AB131" s="22"/>
      <c r="AC131" s="22"/>
      <c r="AD131" s="22"/>
      <c r="AE131" s="22"/>
      <c r="AF131" s="22"/>
      <c r="AG131" s="22"/>
      <c r="AH131" s="22"/>
      <c r="AI131" s="20"/>
      <c r="AJ131" s="22"/>
      <c r="AK131" s="22"/>
      <c r="AL131" s="22"/>
      <c r="AM131" s="22"/>
      <c r="AN131" s="22"/>
      <c r="AO131" s="22"/>
      <c r="AP131" s="22"/>
      <c r="AQ131" s="22"/>
      <c r="AR131" s="22"/>
      <c r="AS131" s="20"/>
      <c r="AT131" s="22"/>
      <c r="AU131" s="20"/>
      <c r="AV131" s="22"/>
      <c r="AW131" s="22"/>
      <c r="AX131" s="22"/>
      <c r="AY131" s="22"/>
      <c r="AZ131" s="22"/>
      <c r="BA131" s="22"/>
      <c r="BB131" s="22"/>
      <c r="BC131" s="22"/>
      <c r="BD131" s="22"/>
      <c r="BE131" s="20"/>
      <c r="BF131" s="22"/>
      <c r="BG131" s="22"/>
      <c r="BH131" s="22"/>
      <c r="BI131" s="22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</row>
    <row r="132" spans="1:94" x14ac:dyDescent="0.25">
      <c r="A132" s="45"/>
      <c r="B132" s="128">
        <v>3000</v>
      </c>
      <c r="C132" s="153" t="s">
        <v>9162</v>
      </c>
      <c r="D132" s="94">
        <v>135300</v>
      </c>
      <c r="E132" s="24" t="s">
        <v>9175</v>
      </c>
      <c r="F132" s="29">
        <v>2500</v>
      </c>
      <c r="G132" s="24" t="s">
        <v>9182</v>
      </c>
      <c r="H132" s="29">
        <v>2800</v>
      </c>
      <c r="I132" s="24" t="s">
        <v>9297</v>
      </c>
      <c r="J132" s="29">
        <v>156900</v>
      </c>
      <c r="K132" s="24" t="s">
        <v>9359</v>
      </c>
      <c r="L132" s="29"/>
      <c r="M132" s="24"/>
      <c r="N132" s="29">
        <v>100000</v>
      </c>
      <c r="O132" s="24" t="s">
        <v>9395</v>
      </c>
      <c r="P132" s="29">
        <v>100000</v>
      </c>
      <c r="Q132" s="24" t="s">
        <v>9439</v>
      </c>
      <c r="R132" s="29">
        <v>260000</v>
      </c>
      <c r="S132" s="24" t="s">
        <v>9459</v>
      </c>
      <c r="T132" s="29">
        <v>145000</v>
      </c>
      <c r="U132" s="24" t="s">
        <v>9550</v>
      </c>
      <c r="V132" s="29">
        <v>41155.14</v>
      </c>
      <c r="W132" s="15" t="s">
        <v>9613</v>
      </c>
      <c r="X132" s="29">
        <v>80719.509999999995</v>
      </c>
      <c r="Y132" s="15" t="s">
        <v>9663</v>
      </c>
      <c r="Z132" s="29">
        <v>16966.32</v>
      </c>
      <c r="AA132" s="24" t="s">
        <v>9702</v>
      </c>
      <c r="AB132" s="94">
        <v>138785.73000000001</v>
      </c>
      <c r="AC132" s="24" t="s">
        <v>9745</v>
      </c>
      <c r="AD132" s="29">
        <v>213000</v>
      </c>
      <c r="AE132" s="85" t="s">
        <v>9802</v>
      </c>
      <c r="AF132" s="29">
        <v>3494.15</v>
      </c>
      <c r="AG132" s="85" t="s">
        <v>9855</v>
      </c>
      <c r="AH132" s="29">
        <v>250194.49</v>
      </c>
      <c r="AI132" s="24" t="s">
        <v>9908</v>
      </c>
      <c r="AJ132" s="29">
        <v>100000</v>
      </c>
      <c r="AK132" s="85" t="s">
        <v>9937</v>
      </c>
      <c r="AL132" s="29"/>
      <c r="AM132" s="24"/>
      <c r="AN132" s="29">
        <v>1099</v>
      </c>
      <c r="AO132" s="24" t="s">
        <v>9987</v>
      </c>
      <c r="AP132" s="29">
        <v>193900</v>
      </c>
      <c r="AQ132" s="184" t="s">
        <v>10029</v>
      </c>
      <c r="AR132" s="29">
        <v>265000</v>
      </c>
      <c r="AS132" s="24" t="s">
        <v>10083</v>
      </c>
      <c r="AT132" s="104">
        <v>4465</v>
      </c>
      <c r="AU132" s="24" t="s">
        <v>10103</v>
      </c>
      <c r="AV132" s="29">
        <v>363200</v>
      </c>
      <c r="AW132" s="24" t="s">
        <v>10168</v>
      </c>
      <c r="AX132" s="29">
        <v>216900</v>
      </c>
      <c r="AY132" s="24" t="s">
        <v>10207</v>
      </c>
      <c r="AZ132" s="29">
        <v>648254.13</v>
      </c>
      <c r="BA132" s="24" t="s">
        <v>10241</v>
      </c>
      <c r="BB132" s="29">
        <v>319340.07</v>
      </c>
      <c r="BC132" s="24" t="s">
        <v>10301</v>
      </c>
      <c r="BD132" s="29">
        <v>50000</v>
      </c>
      <c r="BE132" s="24" t="s">
        <v>6051</v>
      </c>
      <c r="BF132" s="29">
        <v>175</v>
      </c>
      <c r="BG132" s="24" t="s">
        <v>10413</v>
      </c>
      <c r="BH132" s="96"/>
      <c r="BI132" s="15"/>
      <c r="BJ132" s="72"/>
      <c r="BK132" s="24"/>
      <c r="BL132" s="72"/>
      <c r="BM132" s="24"/>
      <c r="BN132" s="72"/>
      <c r="BO132" s="24"/>
      <c r="BP132" s="72"/>
      <c r="BQ132" s="24"/>
      <c r="BR132" s="72"/>
      <c r="BS132" s="24"/>
      <c r="BT132" s="72"/>
      <c r="BU132" s="24"/>
      <c r="BV132" s="72"/>
      <c r="BW132" s="24"/>
      <c r="BX132" s="72"/>
      <c r="BY132" s="24"/>
      <c r="BZ132" s="72"/>
      <c r="CA132" s="24"/>
      <c r="CB132" s="72"/>
      <c r="CC132" s="24"/>
      <c r="CD132" s="72"/>
      <c r="CE132" s="24"/>
      <c r="CF132" s="72"/>
      <c r="CG132" s="24"/>
      <c r="CH132" s="72"/>
      <c r="CI132" s="24"/>
      <c r="CJ132" s="72"/>
      <c r="CK132" s="24"/>
      <c r="CL132" s="72"/>
      <c r="CM132" s="24"/>
      <c r="CN132" s="72"/>
      <c r="CO132" s="24"/>
      <c r="CP132" s="72"/>
    </row>
    <row r="133" spans="1:94" x14ac:dyDescent="0.25">
      <c r="A133" s="45"/>
      <c r="B133" s="128">
        <v>90000</v>
      </c>
      <c r="C133" s="153" t="s">
        <v>9163</v>
      </c>
      <c r="D133" s="29"/>
      <c r="E133" s="24"/>
      <c r="F133" s="29"/>
      <c r="G133" s="24"/>
      <c r="H133" s="29">
        <v>30000</v>
      </c>
      <c r="I133" s="24" t="s">
        <v>9298</v>
      </c>
      <c r="J133" s="29">
        <v>11279.84</v>
      </c>
      <c r="K133" s="24" t="s">
        <v>9363</v>
      </c>
      <c r="L133" s="29"/>
      <c r="M133" s="24"/>
      <c r="N133" s="29">
        <v>9513.67</v>
      </c>
      <c r="O133" s="24" t="s">
        <v>9400</v>
      </c>
      <c r="P133" s="29">
        <v>10000</v>
      </c>
      <c r="Q133" s="24" t="s">
        <v>9440</v>
      </c>
      <c r="R133" s="29">
        <v>93864.53</v>
      </c>
      <c r="S133" s="24" t="s">
        <v>9461</v>
      </c>
      <c r="T133" s="29">
        <v>1515.38</v>
      </c>
      <c r="U133" s="24" t="s">
        <v>9553</v>
      </c>
      <c r="V133" s="29">
        <v>1099</v>
      </c>
      <c r="W133" s="24" t="s">
        <v>9626</v>
      </c>
      <c r="X133" s="29">
        <v>158600</v>
      </c>
      <c r="Y133" s="24" t="s">
        <v>9673</v>
      </c>
      <c r="Z133" s="29">
        <v>7204.28</v>
      </c>
      <c r="AA133" s="24" t="s">
        <v>9711</v>
      </c>
      <c r="AB133" s="29">
        <v>4888.12</v>
      </c>
      <c r="AC133" s="24" t="s">
        <v>9747</v>
      </c>
      <c r="AD133" s="29">
        <v>10500</v>
      </c>
      <c r="AE133" s="85" t="s">
        <v>9808</v>
      </c>
      <c r="AF133" s="29">
        <v>1169</v>
      </c>
      <c r="AG133" s="85" t="s">
        <v>9861</v>
      </c>
      <c r="AH133" s="29">
        <v>80297.490000000005</v>
      </c>
      <c r="AI133" s="24" t="s">
        <v>9910</v>
      </c>
      <c r="AJ133" s="29">
        <v>4640</v>
      </c>
      <c r="AK133" s="85" t="s">
        <v>9945</v>
      </c>
      <c r="AL133" s="29"/>
      <c r="AM133" s="24"/>
      <c r="AN133" s="29"/>
      <c r="AO133" s="24"/>
      <c r="AP133" s="29"/>
      <c r="AQ133" s="184"/>
      <c r="AR133" s="29"/>
      <c r="AS133" s="24"/>
      <c r="AT133" s="104">
        <v>1127.78</v>
      </c>
      <c r="AU133" s="24" t="s">
        <v>10105</v>
      </c>
      <c r="AV133" s="29">
        <v>230890</v>
      </c>
      <c r="AW133" s="24" t="s">
        <v>10170</v>
      </c>
      <c r="AX133" s="29">
        <v>200000</v>
      </c>
      <c r="AY133" s="24" t="s">
        <v>10208</v>
      </c>
      <c r="AZ133" s="29">
        <v>150000</v>
      </c>
      <c r="BA133" s="24" t="s">
        <v>10244</v>
      </c>
      <c r="BB133" s="29">
        <v>2711.76</v>
      </c>
      <c r="BC133" s="24" t="s">
        <v>10302</v>
      </c>
      <c r="BD133" s="29">
        <v>170000</v>
      </c>
      <c r="BE133" s="24" t="s">
        <v>10387</v>
      </c>
      <c r="BF133" s="30">
        <v>129900</v>
      </c>
      <c r="BG133" s="15" t="s">
        <v>10418</v>
      </c>
      <c r="BH133" s="96"/>
      <c r="BI133" s="26"/>
      <c r="BJ133" s="72"/>
      <c r="BK133" s="24"/>
      <c r="BL133" s="72"/>
      <c r="BM133" s="24"/>
      <c r="BN133" s="72"/>
      <c r="BO133" s="24"/>
      <c r="BP133" s="72"/>
      <c r="BQ133" s="24"/>
      <c r="BR133" s="72"/>
      <c r="BS133" s="24"/>
      <c r="BT133" s="72"/>
      <c r="BU133" s="24"/>
      <c r="BV133" s="72"/>
      <c r="BW133" s="24"/>
      <c r="BX133" s="72"/>
      <c r="BY133" s="24"/>
      <c r="BZ133" s="72"/>
      <c r="CA133" s="24"/>
      <c r="CB133" s="72"/>
      <c r="CC133" s="24"/>
      <c r="CD133" s="72"/>
      <c r="CE133" s="24"/>
      <c r="CF133" s="72"/>
      <c r="CG133" s="24"/>
      <c r="CH133" s="72"/>
      <c r="CI133" s="24"/>
      <c r="CJ133" s="72"/>
      <c r="CK133" s="24"/>
      <c r="CL133" s="72"/>
      <c r="CM133" s="24"/>
      <c r="CN133" s="72"/>
      <c r="CO133" s="24"/>
      <c r="CP133" s="72"/>
    </row>
    <row r="134" spans="1:94" x14ac:dyDescent="0.25">
      <c r="A134" s="45"/>
      <c r="B134" s="221">
        <f>+B132+B133</f>
        <v>93000</v>
      </c>
      <c r="C134" s="153"/>
      <c r="D134" s="96">
        <v>4040.47</v>
      </c>
      <c r="E134" s="15" t="s">
        <v>9234</v>
      </c>
      <c r="F134" s="29">
        <v>659500</v>
      </c>
      <c r="G134" s="166" t="s">
        <v>9261</v>
      </c>
      <c r="H134" s="29">
        <v>61234.48</v>
      </c>
      <c r="I134" s="24" t="s">
        <v>9300</v>
      </c>
      <c r="J134" s="29">
        <v>1489.01</v>
      </c>
      <c r="K134" s="24" t="s">
        <v>9385</v>
      </c>
      <c r="L134" s="29"/>
      <c r="M134" s="24"/>
      <c r="N134" s="29">
        <v>9330.85</v>
      </c>
      <c r="O134" s="24" t="s">
        <v>9401</v>
      </c>
      <c r="P134" s="29">
        <v>1410</v>
      </c>
      <c r="Q134" s="24" t="s">
        <v>9451</v>
      </c>
      <c r="R134" s="29">
        <v>696</v>
      </c>
      <c r="S134" s="24" t="s">
        <v>9464</v>
      </c>
      <c r="T134" s="29">
        <v>2453.98</v>
      </c>
      <c r="U134" s="24" t="s">
        <v>9556</v>
      </c>
      <c r="V134" s="29">
        <v>3169</v>
      </c>
      <c r="W134" s="24" t="s">
        <v>9627</v>
      </c>
      <c r="X134" s="29">
        <v>163000</v>
      </c>
      <c r="Y134" s="24" t="s">
        <v>9674</v>
      </c>
      <c r="Z134" s="29">
        <v>25875.27</v>
      </c>
      <c r="AA134" s="24" t="s">
        <v>9712</v>
      </c>
      <c r="AB134" s="29">
        <v>80719.509999999995</v>
      </c>
      <c r="AC134" s="24" t="s">
        <v>9748</v>
      </c>
      <c r="AD134" s="29">
        <v>236.34</v>
      </c>
      <c r="AE134" s="15" t="s">
        <v>9813</v>
      </c>
      <c r="AF134" s="97">
        <f>+AF133+AF132</f>
        <v>4663.1499999999996</v>
      </c>
      <c r="AG134" s="85"/>
      <c r="AH134" s="29">
        <v>10927.83</v>
      </c>
      <c r="AI134" s="24" t="s">
        <v>9916</v>
      </c>
      <c r="AJ134" s="29">
        <v>4465</v>
      </c>
      <c r="AK134" s="85" t="s">
        <v>9946</v>
      </c>
      <c r="AL134" s="29"/>
      <c r="AM134" s="24"/>
      <c r="AN134" s="29">
        <v>164832.18</v>
      </c>
      <c r="AO134" s="24" t="s">
        <v>9996</v>
      </c>
      <c r="AP134" s="29">
        <v>51618.69</v>
      </c>
      <c r="AQ134" s="184" t="s">
        <v>10053</v>
      </c>
      <c r="AR134" s="29">
        <v>4465</v>
      </c>
      <c r="AS134" s="24" t="s">
        <v>10126</v>
      </c>
      <c r="AT134" s="97">
        <f>+AT132+AT133</f>
        <v>5592.78</v>
      </c>
      <c r="AU134" s="24"/>
      <c r="AV134" s="29">
        <v>111500</v>
      </c>
      <c r="AW134" s="24" t="s">
        <v>10171</v>
      </c>
      <c r="AX134" s="122">
        <v>1099</v>
      </c>
      <c r="AY134" s="24" t="s">
        <v>10225</v>
      </c>
      <c r="AZ134" s="122">
        <v>20000</v>
      </c>
      <c r="BA134" s="24" t="s">
        <v>10245</v>
      </c>
      <c r="BB134" s="29">
        <v>579.98</v>
      </c>
      <c r="BC134" s="24" t="s">
        <v>10303</v>
      </c>
      <c r="BD134" s="29">
        <v>369900</v>
      </c>
      <c r="BE134" s="24" t="s">
        <v>10394</v>
      </c>
      <c r="BF134" s="101">
        <v>2243.7199999999998</v>
      </c>
      <c r="BG134" s="57" t="s">
        <v>10420</v>
      </c>
      <c r="BH134" s="122"/>
      <c r="BI134" s="24"/>
      <c r="BJ134" s="72"/>
      <c r="BK134" s="24"/>
      <c r="BL134" s="72"/>
      <c r="BM134" s="24"/>
      <c r="BN134" s="72"/>
      <c r="BO134" s="24"/>
      <c r="BP134" s="72"/>
      <c r="BQ134" s="24"/>
      <c r="BR134" s="72"/>
      <c r="BS134" s="24"/>
      <c r="BT134" s="72"/>
      <c r="BU134" s="24"/>
      <c r="BV134" s="72"/>
      <c r="BW134" s="24"/>
      <c r="BX134" s="72"/>
      <c r="BY134" s="24"/>
      <c r="BZ134" s="72"/>
      <c r="CA134" s="24"/>
      <c r="CB134" s="72"/>
      <c r="CC134" s="24"/>
      <c r="CD134" s="72"/>
      <c r="CE134" s="24"/>
      <c r="CF134" s="72"/>
      <c r="CG134" s="24"/>
      <c r="CH134" s="72"/>
      <c r="CI134" s="24"/>
      <c r="CJ134" s="72"/>
      <c r="CK134" s="24"/>
      <c r="CL134" s="72"/>
      <c r="CM134" s="24"/>
      <c r="CN134" s="72"/>
      <c r="CO134" s="24"/>
      <c r="CP134" s="72"/>
    </row>
    <row r="135" spans="1:94" x14ac:dyDescent="0.25">
      <c r="A135" s="45"/>
      <c r="B135" s="29"/>
      <c r="C135" s="24"/>
      <c r="D135" s="29">
        <v>4449.96</v>
      </c>
      <c r="E135" s="24" t="s">
        <v>9235</v>
      </c>
      <c r="F135" s="122">
        <v>9790.6</v>
      </c>
      <c r="G135" s="166" t="s">
        <v>9264</v>
      </c>
      <c r="H135" s="29">
        <v>61234.48</v>
      </c>
      <c r="I135" s="24" t="s">
        <v>9301</v>
      </c>
      <c r="J135" s="97">
        <f>+J134+J133+J132</f>
        <v>169668.85</v>
      </c>
      <c r="K135" s="24"/>
      <c r="L135" s="94"/>
      <c r="M135" s="24"/>
      <c r="N135" s="29">
        <v>51585.4</v>
      </c>
      <c r="O135" s="24" t="s">
        <v>9402</v>
      </c>
      <c r="P135" s="29">
        <v>1099</v>
      </c>
      <c r="Q135" s="24" t="s">
        <v>9452</v>
      </c>
      <c r="R135" s="97">
        <f>+R134+R133+R132</f>
        <v>354560.53</v>
      </c>
      <c r="S135" s="24"/>
      <c r="T135" s="29">
        <v>986.7</v>
      </c>
      <c r="U135" s="24" t="s">
        <v>9558</v>
      </c>
      <c r="V135" s="29">
        <v>2480</v>
      </c>
      <c r="W135" s="24" t="s">
        <v>9628</v>
      </c>
      <c r="X135" s="29">
        <v>1099.01</v>
      </c>
      <c r="Y135" s="24" t="s">
        <v>9690</v>
      </c>
      <c r="Z135" s="97">
        <f>+Z134+Z133+Z132</f>
        <v>50045.87</v>
      </c>
      <c r="AA135" s="24"/>
      <c r="AB135" s="29">
        <v>1169</v>
      </c>
      <c r="AC135" s="24" t="s">
        <v>9760</v>
      </c>
      <c r="AD135" s="97">
        <f>+AD134+AD133+AD132</f>
        <v>223736.34</v>
      </c>
      <c r="AE135" s="85"/>
      <c r="AF135" s="94"/>
      <c r="AG135" s="85"/>
      <c r="AH135" s="97">
        <f>+AH134+AH133+AH132</f>
        <v>341419.81</v>
      </c>
      <c r="AI135" s="24"/>
      <c r="AJ135" s="97">
        <f>+AJ134+AJ132+AJ133</f>
        <v>109105</v>
      </c>
      <c r="AK135" s="85"/>
      <c r="AL135" s="29"/>
      <c r="AM135" s="24"/>
      <c r="AN135" s="29">
        <v>93000</v>
      </c>
      <c r="AO135" s="24" t="s">
        <v>9999</v>
      </c>
      <c r="AP135" s="29">
        <v>329190.84000000003</v>
      </c>
      <c r="AQ135" s="184" t="s">
        <v>10054</v>
      </c>
      <c r="AR135" s="30">
        <v>3508</v>
      </c>
      <c r="AS135" s="15" t="s">
        <v>10127</v>
      </c>
      <c r="AT135" s="94"/>
      <c r="AU135" s="24"/>
      <c r="AV135" s="96">
        <v>294500</v>
      </c>
      <c r="AW135" s="15" t="s">
        <v>10172</v>
      </c>
      <c r="AX135" s="96">
        <v>106000</v>
      </c>
      <c r="AY135" s="15" t="s">
        <v>10211</v>
      </c>
      <c r="AZ135" s="96">
        <v>1970</v>
      </c>
      <c r="BA135" s="15" t="s">
        <v>10258</v>
      </c>
      <c r="BB135" s="29">
        <v>234300</v>
      </c>
      <c r="BC135" s="24" t="s">
        <v>10308</v>
      </c>
      <c r="BD135" s="29">
        <v>134232.18</v>
      </c>
      <c r="BE135" s="24" t="s">
        <v>10395</v>
      </c>
      <c r="BF135" s="104">
        <v>1099</v>
      </c>
      <c r="BG135" s="24" t="s">
        <v>10424</v>
      </c>
      <c r="BH135" s="122"/>
      <c r="BI135" s="24"/>
      <c r="BJ135" s="24"/>
      <c r="BK135" s="24"/>
      <c r="BL135" s="72"/>
      <c r="BM135" s="24"/>
      <c r="BN135" s="72"/>
      <c r="BO135" s="24"/>
      <c r="BP135" s="72"/>
      <c r="BQ135" s="24"/>
      <c r="BR135" s="72"/>
      <c r="BS135" s="24"/>
      <c r="BT135" s="72"/>
      <c r="BU135" s="24"/>
      <c r="BV135" s="72"/>
      <c r="BW135" s="24"/>
      <c r="BX135" s="72"/>
      <c r="BY135" s="24"/>
      <c r="BZ135" s="72"/>
      <c r="CA135" s="24"/>
      <c r="CB135" s="72"/>
      <c r="CC135" s="24"/>
      <c r="CD135" s="72"/>
      <c r="CE135" s="24"/>
      <c r="CF135" s="72"/>
      <c r="CG135" s="24"/>
      <c r="CH135" s="72"/>
      <c r="CI135" s="24"/>
      <c r="CJ135" s="72"/>
      <c r="CK135" s="24"/>
      <c r="CL135" s="72"/>
      <c r="CM135" s="24"/>
      <c r="CN135" s="72"/>
      <c r="CO135" s="24"/>
      <c r="CP135" s="72"/>
    </row>
    <row r="136" spans="1:94" x14ac:dyDescent="0.25">
      <c r="A136" s="45"/>
      <c r="B136" s="29">
        <v>210000</v>
      </c>
      <c r="C136" s="24" t="s">
        <v>9196</v>
      </c>
      <c r="D136" s="29">
        <v>9288.39</v>
      </c>
      <c r="E136" s="24" t="s">
        <v>9236</v>
      </c>
      <c r="F136" s="122">
        <v>705900</v>
      </c>
      <c r="G136" s="166" t="s">
        <v>9265</v>
      </c>
      <c r="H136" s="96">
        <v>72574.27</v>
      </c>
      <c r="I136" s="26" t="s">
        <v>9302</v>
      </c>
      <c r="J136" s="29"/>
      <c r="K136" s="24"/>
      <c r="L136" s="94"/>
      <c r="M136" s="24"/>
      <c r="N136" s="29">
        <v>4465</v>
      </c>
      <c r="O136" s="24" t="s">
        <v>9404</v>
      </c>
      <c r="P136" s="97">
        <f>+SUM(P132:P135)</f>
        <v>112509</v>
      </c>
      <c r="Q136" s="24"/>
      <c r="R136" s="29"/>
      <c r="S136" s="24"/>
      <c r="T136" s="29">
        <v>1169</v>
      </c>
      <c r="U136" s="24" t="s">
        <v>9570</v>
      </c>
      <c r="V136" s="29">
        <v>1970</v>
      </c>
      <c r="W136" s="24" t="s">
        <v>9630</v>
      </c>
      <c r="X136" s="97">
        <f>+SUM(X132:X135)</f>
        <v>403418.52</v>
      </c>
      <c r="Y136" s="24"/>
      <c r="Z136" s="29"/>
      <c r="AA136" s="24"/>
      <c r="AB136" s="97">
        <f>+SUM(AB132:AB135)</f>
        <v>225562.36</v>
      </c>
      <c r="AC136" s="24"/>
      <c r="AD136" s="29"/>
      <c r="AE136" s="85"/>
      <c r="AF136" s="29">
        <v>90200</v>
      </c>
      <c r="AG136" s="85" t="s">
        <v>9864</v>
      </c>
      <c r="AH136" s="94"/>
      <c r="AI136" s="72"/>
      <c r="AJ136" s="29"/>
      <c r="AK136" s="85"/>
      <c r="AL136" s="29"/>
      <c r="AM136" s="24"/>
      <c r="AN136" s="30">
        <v>155000</v>
      </c>
      <c r="AO136" s="24" t="s">
        <v>10000</v>
      </c>
      <c r="AP136" s="29">
        <v>380000</v>
      </c>
      <c r="AQ136" s="184" t="s">
        <v>10055</v>
      </c>
      <c r="AR136" s="30">
        <v>3508</v>
      </c>
      <c r="AS136" s="15" t="s">
        <v>10127</v>
      </c>
      <c r="AT136" s="29">
        <v>10000</v>
      </c>
      <c r="AU136" s="24" t="s">
        <v>10140</v>
      </c>
      <c r="AV136" s="96">
        <v>1099</v>
      </c>
      <c r="AW136" s="15" t="s">
        <v>10200</v>
      </c>
      <c r="AX136" s="97">
        <f>+SUM(AX132:AX135)</f>
        <v>523999</v>
      </c>
      <c r="AY136" s="24"/>
      <c r="AZ136" s="29">
        <v>8539</v>
      </c>
      <c r="BA136" s="24" t="s">
        <v>10259</v>
      </c>
      <c r="BB136" s="29">
        <v>8144.88</v>
      </c>
      <c r="BC136" s="24" t="s">
        <v>10311</v>
      </c>
      <c r="BD136" s="29">
        <v>115206.43</v>
      </c>
      <c r="BE136" s="24" t="s">
        <v>10396</v>
      </c>
      <c r="BF136" s="104">
        <v>2420</v>
      </c>
      <c r="BG136" s="24" t="s">
        <v>10426</v>
      </c>
      <c r="BH136" s="183"/>
      <c r="BI136" s="120"/>
      <c r="BJ136" s="24"/>
      <c r="BK136" s="24"/>
      <c r="BL136" s="72"/>
      <c r="BM136" s="24"/>
      <c r="BN136" s="24"/>
      <c r="BO136" s="24"/>
      <c r="BP136" s="72"/>
      <c r="BQ136" s="24"/>
      <c r="BR136" s="72"/>
      <c r="BS136" s="24"/>
      <c r="BT136" s="72"/>
      <c r="BU136" s="24"/>
      <c r="BV136" s="72"/>
      <c r="BW136" s="24"/>
      <c r="BX136" s="72"/>
      <c r="BY136" s="24"/>
      <c r="BZ136" s="72"/>
      <c r="CA136" s="24"/>
      <c r="CB136" s="72"/>
      <c r="CC136" s="24"/>
      <c r="CD136" s="72"/>
      <c r="CE136" s="24"/>
      <c r="CF136" s="72"/>
      <c r="CG136" s="24"/>
      <c r="CH136" s="72"/>
      <c r="CI136" s="24"/>
      <c r="CJ136" s="72"/>
      <c r="CK136" s="24"/>
      <c r="CL136" s="72"/>
      <c r="CM136" s="24"/>
      <c r="CN136" s="72"/>
      <c r="CO136" s="24"/>
      <c r="CP136" s="72"/>
    </row>
    <row r="137" spans="1:94" x14ac:dyDescent="0.25">
      <c r="A137" s="45"/>
      <c r="B137" s="128">
        <v>28144.86</v>
      </c>
      <c r="C137" s="153" t="s">
        <v>9205</v>
      </c>
      <c r="D137" s="29">
        <v>125428.82</v>
      </c>
      <c r="E137" s="24" t="s">
        <v>9237</v>
      </c>
      <c r="F137" s="122">
        <v>294500</v>
      </c>
      <c r="G137" s="166" t="s">
        <v>9266</v>
      </c>
      <c r="H137" s="94">
        <v>200000</v>
      </c>
      <c r="I137" s="24" t="s">
        <v>9305</v>
      </c>
      <c r="J137" s="29"/>
      <c r="K137" s="24"/>
      <c r="L137" s="29"/>
      <c r="M137" s="24"/>
      <c r="N137" s="96">
        <v>1970</v>
      </c>
      <c r="O137" s="26" t="s">
        <v>9408</v>
      </c>
      <c r="P137" s="94"/>
      <c r="Q137" s="24"/>
      <c r="R137" s="29">
        <v>14292.51</v>
      </c>
      <c r="S137" s="24" t="s">
        <v>9511</v>
      </c>
      <c r="T137" s="30">
        <v>5732.45</v>
      </c>
      <c r="U137" s="15" t="s">
        <v>9571</v>
      </c>
      <c r="V137" s="97">
        <f>+SUM(V132:V136)</f>
        <v>49873.14</v>
      </c>
      <c r="W137" s="24"/>
      <c r="X137" s="29"/>
      <c r="Y137" s="24"/>
      <c r="Z137" s="29">
        <v>5511.71</v>
      </c>
      <c r="AA137" s="24" t="s">
        <v>9716</v>
      </c>
      <c r="AB137" s="29"/>
      <c r="AC137" s="24"/>
      <c r="AD137" s="94">
        <v>20.010000000000002</v>
      </c>
      <c r="AE137" s="85" t="s">
        <v>9819</v>
      </c>
      <c r="AF137" s="29">
        <v>250000</v>
      </c>
      <c r="AG137" s="85" t="s">
        <v>9867</v>
      </c>
      <c r="AH137" s="29"/>
      <c r="AI137" s="72"/>
      <c r="AJ137" s="29"/>
      <c r="AK137" s="85"/>
      <c r="AL137" s="98"/>
      <c r="AM137" s="24"/>
      <c r="AN137" s="29">
        <v>51619</v>
      </c>
      <c r="AO137" s="24" t="s">
        <v>10001</v>
      </c>
      <c r="AP137" s="29">
        <v>8276.7000000000007</v>
      </c>
      <c r="AQ137" s="184" t="s">
        <v>10060</v>
      </c>
      <c r="AR137" s="29">
        <v>26704.68</v>
      </c>
      <c r="AS137" s="24" t="s">
        <v>10128</v>
      </c>
      <c r="AT137" s="29">
        <v>2040</v>
      </c>
      <c r="AU137" s="24" t="s">
        <v>10161</v>
      </c>
      <c r="AV137" s="97">
        <f>+SUM(AV132:AV136)</f>
        <v>1001189</v>
      </c>
      <c r="AW137" s="24"/>
      <c r="AX137" s="29"/>
      <c r="AY137" s="24"/>
      <c r="AZ137" s="29">
        <v>1099</v>
      </c>
      <c r="BA137" s="24" t="s">
        <v>10260</v>
      </c>
      <c r="BB137" s="29">
        <v>10330.16</v>
      </c>
      <c r="BC137" s="24" t="s">
        <v>10312</v>
      </c>
      <c r="BD137" s="29">
        <v>7013.11</v>
      </c>
      <c r="BE137" s="24" t="s">
        <v>10398</v>
      </c>
      <c r="BF137" s="151">
        <f>+SUM(BF132:BF136)</f>
        <v>135837.72</v>
      </c>
      <c r="BG137" s="24"/>
      <c r="BH137" s="183"/>
      <c r="BI137" s="120"/>
      <c r="BJ137" s="72"/>
      <c r="BK137" s="24"/>
      <c r="BL137" s="72"/>
      <c r="BM137" s="24"/>
      <c r="BN137" s="72"/>
      <c r="BO137" s="24"/>
      <c r="BP137" s="72"/>
      <c r="BQ137" s="24"/>
      <c r="BR137" s="72"/>
      <c r="BS137" s="24"/>
      <c r="BT137" s="72"/>
      <c r="BU137" s="24"/>
      <c r="BV137" s="72"/>
      <c r="BW137" s="24"/>
      <c r="BX137" s="72"/>
      <c r="BY137" s="24"/>
      <c r="BZ137" s="72"/>
      <c r="CA137" s="24"/>
      <c r="CB137" s="72"/>
      <c r="CC137" s="24"/>
      <c r="CD137" s="72"/>
      <c r="CE137" s="24"/>
      <c r="CF137" s="72"/>
      <c r="CG137" s="24"/>
      <c r="CH137" s="72"/>
      <c r="CI137" s="24"/>
      <c r="CJ137" s="72"/>
      <c r="CK137" s="24"/>
      <c r="CL137" s="72"/>
      <c r="CM137" s="24"/>
      <c r="CN137" s="72"/>
      <c r="CO137" s="24"/>
      <c r="CP137" s="72"/>
    </row>
    <row r="138" spans="1:94" x14ac:dyDescent="0.25">
      <c r="A138" s="45"/>
      <c r="B138" s="183">
        <v>2589.02</v>
      </c>
      <c r="C138" s="153" t="s">
        <v>9206</v>
      </c>
      <c r="D138" s="29">
        <v>250000</v>
      </c>
      <c r="E138" s="24" t="s">
        <v>9238</v>
      </c>
      <c r="F138" s="122">
        <v>330400</v>
      </c>
      <c r="G138" s="166" t="s">
        <v>9267</v>
      </c>
      <c r="H138" s="29">
        <v>3416</v>
      </c>
      <c r="I138" s="24" t="s">
        <v>9314</v>
      </c>
      <c r="J138" s="96"/>
      <c r="K138" s="15"/>
      <c r="L138" s="29"/>
      <c r="M138" s="24"/>
      <c r="N138" s="200">
        <f>+SUM(N132:N137)</f>
        <v>176864.92</v>
      </c>
      <c r="O138" s="24"/>
      <c r="P138" s="29">
        <v>20000</v>
      </c>
      <c r="Q138" s="24" t="s">
        <v>9475</v>
      </c>
      <c r="R138" s="29">
        <v>31000</v>
      </c>
      <c r="S138" s="24" t="s">
        <v>9512</v>
      </c>
      <c r="T138" s="97">
        <f>+SUM(T132:T137)</f>
        <v>156857.51000000004</v>
      </c>
      <c r="U138" s="24"/>
      <c r="V138" s="122"/>
      <c r="W138" s="24"/>
      <c r="X138" s="122"/>
      <c r="Y138" s="24"/>
      <c r="Z138" s="29">
        <v>200000</v>
      </c>
      <c r="AA138" s="24" t="s">
        <v>9717</v>
      </c>
      <c r="AB138" s="29">
        <v>5250.69</v>
      </c>
      <c r="AC138" s="24" t="s">
        <v>9763</v>
      </c>
      <c r="AD138" s="94">
        <v>325.14999999999998</v>
      </c>
      <c r="AE138" s="85" t="s">
        <v>9820</v>
      </c>
      <c r="AF138" s="29">
        <v>99000</v>
      </c>
      <c r="AG138" s="85" t="s">
        <v>9868</v>
      </c>
      <c r="AH138" s="29"/>
      <c r="AI138" s="24"/>
      <c r="AJ138" s="96"/>
      <c r="AK138" s="15"/>
      <c r="AL138" s="29"/>
      <c r="AM138" s="24"/>
      <c r="AN138" s="96">
        <v>203000</v>
      </c>
      <c r="AO138" s="26" t="s">
        <v>10002</v>
      </c>
      <c r="AP138" s="29">
        <v>696</v>
      </c>
      <c r="AQ138" s="184" t="s">
        <v>10061</v>
      </c>
      <c r="AR138" s="29">
        <v>4465</v>
      </c>
      <c r="AS138" s="24" t="s">
        <v>10129</v>
      </c>
      <c r="AT138" s="97">
        <f>+AT137+AT136</f>
        <v>12040</v>
      </c>
      <c r="AU138" s="24"/>
      <c r="AV138" s="96"/>
      <c r="AW138" s="15"/>
      <c r="AX138" s="96"/>
      <c r="AY138" s="15"/>
      <c r="AZ138" s="29">
        <v>2355.8000000000002</v>
      </c>
      <c r="BA138" s="24" t="s">
        <v>10261</v>
      </c>
      <c r="BB138" s="30">
        <v>3424.01</v>
      </c>
      <c r="BC138" s="15" t="s">
        <v>10322</v>
      </c>
      <c r="BD138" s="29">
        <v>3010.11</v>
      </c>
      <c r="BE138" s="24" t="s">
        <v>10399</v>
      </c>
      <c r="BF138" s="30"/>
      <c r="BG138" s="24"/>
      <c r="BH138" s="208"/>
      <c r="BI138" s="120"/>
      <c r="BJ138" s="72"/>
      <c r="BK138" s="24"/>
      <c r="BL138" s="24"/>
      <c r="BM138" s="24"/>
      <c r="BN138" s="72"/>
      <c r="BO138" s="24"/>
      <c r="BP138" s="72"/>
      <c r="BQ138" s="24"/>
      <c r="BR138" s="72"/>
      <c r="BS138" s="24"/>
      <c r="BT138" s="72"/>
      <c r="BU138" s="24"/>
      <c r="BV138" s="72"/>
      <c r="BW138" s="24"/>
      <c r="BX138" s="72"/>
      <c r="BY138" s="24"/>
      <c r="BZ138" s="72"/>
      <c r="CA138" s="24"/>
      <c r="CB138" s="72"/>
      <c r="CC138" s="24"/>
      <c r="CD138" s="72"/>
      <c r="CE138" s="24"/>
      <c r="CF138" s="72"/>
      <c r="CG138" s="24"/>
      <c r="CH138" s="72"/>
      <c r="CI138" s="24"/>
      <c r="CJ138" s="72"/>
      <c r="CK138" s="24"/>
      <c r="CL138" s="72"/>
      <c r="CM138" s="24"/>
      <c r="CN138" s="72"/>
      <c r="CO138" s="24"/>
      <c r="CP138" s="72"/>
    </row>
    <row r="139" spans="1:94" x14ac:dyDescent="0.25">
      <c r="A139" s="45"/>
      <c r="B139" s="183">
        <v>42252.03</v>
      </c>
      <c r="C139" s="153" t="s">
        <v>9207</v>
      </c>
      <c r="D139" s="104">
        <v>3239</v>
      </c>
      <c r="E139" s="24" t="s">
        <v>9251</v>
      </c>
      <c r="F139" s="122">
        <v>234300</v>
      </c>
      <c r="G139" s="166" t="s">
        <v>9268</v>
      </c>
      <c r="H139" s="29">
        <v>2040</v>
      </c>
      <c r="I139" s="24" t="s">
        <v>9317</v>
      </c>
      <c r="J139" s="29"/>
      <c r="K139" s="24"/>
      <c r="L139" s="29"/>
      <c r="M139" s="24"/>
      <c r="N139" s="122"/>
      <c r="O139" s="24"/>
      <c r="P139" s="29">
        <v>6000</v>
      </c>
      <c r="Q139" s="24" t="s">
        <v>9478</v>
      </c>
      <c r="R139" s="29">
        <v>20348.46</v>
      </c>
      <c r="S139" s="24" t="s">
        <v>9513</v>
      </c>
      <c r="T139" s="94"/>
      <c r="U139" s="24"/>
      <c r="V139" s="122">
        <v>50000</v>
      </c>
      <c r="W139" s="24" t="s">
        <v>9639</v>
      </c>
      <c r="X139" s="206"/>
      <c r="Y139" s="24"/>
      <c r="Z139" s="29">
        <v>195194.5</v>
      </c>
      <c r="AA139" s="24" t="s">
        <v>9719</v>
      </c>
      <c r="AB139" s="29">
        <v>100000</v>
      </c>
      <c r="AC139" s="24" t="s">
        <v>9766</v>
      </c>
      <c r="AD139" s="29">
        <v>325.14999999999998</v>
      </c>
      <c r="AE139" s="85" t="s">
        <v>9821</v>
      </c>
      <c r="AF139" s="29">
        <v>1169</v>
      </c>
      <c r="AG139" s="85" t="s">
        <v>9878</v>
      </c>
      <c r="AH139" s="29"/>
      <c r="AI139" s="24"/>
      <c r="AJ139" s="29"/>
      <c r="AK139" s="85"/>
      <c r="AL139" s="29"/>
      <c r="AM139" s="24"/>
      <c r="AN139" s="96">
        <v>233800</v>
      </c>
      <c r="AO139" s="26" t="s">
        <v>10004</v>
      </c>
      <c r="AP139" s="29">
        <v>12077.2</v>
      </c>
      <c r="AQ139" s="184" t="s">
        <v>10063</v>
      </c>
      <c r="AR139" s="29">
        <v>6099</v>
      </c>
      <c r="AS139" s="24" t="s">
        <v>10130</v>
      </c>
      <c r="AT139" s="29"/>
      <c r="AU139" s="24"/>
      <c r="AV139" s="105">
        <v>5000</v>
      </c>
      <c r="AW139" s="106" t="s">
        <v>10266</v>
      </c>
      <c r="AX139" s="105"/>
      <c r="AY139" s="106"/>
      <c r="AZ139" s="29">
        <v>2040</v>
      </c>
      <c r="BA139" s="24" t="s">
        <v>10262</v>
      </c>
      <c r="BB139" s="100">
        <f>+SUM(BB132:BB138)</f>
        <v>578830.8600000001</v>
      </c>
      <c r="BC139" s="24"/>
      <c r="BD139" s="29">
        <v>1312.66</v>
      </c>
      <c r="BE139" s="24" t="s">
        <v>10401</v>
      </c>
      <c r="BF139" s="30">
        <v>218106.73</v>
      </c>
      <c r="BG139" s="24" t="s">
        <v>10472</v>
      </c>
      <c r="BH139" s="128"/>
      <c r="BI139" s="120"/>
      <c r="BJ139" s="72"/>
      <c r="BK139" s="24"/>
      <c r="BL139" s="72"/>
      <c r="BM139" s="24"/>
      <c r="BN139" s="72"/>
      <c r="BO139" s="24"/>
      <c r="BP139" s="72"/>
      <c r="BQ139" s="24"/>
      <c r="BR139" s="72"/>
      <c r="BS139" s="24"/>
      <c r="BT139" s="72"/>
      <c r="BU139" s="24"/>
      <c r="BV139" s="72"/>
      <c r="BW139" s="24"/>
      <c r="BX139" s="72"/>
      <c r="BY139" s="24"/>
      <c r="BZ139" s="72"/>
      <c r="CA139" s="24"/>
      <c r="CB139" s="72"/>
      <c r="CC139" s="24"/>
      <c r="CD139" s="72"/>
      <c r="CE139" s="24"/>
      <c r="CF139" s="72"/>
      <c r="CG139" s="24"/>
      <c r="CH139" s="72"/>
      <c r="CI139" s="24"/>
      <c r="CJ139" s="72"/>
      <c r="CK139" s="24"/>
      <c r="CL139" s="72"/>
      <c r="CM139" s="24"/>
      <c r="CN139" s="72"/>
      <c r="CO139" s="24"/>
      <c r="CP139" s="72"/>
    </row>
    <row r="140" spans="1:94" x14ac:dyDescent="0.25">
      <c r="A140" s="41"/>
      <c r="B140" s="183">
        <v>133759.32</v>
      </c>
      <c r="C140" s="153" t="s">
        <v>9208</v>
      </c>
      <c r="D140" s="100">
        <f>+SUM(D134:D139)</f>
        <v>396446.64</v>
      </c>
      <c r="E140" s="15"/>
      <c r="F140" s="122">
        <v>1669.7</v>
      </c>
      <c r="G140" s="166" t="s">
        <v>9272</v>
      </c>
      <c r="H140" s="30">
        <v>1099.01</v>
      </c>
      <c r="I140" s="15" t="s">
        <v>9320</v>
      </c>
      <c r="J140" s="94"/>
      <c r="K140" s="24"/>
      <c r="L140" s="30"/>
      <c r="M140" s="15"/>
      <c r="N140" s="122"/>
      <c r="O140" s="24"/>
      <c r="P140" s="30">
        <v>61234.48</v>
      </c>
      <c r="Q140" s="15" t="s">
        <v>9480</v>
      </c>
      <c r="R140" s="29">
        <v>59129.06</v>
      </c>
      <c r="S140" s="15" t="s">
        <v>9514</v>
      </c>
      <c r="T140" s="30">
        <v>50000</v>
      </c>
      <c r="U140" s="15" t="s">
        <v>9574</v>
      </c>
      <c r="V140" s="29">
        <v>130000</v>
      </c>
      <c r="W140" s="24" t="s">
        <v>9640</v>
      </c>
      <c r="X140" s="29"/>
      <c r="Y140" s="24"/>
      <c r="Z140" s="30">
        <v>4465</v>
      </c>
      <c r="AA140" s="15" t="s">
        <v>9727</v>
      </c>
      <c r="AB140" s="30">
        <v>13000</v>
      </c>
      <c r="AC140" s="15" t="s">
        <v>9768</v>
      </c>
      <c r="AD140" s="29">
        <v>18619.060000000001</v>
      </c>
      <c r="AE140" s="85" t="s">
        <v>9822</v>
      </c>
      <c r="AF140" s="29">
        <v>790</v>
      </c>
      <c r="AG140" s="85" t="s">
        <v>9886</v>
      </c>
      <c r="AH140" s="30"/>
      <c r="AI140" s="15"/>
      <c r="AJ140" s="30"/>
      <c r="AK140" s="86"/>
      <c r="AL140" s="30"/>
      <c r="AM140" s="15"/>
      <c r="AN140" s="30">
        <v>2802</v>
      </c>
      <c r="AO140" s="15" t="s">
        <v>10009</v>
      </c>
      <c r="AP140" s="30">
        <v>1169</v>
      </c>
      <c r="AQ140" s="185" t="s">
        <v>10066</v>
      </c>
      <c r="AR140" s="30">
        <v>1169</v>
      </c>
      <c r="AS140" s="15" t="s">
        <v>10133</v>
      </c>
      <c r="AT140" s="29"/>
      <c r="AU140" s="24"/>
      <c r="AV140" s="96">
        <v>330400</v>
      </c>
      <c r="AW140" s="15" t="s">
        <v>10267</v>
      </c>
      <c r="AX140" s="96"/>
      <c r="AY140" s="15"/>
      <c r="AZ140" s="30">
        <v>5361</v>
      </c>
      <c r="BA140" s="15" t="s">
        <v>10264</v>
      </c>
      <c r="BB140" s="94"/>
      <c r="BC140" s="15"/>
      <c r="BD140" s="30">
        <v>6278</v>
      </c>
      <c r="BE140" s="15" t="s">
        <v>10402</v>
      </c>
      <c r="BF140" s="30">
        <v>234500</v>
      </c>
      <c r="BG140" s="15" t="s">
        <v>10473</v>
      </c>
      <c r="BH140" s="183"/>
      <c r="BI140" s="127"/>
      <c r="BJ140" s="9"/>
      <c r="BK140" s="15"/>
      <c r="BL140" s="9"/>
      <c r="BM140" s="15"/>
      <c r="BN140" s="9"/>
      <c r="BO140" s="15"/>
      <c r="BP140" s="9"/>
      <c r="BQ140" s="15"/>
      <c r="BR140" s="9"/>
      <c r="BS140" s="15"/>
      <c r="BT140" s="9"/>
      <c r="BU140" s="15"/>
      <c r="BV140" s="9"/>
      <c r="BW140" s="15"/>
      <c r="BX140" s="9"/>
      <c r="BY140" s="15"/>
      <c r="BZ140" s="9"/>
      <c r="CA140" s="15"/>
      <c r="CB140" s="9"/>
      <c r="CC140" s="15"/>
      <c r="CD140" s="9"/>
      <c r="CE140" s="15"/>
      <c r="CF140" s="9"/>
      <c r="CG140" s="15"/>
      <c r="CH140" s="9"/>
      <c r="CI140" s="15"/>
      <c r="CJ140" s="9"/>
      <c r="CK140" s="15"/>
      <c r="CL140" s="9"/>
      <c r="CM140" s="15"/>
      <c r="CN140" s="9"/>
      <c r="CO140" s="15"/>
      <c r="CP140" s="9"/>
    </row>
    <row r="141" spans="1:94" x14ac:dyDescent="0.25">
      <c r="A141" s="45"/>
      <c r="B141" s="199">
        <v>1099</v>
      </c>
      <c r="C141" s="153" t="s">
        <v>9216</v>
      </c>
      <c r="D141" s="29"/>
      <c r="E141" s="24"/>
      <c r="F141" s="96">
        <v>1169</v>
      </c>
      <c r="G141" s="162" t="s">
        <v>9281</v>
      </c>
      <c r="H141" s="29">
        <v>2040</v>
      </c>
      <c r="I141" s="24" t="s">
        <v>9324</v>
      </c>
      <c r="J141" s="29"/>
      <c r="K141" s="24"/>
      <c r="L141" s="30"/>
      <c r="M141" s="24"/>
      <c r="N141" s="96"/>
      <c r="O141" s="15"/>
      <c r="P141" s="96">
        <v>72574.27</v>
      </c>
      <c r="Q141" s="15" t="s">
        <v>9481</v>
      </c>
      <c r="R141" s="29">
        <v>361000</v>
      </c>
      <c r="S141" s="15" t="s">
        <v>9515</v>
      </c>
      <c r="T141" s="29">
        <v>200000</v>
      </c>
      <c r="U141" s="24" t="s">
        <v>9575</v>
      </c>
      <c r="V141" s="29">
        <v>320400</v>
      </c>
      <c r="W141" s="24" t="s">
        <v>9642</v>
      </c>
      <c r="X141" s="29"/>
      <c r="Y141" s="24"/>
      <c r="Z141" s="29">
        <v>1099</v>
      </c>
      <c r="AA141" s="24" t="s">
        <v>9729</v>
      </c>
      <c r="AB141" s="29">
        <v>330400</v>
      </c>
      <c r="AC141" s="24" t="s">
        <v>9769</v>
      </c>
      <c r="AD141" s="29">
        <v>200000</v>
      </c>
      <c r="AE141" s="85" t="s">
        <v>9824</v>
      </c>
      <c r="AF141" s="29">
        <v>2861.23</v>
      </c>
      <c r="AG141" s="85" t="s">
        <v>9895</v>
      </c>
      <c r="AH141" s="94"/>
      <c r="AI141" s="24"/>
      <c r="AJ141" s="29"/>
      <c r="AK141" s="85"/>
      <c r="AL141" s="29"/>
      <c r="AM141" s="24"/>
      <c r="AN141" s="29">
        <v>1169</v>
      </c>
      <c r="AO141" s="24" t="s">
        <v>10017</v>
      </c>
      <c r="AP141" s="29">
        <v>2065</v>
      </c>
      <c r="AQ141" s="184" t="s">
        <v>10067</v>
      </c>
      <c r="AR141" s="100">
        <f>+SUM(AR135:AR140)</f>
        <v>45453.68</v>
      </c>
      <c r="AS141" s="24"/>
      <c r="AT141" s="96"/>
      <c r="AU141" s="15"/>
      <c r="AV141" s="96">
        <v>294500</v>
      </c>
      <c r="AW141" s="15" t="s">
        <v>10268</v>
      </c>
      <c r="AX141" s="96"/>
      <c r="AY141" s="15"/>
      <c r="AZ141" s="97">
        <f>+SUM(AZ132:AZ140)</f>
        <v>839618.93</v>
      </c>
      <c r="BA141" s="24"/>
      <c r="BB141" s="29">
        <v>100000</v>
      </c>
      <c r="BC141" s="24" t="s">
        <v>10349</v>
      </c>
      <c r="BD141" s="29">
        <v>22745.599999999999</v>
      </c>
      <c r="BE141" s="24" t="s">
        <v>10407</v>
      </c>
      <c r="BF141" s="30">
        <v>1000</v>
      </c>
      <c r="BG141" s="15" t="s">
        <v>10475</v>
      </c>
      <c r="BH141" s="183"/>
      <c r="BI141" s="127"/>
      <c r="BJ141" s="72"/>
      <c r="BK141" s="24"/>
      <c r="BL141" s="72"/>
      <c r="BM141" s="24"/>
      <c r="BN141" s="72"/>
      <c r="BO141" s="24"/>
      <c r="BP141" s="72"/>
      <c r="BQ141" s="24"/>
      <c r="BR141" s="72"/>
      <c r="BS141" s="24"/>
      <c r="BT141" s="72"/>
      <c r="BU141" s="24"/>
      <c r="BV141" s="72"/>
      <c r="BW141" s="24"/>
      <c r="BX141" s="72"/>
      <c r="BY141" s="24"/>
      <c r="BZ141" s="72"/>
      <c r="CA141" s="24"/>
      <c r="CB141" s="72"/>
      <c r="CC141" s="24"/>
      <c r="CD141" s="72"/>
      <c r="CE141" s="24"/>
      <c r="CF141" s="72"/>
      <c r="CG141" s="24"/>
      <c r="CH141" s="72"/>
      <c r="CI141" s="24"/>
      <c r="CJ141" s="72"/>
      <c r="CK141" s="24"/>
      <c r="CL141" s="72"/>
      <c r="CM141" s="24"/>
      <c r="CN141" s="72"/>
      <c r="CO141" s="24"/>
      <c r="CP141" s="72"/>
    </row>
    <row r="142" spans="1:94" x14ac:dyDescent="0.25">
      <c r="A142" s="45"/>
      <c r="B142" s="183">
        <v>3198.98</v>
      </c>
      <c r="C142" s="153" t="s">
        <v>9218</v>
      </c>
      <c r="D142" s="29"/>
      <c r="E142" s="24"/>
      <c r="F142" s="122">
        <v>2283.0100000000002</v>
      </c>
      <c r="G142" s="166" t="s">
        <v>9286</v>
      </c>
      <c r="H142" s="29">
        <v>3362</v>
      </c>
      <c r="I142" s="24" t="s">
        <v>9325</v>
      </c>
      <c r="J142" s="29"/>
      <c r="K142" s="24"/>
      <c r="L142" s="30"/>
      <c r="M142" s="24"/>
      <c r="N142" s="96"/>
      <c r="O142" s="15"/>
      <c r="P142" s="29">
        <v>61234.48</v>
      </c>
      <c r="Q142" s="24" t="s">
        <v>9482</v>
      </c>
      <c r="R142" s="29">
        <v>11076.52</v>
      </c>
      <c r="S142" s="24" t="s">
        <v>9516</v>
      </c>
      <c r="T142" s="96">
        <v>30000</v>
      </c>
      <c r="U142" s="26" t="s">
        <v>9577</v>
      </c>
      <c r="V142" s="29">
        <v>234500</v>
      </c>
      <c r="W142" s="24" t="s">
        <v>9643</v>
      </c>
      <c r="X142" s="29"/>
      <c r="Y142" s="24"/>
      <c r="Z142" s="122">
        <v>1970</v>
      </c>
      <c r="AA142" s="24" t="s">
        <v>9733</v>
      </c>
      <c r="AB142" s="29">
        <v>234300</v>
      </c>
      <c r="AC142" s="24" t="s">
        <v>9770</v>
      </c>
      <c r="AD142" s="29">
        <v>2517</v>
      </c>
      <c r="AE142" s="85" t="s">
        <v>9826</v>
      </c>
      <c r="AF142" s="29">
        <v>1023</v>
      </c>
      <c r="AG142" s="85" t="s">
        <v>9896</v>
      </c>
      <c r="AH142" s="94"/>
      <c r="AI142" s="24"/>
      <c r="AJ142" s="29"/>
      <c r="AK142" s="85"/>
      <c r="AL142" s="29"/>
      <c r="AM142" s="24"/>
      <c r="AN142" s="29">
        <v>1099</v>
      </c>
      <c r="AO142" s="24" t="s">
        <v>10026</v>
      </c>
      <c r="AP142" s="29">
        <v>4649</v>
      </c>
      <c r="AQ142" s="184" t="s">
        <v>10069</v>
      </c>
      <c r="AR142" s="29"/>
      <c r="AS142" s="24"/>
      <c r="AT142" s="98"/>
      <c r="AU142" s="15"/>
      <c r="AV142" s="105">
        <v>5000</v>
      </c>
      <c r="AW142" s="106" t="s">
        <v>10269</v>
      </c>
      <c r="AX142" s="105"/>
      <c r="AY142" s="106"/>
      <c r="AZ142" s="29"/>
      <c r="BA142" s="24"/>
      <c r="BB142" s="29">
        <v>344600</v>
      </c>
      <c r="BC142" s="24" t="s">
        <v>10352</v>
      </c>
      <c r="BD142" s="29">
        <v>1169</v>
      </c>
      <c r="BE142" s="24" t="s">
        <v>10409</v>
      </c>
      <c r="BF142" s="29">
        <v>18600</v>
      </c>
      <c r="BG142" s="24" t="s">
        <v>10476</v>
      </c>
      <c r="BH142" s="183"/>
      <c r="BI142" s="127"/>
      <c r="BJ142" s="72"/>
      <c r="BK142" s="24"/>
      <c r="BL142" s="72"/>
      <c r="BM142" s="24"/>
      <c r="BN142" s="72"/>
      <c r="BO142" s="24"/>
      <c r="BP142" s="72"/>
      <c r="BQ142" s="24"/>
      <c r="BR142" s="72"/>
      <c r="BS142" s="24"/>
      <c r="BT142" s="72"/>
      <c r="BU142" s="24"/>
      <c r="BV142" s="72"/>
      <c r="BW142" s="24"/>
      <c r="BX142" s="72"/>
      <c r="BY142" s="24"/>
      <c r="BZ142" s="72"/>
      <c r="CA142" s="24"/>
      <c r="CB142" s="72"/>
      <c r="CC142" s="24"/>
      <c r="CD142" s="72"/>
      <c r="CE142" s="24"/>
      <c r="CF142" s="72"/>
      <c r="CG142" s="24"/>
      <c r="CH142" s="72"/>
      <c r="CI142" s="24"/>
      <c r="CJ142" s="72"/>
      <c r="CK142" s="24"/>
      <c r="CL142" s="72"/>
      <c r="CM142" s="24"/>
      <c r="CN142" s="72"/>
      <c r="CO142" s="24"/>
      <c r="CP142" s="72"/>
    </row>
    <row r="143" spans="1:94" x14ac:dyDescent="0.25">
      <c r="A143" s="45"/>
      <c r="B143" s="183">
        <v>1169</v>
      </c>
      <c r="C143" s="153" t="s">
        <v>9227</v>
      </c>
      <c r="D143" s="94"/>
      <c r="E143" s="24"/>
      <c r="F143" s="122">
        <v>4018</v>
      </c>
      <c r="G143" s="24" t="s">
        <v>9260</v>
      </c>
      <c r="H143" s="97">
        <f>+SUM(H132:H142)</f>
        <v>439800.24000000005</v>
      </c>
      <c r="I143" s="24"/>
      <c r="J143" s="29"/>
      <c r="K143" s="24"/>
      <c r="L143" s="30"/>
      <c r="M143" s="24"/>
      <c r="N143" s="94"/>
      <c r="O143" s="24"/>
      <c r="P143" s="29">
        <v>61234.48</v>
      </c>
      <c r="Q143" s="24" t="s">
        <v>9483</v>
      </c>
      <c r="R143" s="29">
        <v>11076.52</v>
      </c>
      <c r="S143" s="15" t="s">
        <v>9517</v>
      </c>
      <c r="T143" s="96">
        <v>6000</v>
      </c>
      <c r="U143" s="24" t="s">
        <v>9579</v>
      </c>
      <c r="V143" s="31">
        <v>87548.9</v>
      </c>
      <c r="W143" s="24" t="s">
        <v>9644</v>
      </c>
      <c r="X143" s="32"/>
      <c r="Y143" s="24"/>
      <c r="Z143" s="122">
        <v>2040</v>
      </c>
      <c r="AA143" s="24" t="s">
        <v>9734</v>
      </c>
      <c r="AB143" s="31">
        <v>5264</v>
      </c>
      <c r="AC143" s="24" t="s">
        <v>9773</v>
      </c>
      <c r="AD143" s="29">
        <v>2420</v>
      </c>
      <c r="AE143" s="85" t="s">
        <v>9831</v>
      </c>
      <c r="AF143" s="97">
        <f>+SUM(AF136:AF142)</f>
        <v>445043.23</v>
      </c>
      <c r="AG143" s="24"/>
      <c r="AH143" s="96"/>
      <c r="AI143" s="15"/>
      <c r="AJ143" s="29"/>
      <c r="AK143" s="85"/>
      <c r="AL143" s="29"/>
      <c r="AM143" s="24"/>
      <c r="AN143" s="97">
        <f>+SUM(AN134:AN142)</f>
        <v>906321.17999999993</v>
      </c>
      <c r="AO143" s="24"/>
      <c r="AP143" s="29">
        <v>4169</v>
      </c>
      <c r="AQ143" s="184" t="s">
        <v>10070</v>
      </c>
      <c r="AR143" s="29"/>
      <c r="AS143" s="24"/>
      <c r="AT143" s="29"/>
      <c r="AU143" s="24"/>
      <c r="AV143" s="29">
        <v>5000</v>
      </c>
      <c r="AW143" s="108" t="s">
        <v>10270</v>
      </c>
      <c r="AX143" s="207"/>
      <c r="AY143" s="106"/>
      <c r="AZ143" s="29">
        <v>3065</v>
      </c>
      <c r="BA143" s="24" t="s">
        <v>10330</v>
      </c>
      <c r="BB143" s="29">
        <v>1657</v>
      </c>
      <c r="BC143" s="24" t="s">
        <v>10367</v>
      </c>
      <c r="BD143" s="97">
        <f>+SUM(BD132:BD142)</f>
        <v>880867.08999999985</v>
      </c>
      <c r="BE143" s="24"/>
      <c r="BF143" s="29">
        <v>3320</v>
      </c>
      <c r="BG143" s="24" t="s">
        <v>10477</v>
      </c>
      <c r="BH143" s="183"/>
      <c r="BI143" s="127"/>
      <c r="BJ143" s="72"/>
      <c r="BK143" s="24"/>
      <c r="BL143" s="72"/>
      <c r="BM143" s="24"/>
      <c r="BN143" s="72"/>
      <c r="BO143" s="24"/>
      <c r="BP143" s="72"/>
      <c r="BQ143" s="24"/>
      <c r="BR143" s="72"/>
      <c r="BS143" s="24"/>
      <c r="BT143" s="72"/>
      <c r="BU143" s="24"/>
      <c r="BV143" s="72"/>
      <c r="BW143" s="24"/>
      <c r="BX143" s="72"/>
      <c r="BY143" s="24"/>
      <c r="BZ143" s="72"/>
      <c r="CA143" s="24"/>
      <c r="CB143" s="72"/>
      <c r="CC143" s="24"/>
      <c r="CD143" s="72"/>
      <c r="CE143" s="24"/>
      <c r="CF143" s="72"/>
      <c r="CG143" s="24"/>
      <c r="CH143" s="72"/>
      <c r="CI143" s="24"/>
      <c r="CJ143" s="72"/>
      <c r="CK143" s="24"/>
      <c r="CL143" s="72"/>
      <c r="CM143" s="24"/>
      <c r="CN143" s="72"/>
      <c r="CO143" s="24"/>
      <c r="CP143" s="72"/>
    </row>
    <row r="144" spans="1:94" x14ac:dyDescent="0.25">
      <c r="A144" s="45"/>
      <c r="B144" s="183">
        <v>3169</v>
      </c>
      <c r="C144" s="153" t="s">
        <v>9228</v>
      </c>
      <c r="D144" s="29"/>
      <c r="E144" s="24"/>
      <c r="F144" s="200">
        <f>+SUM(F134:F143)</f>
        <v>2243530.31</v>
      </c>
      <c r="G144" s="24"/>
      <c r="H144" s="29"/>
      <c r="I144" s="24"/>
      <c r="J144" s="29"/>
      <c r="K144" s="24"/>
      <c r="L144" s="30"/>
      <c r="M144" s="24"/>
      <c r="N144" s="29"/>
      <c r="O144" s="24"/>
      <c r="P144" s="29">
        <v>61234.48</v>
      </c>
      <c r="Q144" s="24" t="s">
        <v>9484</v>
      </c>
      <c r="R144" s="29">
        <v>80000</v>
      </c>
      <c r="S144" s="24" t="s">
        <v>9518</v>
      </c>
      <c r="T144" s="122">
        <v>234500</v>
      </c>
      <c r="U144" s="24" t="s">
        <v>9580</v>
      </c>
      <c r="V144" s="31">
        <v>52176.94</v>
      </c>
      <c r="W144" s="24" t="s">
        <v>9645</v>
      </c>
      <c r="X144" s="32"/>
      <c r="Y144" s="24"/>
      <c r="Z144" s="122">
        <v>62234.16</v>
      </c>
      <c r="AA144" s="24" t="s">
        <v>9744</v>
      </c>
      <c r="AB144" s="29">
        <v>12424.25</v>
      </c>
      <c r="AC144" s="24" t="s">
        <v>9774</v>
      </c>
      <c r="AD144" s="31">
        <v>3250</v>
      </c>
      <c r="AE144" s="85" t="s">
        <v>9832</v>
      </c>
      <c r="AF144" s="29"/>
      <c r="AG144" s="24"/>
      <c r="AH144" s="96"/>
      <c r="AI144" s="15"/>
      <c r="AJ144" s="94"/>
      <c r="AK144" s="85"/>
      <c r="AL144" s="29"/>
      <c r="AM144" s="24"/>
      <c r="AN144" s="29"/>
      <c r="AO144" s="24"/>
      <c r="AP144" s="29">
        <v>1169</v>
      </c>
      <c r="AQ144" s="184" t="s">
        <v>10072</v>
      </c>
      <c r="AR144" s="29"/>
      <c r="AS144" s="24"/>
      <c r="AT144" s="29"/>
      <c r="AU144" s="24"/>
      <c r="AV144" s="30">
        <v>100000</v>
      </c>
      <c r="AW144" s="106" t="s">
        <v>10274</v>
      </c>
      <c r="AX144" s="105"/>
      <c r="AY144" s="106"/>
      <c r="AZ144" s="29">
        <v>1169</v>
      </c>
      <c r="BA144" s="24" t="s">
        <v>10330</v>
      </c>
      <c r="BB144" s="94">
        <v>3250</v>
      </c>
      <c r="BC144" s="24" t="s">
        <v>10370</v>
      </c>
      <c r="BD144" s="29"/>
      <c r="BE144" s="24"/>
      <c r="BF144" s="29">
        <v>1626.82</v>
      </c>
      <c r="BG144" s="24" t="s">
        <v>10478</v>
      </c>
      <c r="BH144" s="96"/>
      <c r="BI144" s="15"/>
      <c r="BJ144" s="72"/>
      <c r="BK144" s="24"/>
      <c r="BL144" s="72"/>
      <c r="BM144" s="24"/>
      <c r="BN144" s="72"/>
      <c r="BO144" s="24"/>
      <c r="BP144" s="72"/>
      <c r="BQ144" s="24"/>
      <c r="BR144" s="72"/>
      <c r="BS144" s="24"/>
      <c r="BT144" s="72"/>
      <c r="BU144" s="24"/>
      <c r="BV144" s="72"/>
      <c r="BW144" s="24"/>
      <c r="BX144" s="72"/>
      <c r="BY144" s="24"/>
      <c r="BZ144" s="72"/>
      <c r="CA144" s="24"/>
      <c r="CB144" s="72"/>
      <c r="CC144" s="24"/>
      <c r="CD144" s="72"/>
      <c r="CE144" s="24"/>
      <c r="CF144" s="72"/>
      <c r="CG144" s="24"/>
      <c r="CH144" s="72"/>
      <c r="CI144" s="24"/>
      <c r="CJ144" s="72"/>
      <c r="CK144" s="24"/>
      <c r="CL144" s="72"/>
      <c r="CM144" s="24"/>
      <c r="CN144" s="72"/>
      <c r="CO144" s="24"/>
      <c r="CP144" s="72"/>
    </row>
    <row r="145" spans="1:94" x14ac:dyDescent="0.25">
      <c r="A145" s="45"/>
      <c r="B145" s="183">
        <v>1099</v>
      </c>
      <c r="C145" s="153" t="s">
        <v>9229</v>
      </c>
      <c r="D145" s="29"/>
      <c r="E145" s="24"/>
      <c r="F145" s="122"/>
      <c r="G145" s="24"/>
      <c r="H145" s="31">
        <v>67000</v>
      </c>
      <c r="I145" s="15" t="s">
        <v>9340</v>
      </c>
      <c r="J145" s="31"/>
      <c r="K145" s="15"/>
      <c r="L145" s="29"/>
      <c r="M145" s="24"/>
      <c r="N145" s="29"/>
      <c r="O145" s="24"/>
      <c r="P145" s="31">
        <v>40000</v>
      </c>
      <c r="Q145" s="24" t="s">
        <v>9485</v>
      </c>
      <c r="R145" s="31">
        <v>18991</v>
      </c>
      <c r="S145" s="24" t="s">
        <v>9519</v>
      </c>
      <c r="T145" s="104">
        <v>2954</v>
      </c>
      <c r="U145" s="24" t="s">
        <v>9587</v>
      </c>
      <c r="V145" s="97">
        <f>+SUM(V139:V144)</f>
        <v>874625.84000000008</v>
      </c>
      <c r="W145" s="24"/>
      <c r="X145" s="29"/>
      <c r="Y145" s="24"/>
      <c r="Z145" s="200">
        <f>+SUM(Z137:Z144)</f>
        <v>472514.37</v>
      </c>
      <c r="AA145" s="24"/>
      <c r="AB145" s="29">
        <v>18990.990000000002</v>
      </c>
      <c r="AC145" s="24" t="s">
        <v>9775</v>
      </c>
      <c r="AD145" s="31">
        <v>1969.99</v>
      </c>
      <c r="AE145" s="85" t="s">
        <v>9837</v>
      </c>
      <c r="AF145" s="29"/>
      <c r="AG145" s="24"/>
      <c r="AH145" s="29"/>
      <c r="AI145" s="24"/>
      <c r="AJ145" s="29"/>
      <c r="AK145" s="85"/>
      <c r="AL145" s="29"/>
      <c r="AM145" s="24"/>
      <c r="AN145" s="29"/>
      <c r="AO145" s="24"/>
      <c r="AP145" s="29">
        <v>1169</v>
      </c>
      <c r="AQ145" s="184" t="s">
        <v>10073</v>
      </c>
      <c r="AR145" s="29"/>
      <c r="AS145" s="24"/>
      <c r="AT145" s="96"/>
      <c r="AU145" s="15"/>
      <c r="AV145" s="29">
        <v>253100</v>
      </c>
      <c r="AW145" s="108" t="s">
        <v>10276</v>
      </c>
      <c r="AX145" s="29"/>
      <c r="AY145" s="108"/>
      <c r="AZ145" s="30">
        <v>4395.01</v>
      </c>
      <c r="BA145" s="24" t="s">
        <v>10331</v>
      </c>
      <c r="BB145" s="29">
        <v>3866</v>
      </c>
      <c r="BC145" s="24" t="s">
        <v>10371</v>
      </c>
      <c r="BD145" s="29">
        <v>44938.74</v>
      </c>
      <c r="BE145" s="24" t="s">
        <v>10432</v>
      </c>
      <c r="BF145" s="29">
        <v>3169</v>
      </c>
      <c r="BG145" s="24" t="s">
        <v>10482</v>
      </c>
      <c r="BH145" s="96"/>
      <c r="BI145" s="15"/>
      <c r="BJ145" s="72"/>
      <c r="BK145" s="24"/>
      <c r="BL145" s="72"/>
      <c r="BM145" s="24"/>
      <c r="BN145" s="72"/>
      <c r="BO145" s="24"/>
      <c r="BP145" s="24"/>
      <c r="BQ145" s="24"/>
      <c r="BR145" s="72"/>
      <c r="BS145" s="24"/>
      <c r="BT145" s="72"/>
      <c r="BU145" s="24"/>
      <c r="BV145" s="72"/>
      <c r="BW145" s="24"/>
      <c r="BX145" s="72"/>
      <c r="BY145" s="24"/>
      <c r="BZ145" s="72"/>
      <c r="CA145" s="24"/>
      <c r="CB145" s="72"/>
      <c r="CC145" s="24"/>
      <c r="CD145" s="72"/>
      <c r="CE145" s="24"/>
      <c r="CF145" s="72"/>
      <c r="CG145" s="24"/>
      <c r="CH145" s="72"/>
      <c r="CI145" s="24"/>
      <c r="CJ145" s="72"/>
      <c r="CK145" s="24"/>
      <c r="CL145" s="72"/>
      <c r="CM145" s="24"/>
      <c r="CN145" s="72"/>
      <c r="CO145" s="24"/>
      <c r="CP145" s="72"/>
    </row>
    <row r="146" spans="1:94" x14ac:dyDescent="0.25">
      <c r="A146" s="41"/>
      <c r="B146" s="115">
        <f>+SUM(B136:B145)</f>
        <v>426480.20999999996</v>
      </c>
      <c r="C146" s="24"/>
      <c r="D146" s="96"/>
      <c r="E146" s="26"/>
      <c r="F146" s="104"/>
      <c r="G146" s="15"/>
      <c r="H146" s="96">
        <v>3239</v>
      </c>
      <c r="I146" s="15" t="s">
        <v>9344</v>
      </c>
      <c r="J146" s="101"/>
      <c r="K146" s="57"/>
      <c r="L146" s="30"/>
      <c r="M146" s="15"/>
      <c r="N146" s="30"/>
      <c r="O146" s="15"/>
      <c r="P146" s="30">
        <v>2591.09</v>
      </c>
      <c r="Q146" s="15" t="s">
        <v>9489</v>
      </c>
      <c r="R146" s="31">
        <v>5500</v>
      </c>
      <c r="S146" s="15" t="s">
        <v>9521</v>
      </c>
      <c r="T146" s="96">
        <v>1169</v>
      </c>
      <c r="U146" s="15" t="s">
        <v>9589</v>
      </c>
      <c r="V146" s="30"/>
      <c r="W146" s="15"/>
      <c r="X146" s="30"/>
      <c r="Y146" s="15"/>
      <c r="Z146" s="122"/>
      <c r="AA146" s="15"/>
      <c r="AB146" s="30">
        <v>145000</v>
      </c>
      <c r="AC146" s="15" t="s">
        <v>9776</v>
      </c>
      <c r="AD146" s="31">
        <v>3250</v>
      </c>
      <c r="AE146" s="86" t="s">
        <v>9839</v>
      </c>
      <c r="AF146" s="29"/>
      <c r="AG146" s="24"/>
      <c r="AH146" s="30"/>
      <c r="AI146" s="15"/>
      <c r="AJ146" s="30"/>
      <c r="AK146" s="15"/>
      <c r="AL146" s="30"/>
      <c r="AM146" s="15"/>
      <c r="AN146" s="30"/>
      <c r="AO146" s="15"/>
      <c r="AP146" s="30">
        <f>8988.46-1031.99</f>
        <v>7956.4699999999993</v>
      </c>
      <c r="AQ146" s="185" t="s">
        <v>10074</v>
      </c>
      <c r="AR146" s="30"/>
      <c r="AS146" s="15"/>
      <c r="AT146" s="94"/>
      <c r="AU146" s="24"/>
      <c r="AV146" s="30">
        <v>5000</v>
      </c>
      <c r="AW146" s="108" t="s">
        <v>10275</v>
      </c>
      <c r="AX146" s="30"/>
      <c r="AY146" s="106"/>
      <c r="AZ146" s="30">
        <v>1099</v>
      </c>
      <c r="BA146" s="15" t="s">
        <v>10333</v>
      </c>
      <c r="BB146" s="30">
        <v>4545</v>
      </c>
      <c r="BC146" s="15" t="s">
        <v>10372</v>
      </c>
      <c r="BD146" s="30">
        <v>7123.58</v>
      </c>
      <c r="BE146" s="15" t="s">
        <v>10433</v>
      </c>
      <c r="BF146" s="30">
        <v>2553</v>
      </c>
      <c r="BG146" s="15" t="s">
        <v>10487</v>
      </c>
      <c r="BH146" s="183"/>
      <c r="BI146" s="127"/>
      <c r="BJ146" s="72"/>
      <c r="BK146" s="15"/>
      <c r="BL146" s="9"/>
      <c r="BM146" s="15"/>
      <c r="BN146" s="9"/>
      <c r="BO146" s="15"/>
      <c r="BP146" s="9"/>
      <c r="BQ146" s="15"/>
      <c r="BR146" s="9"/>
      <c r="BS146" s="15"/>
      <c r="BT146" s="9"/>
      <c r="BU146" s="15"/>
      <c r="BV146" s="9"/>
      <c r="BW146" s="15"/>
      <c r="BX146" s="9"/>
      <c r="BY146" s="15"/>
      <c r="BZ146" s="9"/>
      <c r="CA146" s="15"/>
      <c r="CB146" s="9"/>
      <c r="CC146" s="15"/>
      <c r="CD146" s="9"/>
      <c r="CE146" s="15"/>
      <c r="CF146" s="9"/>
      <c r="CG146" s="15"/>
      <c r="CH146" s="9"/>
      <c r="CI146" s="15"/>
      <c r="CJ146" s="9"/>
      <c r="CK146" s="15"/>
      <c r="CL146" s="9"/>
      <c r="CM146" s="15"/>
      <c r="CN146" s="9"/>
      <c r="CO146" s="15"/>
      <c r="CP146" s="9"/>
    </row>
    <row r="147" spans="1:94" x14ac:dyDescent="0.25">
      <c r="A147" s="50"/>
      <c r="B147" s="104"/>
      <c r="C147" s="24"/>
      <c r="D147" s="32"/>
      <c r="E147" s="57"/>
      <c r="F147" s="165"/>
      <c r="G147" s="57"/>
      <c r="H147" s="31">
        <v>1169</v>
      </c>
      <c r="I147" s="24" t="s">
        <v>9346</v>
      </c>
      <c r="J147" s="31"/>
      <c r="K147" s="24"/>
      <c r="L147" s="104"/>
      <c r="M147" s="57"/>
      <c r="N147" s="29"/>
      <c r="O147" s="57"/>
      <c r="P147" s="101">
        <v>2536</v>
      </c>
      <c r="Q147" s="57" t="s">
        <v>9492</v>
      </c>
      <c r="R147" s="101">
        <v>5500</v>
      </c>
      <c r="S147" s="57" t="s">
        <v>9522</v>
      </c>
      <c r="T147" s="165">
        <v>2040</v>
      </c>
      <c r="U147" s="57" t="s">
        <v>9590</v>
      </c>
      <c r="V147" s="63"/>
      <c r="W147" s="57"/>
      <c r="X147" s="63"/>
      <c r="Y147" s="57"/>
      <c r="Z147" s="165"/>
      <c r="AA147" s="57"/>
      <c r="AB147" s="101">
        <v>7216.64</v>
      </c>
      <c r="AC147" s="57" t="s">
        <v>9777</v>
      </c>
      <c r="AD147" s="31">
        <v>3320</v>
      </c>
      <c r="AE147" s="86" t="s">
        <v>9840</v>
      </c>
      <c r="AF147" s="29"/>
      <c r="AG147" s="24"/>
      <c r="AH147" s="101"/>
      <c r="AI147" s="57"/>
      <c r="AJ147" s="63"/>
      <c r="AK147" s="57"/>
      <c r="AL147" s="101"/>
      <c r="AM147" s="57"/>
      <c r="AN147" s="29"/>
      <c r="AO147" s="57"/>
      <c r="AP147" s="169">
        <f>+SUM(AP134:AP146)</f>
        <v>804205.89999999991</v>
      </c>
      <c r="AQ147" s="186"/>
      <c r="AR147" s="101"/>
      <c r="AS147" s="57"/>
      <c r="AT147" s="98"/>
      <c r="AU147" s="57"/>
      <c r="AV147" s="29">
        <v>1099</v>
      </c>
      <c r="AW147" s="108" t="s">
        <v>10282</v>
      </c>
      <c r="AX147" s="29"/>
      <c r="AY147" s="108"/>
      <c r="AZ147" s="96">
        <v>1169</v>
      </c>
      <c r="BA147" s="26" t="s">
        <v>10338</v>
      </c>
      <c r="BB147" s="101">
        <v>3482</v>
      </c>
      <c r="BC147" s="57" t="s">
        <v>10373</v>
      </c>
      <c r="BD147" s="101">
        <v>5000</v>
      </c>
      <c r="BE147" s="57" t="s">
        <v>10434</v>
      </c>
      <c r="BF147" s="101">
        <v>4216</v>
      </c>
      <c r="BG147" s="57" t="s">
        <v>10488</v>
      </c>
      <c r="BH147" s="183"/>
      <c r="BI147" s="127"/>
      <c r="BJ147" s="73"/>
      <c r="BK147" s="57"/>
      <c r="BL147" s="73"/>
      <c r="BM147" s="57"/>
      <c r="BN147" s="57"/>
      <c r="BO147" s="57"/>
      <c r="BP147" s="73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</row>
    <row r="148" spans="1:94" x14ac:dyDescent="0.25">
      <c r="A148" s="46"/>
      <c r="B148" s="114"/>
      <c r="C148" s="13"/>
      <c r="D148" s="31"/>
      <c r="E148" s="24"/>
      <c r="F148" s="104"/>
      <c r="G148" s="24"/>
      <c r="H148" s="148">
        <f>+SUM(H145:H147)</f>
        <v>71408</v>
      </c>
      <c r="I148" s="24"/>
      <c r="J148" s="31"/>
      <c r="K148" s="24"/>
      <c r="L148" s="104"/>
      <c r="M148" s="24"/>
      <c r="N148" s="31"/>
      <c r="O148" s="24"/>
      <c r="P148" s="31">
        <v>1970</v>
      </c>
      <c r="Q148" s="24" t="s">
        <v>9498</v>
      </c>
      <c r="R148" s="31">
        <v>18991</v>
      </c>
      <c r="S148" s="24" t="s">
        <v>9523</v>
      </c>
      <c r="T148" s="104">
        <v>3065</v>
      </c>
      <c r="U148" s="24" t="s">
        <v>9593</v>
      </c>
      <c r="V148" s="31"/>
      <c r="W148" s="24"/>
      <c r="X148" s="31"/>
      <c r="Y148" s="24"/>
      <c r="Z148" s="104"/>
      <c r="AA148" s="24"/>
      <c r="AB148" s="31">
        <v>193.36</v>
      </c>
      <c r="AC148" s="24" t="s">
        <v>9777</v>
      </c>
      <c r="AD148" s="148">
        <f>+SUM(AD137:AD147)</f>
        <v>236016.36</v>
      </c>
      <c r="AE148" s="85"/>
      <c r="AF148" s="29"/>
      <c r="AG148" s="24"/>
      <c r="AH148" s="32"/>
      <c r="AI148" s="24"/>
      <c r="AJ148" s="31"/>
      <c r="AK148" s="24"/>
      <c r="AL148" s="32"/>
      <c r="AM148" s="24"/>
      <c r="AN148" s="31"/>
      <c r="AO148" s="24"/>
      <c r="AP148" s="31"/>
      <c r="AQ148" s="184"/>
      <c r="AR148" s="31"/>
      <c r="AS148" s="24"/>
      <c r="AT148" s="30"/>
      <c r="AU148" s="24"/>
      <c r="AV148" s="78">
        <v>3320</v>
      </c>
      <c r="AW148" s="106" t="s">
        <v>10283</v>
      </c>
      <c r="AX148" s="78"/>
      <c r="AY148" s="106"/>
      <c r="AZ148" s="31">
        <v>2553</v>
      </c>
      <c r="BA148" s="24" t="s">
        <v>10339</v>
      </c>
      <c r="BB148" s="206">
        <v>4465</v>
      </c>
      <c r="BC148" s="24" t="s">
        <v>10374</v>
      </c>
      <c r="BD148" s="104">
        <v>20404.87</v>
      </c>
      <c r="BE148" s="24" t="s">
        <v>10435</v>
      </c>
      <c r="BF148" s="104">
        <v>1169</v>
      </c>
      <c r="BG148" s="24" t="s">
        <v>10496</v>
      </c>
      <c r="BH148" s="183"/>
      <c r="BI148" s="127"/>
      <c r="BJ148" s="72"/>
      <c r="BK148" s="24"/>
      <c r="BL148" s="72"/>
      <c r="BM148" s="24"/>
      <c r="BN148" s="72"/>
      <c r="BO148" s="24"/>
      <c r="BP148" s="72"/>
      <c r="BQ148" s="24"/>
      <c r="BR148" s="72"/>
      <c r="BS148" s="24"/>
      <c r="BT148" s="72"/>
      <c r="BU148" s="24"/>
      <c r="BV148" s="72"/>
      <c r="BW148" s="24"/>
      <c r="BX148" s="72"/>
      <c r="BY148" s="24"/>
      <c r="BZ148" s="72"/>
      <c r="CA148" s="24"/>
      <c r="CB148" s="72"/>
      <c r="CC148" s="24"/>
      <c r="CD148" s="72"/>
      <c r="CE148" s="24"/>
      <c r="CF148" s="72"/>
      <c r="CG148" s="24"/>
      <c r="CH148" s="72"/>
      <c r="CI148" s="24"/>
      <c r="CJ148" s="72"/>
      <c r="CK148" s="24"/>
      <c r="CL148" s="72"/>
      <c r="CM148" s="24"/>
      <c r="CN148" s="72"/>
      <c r="CO148" s="24"/>
      <c r="CP148" s="72"/>
    </row>
    <row r="149" spans="1:94" x14ac:dyDescent="0.25">
      <c r="A149" s="46"/>
      <c r="B149" s="96"/>
      <c r="C149" s="15"/>
      <c r="D149" s="31"/>
      <c r="E149" s="24"/>
      <c r="F149" s="104"/>
      <c r="G149" s="24"/>
      <c r="H149" s="31"/>
      <c r="I149" s="24"/>
      <c r="J149" s="104"/>
      <c r="K149" s="24"/>
      <c r="L149" s="31"/>
      <c r="M149" s="24"/>
      <c r="N149" s="31"/>
      <c r="O149" s="24"/>
      <c r="P149" s="104">
        <v>696</v>
      </c>
      <c r="Q149" s="24" t="s">
        <v>9503</v>
      </c>
      <c r="R149" s="31">
        <v>2222</v>
      </c>
      <c r="S149" s="24" t="s">
        <v>9531</v>
      </c>
      <c r="T149" s="96">
        <v>9360</v>
      </c>
      <c r="U149" s="26" t="s">
        <v>9578</v>
      </c>
      <c r="V149" s="31"/>
      <c r="W149" s="24"/>
      <c r="X149" s="31"/>
      <c r="Y149" s="24"/>
      <c r="Z149" s="116"/>
      <c r="AA149" s="24"/>
      <c r="AB149" s="104">
        <v>9621.26</v>
      </c>
      <c r="AC149" s="24" t="s">
        <v>9778</v>
      </c>
      <c r="AD149" s="31"/>
      <c r="AE149" s="24"/>
      <c r="AF149" s="29"/>
      <c r="AG149" s="24"/>
      <c r="AH149" s="32"/>
      <c r="AI149" s="24"/>
      <c r="AJ149" s="31"/>
      <c r="AK149" s="24"/>
      <c r="AL149" s="32"/>
      <c r="AM149" s="24"/>
      <c r="AN149" s="31"/>
      <c r="AO149" s="24"/>
      <c r="AP149" s="104"/>
      <c r="AQ149" s="185"/>
      <c r="AR149" s="31"/>
      <c r="AS149" s="24"/>
      <c r="AT149" s="104"/>
      <c r="AU149" s="26"/>
      <c r="AV149" s="78">
        <v>3458.99</v>
      </c>
      <c r="AW149" s="106" t="s">
        <v>10284</v>
      </c>
      <c r="AX149" s="78"/>
      <c r="AY149" s="106"/>
      <c r="AZ149" s="31">
        <v>2040</v>
      </c>
      <c r="BA149" s="24" t="s">
        <v>10340</v>
      </c>
      <c r="BB149" s="104">
        <v>1374.01</v>
      </c>
      <c r="BC149" s="24" t="s">
        <v>10375</v>
      </c>
      <c r="BD149" s="104">
        <v>286400</v>
      </c>
      <c r="BE149" s="24" t="s">
        <v>10439</v>
      </c>
      <c r="BF149" s="115">
        <f>+SUM(BF139:BF148)</f>
        <v>488260.55</v>
      </c>
      <c r="BG149" s="24"/>
      <c r="BH149" s="183"/>
      <c r="BI149" s="127"/>
      <c r="BJ149" s="72"/>
      <c r="BK149" s="24"/>
      <c r="BL149" s="72"/>
      <c r="BM149" s="24"/>
      <c r="BN149" s="72"/>
      <c r="BO149" s="24"/>
      <c r="BP149" s="72"/>
      <c r="BQ149" s="24"/>
      <c r="BR149" s="72"/>
      <c r="BS149" s="24"/>
      <c r="BT149" s="72"/>
      <c r="BU149" s="24"/>
      <c r="BV149" s="72"/>
      <c r="BW149" s="24"/>
      <c r="BX149" s="72"/>
      <c r="BY149" s="24"/>
      <c r="BZ149" s="72"/>
      <c r="CA149" s="24"/>
      <c r="CB149" s="72"/>
      <c r="CC149" s="24"/>
      <c r="CD149" s="72"/>
      <c r="CE149" s="24"/>
      <c r="CF149" s="72"/>
      <c r="CG149" s="24"/>
      <c r="CH149" s="72"/>
      <c r="CI149" s="24"/>
      <c r="CJ149" s="72"/>
      <c r="CK149" s="24"/>
      <c r="CL149" s="72"/>
      <c r="CM149" s="24"/>
      <c r="CN149" s="72"/>
      <c r="CO149" s="24"/>
      <c r="CP149" s="72"/>
    </row>
    <row r="150" spans="1:94" x14ac:dyDescent="0.25">
      <c r="B150" s="24"/>
      <c r="C150" s="24"/>
      <c r="D150" s="127"/>
      <c r="E150" s="127"/>
      <c r="F150" s="146"/>
      <c r="G150" s="24"/>
      <c r="H150" s="127"/>
      <c r="I150" s="127"/>
      <c r="J150" s="146"/>
      <c r="K150" s="24"/>
      <c r="L150" s="146"/>
      <c r="M150" s="127"/>
      <c r="N150" s="146"/>
      <c r="O150" s="127"/>
      <c r="P150" s="250">
        <v>2040</v>
      </c>
      <c r="Q150" s="24" t="s">
        <v>9504</v>
      </c>
      <c r="R150" s="199">
        <v>1665</v>
      </c>
      <c r="S150" s="24" t="s">
        <v>9542</v>
      </c>
      <c r="T150" s="174">
        <f>+SUM(T140:T149)</f>
        <v>539088</v>
      </c>
      <c r="U150" s="24"/>
      <c r="V150" s="128"/>
      <c r="W150" s="24"/>
      <c r="X150" s="120"/>
      <c r="Y150" s="120"/>
      <c r="Z150" s="183"/>
      <c r="AA150" s="24"/>
      <c r="AB150" s="104">
        <v>14198.05</v>
      </c>
      <c r="AC150" s="24" t="s">
        <v>9779</v>
      </c>
      <c r="AD150" s="31"/>
      <c r="AE150" s="85"/>
      <c r="AF150" s="29"/>
      <c r="AG150" s="24"/>
      <c r="AH150" s="96"/>
      <c r="AI150" s="127"/>
      <c r="AJ150" s="120"/>
      <c r="AK150" s="120"/>
      <c r="AL150" s="120"/>
      <c r="AM150" s="120"/>
      <c r="AN150" s="146"/>
      <c r="AO150" s="120"/>
      <c r="AP150" s="256"/>
      <c r="AQ150" s="189"/>
      <c r="AR150" s="30"/>
      <c r="AS150" s="24"/>
      <c r="AT150" s="96"/>
      <c r="AU150" s="120"/>
      <c r="AV150" s="150">
        <v>10974.73</v>
      </c>
      <c r="AW150" s="106" t="s">
        <v>10285</v>
      </c>
      <c r="AX150" s="208"/>
      <c r="AY150" s="120"/>
      <c r="AZ150" s="242">
        <f>+SUM(AZ143:AZ149)</f>
        <v>15490.01</v>
      </c>
      <c r="BA150" s="26"/>
      <c r="BB150" s="128">
        <v>1999</v>
      </c>
      <c r="BC150" s="24" t="s">
        <v>10379</v>
      </c>
      <c r="BD150" s="199">
        <v>181714.9</v>
      </c>
      <c r="BE150" s="24" t="s">
        <v>10440</v>
      </c>
      <c r="BF150" s="227"/>
      <c r="BG150" s="24"/>
      <c r="BH150" s="183"/>
      <c r="BI150" s="127"/>
      <c r="BJ150" s="127"/>
      <c r="BK150" s="24"/>
      <c r="BL150" s="127"/>
      <c r="BM150" s="24"/>
      <c r="BN150" s="127"/>
      <c r="BO150" s="127"/>
      <c r="BP150" s="236"/>
      <c r="BQ150" s="127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</row>
    <row r="151" spans="1:94" x14ac:dyDescent="0.25">
      <c r="B151" s="24"/>
      <c r="C151" s="24"/>
      <c r="D151" s="127"/>
      <c r="E151" s="127"/>
      <c r="F151" s="237"/>
      <c r="G151" s="127"/>
      <c r="H151" s="127"/>
      <c r="I151" s="239"/>
      <c r="J151" s="9"/>
      <c r="K151" s="15"/>
      <c r="L151" s="127"/>
      <c r="M151" s="127"/>
      <c r="N151" s="127"/>
      <c r="O151" s="127"/>
      <c r="P151" s="251">
        <f>+SUM(P138:P150)</f>
        <v>393345.28000000003</v>
      </c>
      <c r="Q151" s="120"/>
      <c r="R151" s="183">
        <v>1169</v>
      </c>
      <c r="S151" s="24" t="s">
        <v>9374</v>
      </c>
      <c r="T151" s="173"/>
      <c r="U151" s="24"/>
      <c r="V151" s="128"/>
      <c r="W151" s="24"/>
      <c r="X151" s="120"/>
      <c r="Y151" s="120"/>
      <c r="Z151" s="238"/>
      <c r="AA151" s="24"/>
      <c r="AB151" s="116">
        <v>3065</v>
      </c>
      <c r="AC151" s="24" t="s">
        <v>9792</v>
      </c>
      <c r="AD151" s="237"/>
      <c r="AE151" s="127"/>
      <c r="AF151" s="127"/>
      <c r="AG151" s="24"/>
      <c r="AH151" s="179"/>
      <c r="AI151" s="127"/>
      <c r="AJ151" s="120"/>
      <c r="AK151" s="120"/>
      <c r="AL151" s="120"/>
      <c r="AM151" s="120"/>
      <c r="AN151" s="150"/>
      <c r="AO151" s="120"/>
      <c r="AP151" s="183"/>
      <c r="AQ151" s="189"/>
      <c r="AR151" s="98"/>
      <c r="AS151" s="24"/>
      <c r="AT151" s="244"/>
      <c r="AU151" s="120"/>
      <c r="AV151" s="199">
        <v>464</v>
      </c>
      <c r="AW151" s="106" t="s">
        <v>10290</v>
      </c>
      <c r="AX151" s="120"/>
      <c r="AY151" s="120"/>
      <c r="AZ151" s="146"/>
      <c r="BA151" s="120"/>
      <c r="BB151" s="128">
        <v>1169</v>
      </c>
      <c r="BC151" s="24" t="s">
        <v>10383</v>
      </c>
      <c r="BD151" s="183">
        <v>1563.01</v>
      </c>
      <c r="BE151" s="24" t="s">
        <v>10442</v>
      </c>
      <c r="BF151" s="208"/>
      <c r="BG151" s="24"/>
      <c r="BH151" s="183"/>
      <c r="BI151" s="127"/>
      <c r="BJ151" s="9"/>
      <c r="BK151" s="15"/>
      <c r="BL151" s="127"/>
      <c r="BM151" s="24"/>
      <c r="BN151" s="127"/>
      <c r="BO151" s="127"/>
      <c r="BP151" s="127"/>
      <c r="BQ151" s="127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</row>
    <row r="152" spans="1:94" x14ac:dyDescent="0.25">
      <c r="B152" s="24"/>
      <c r="C152" s="24"/>
      <c r="D152" s="127"/>
      <c r="E152" s="127"/>
      <c r="F152" s="127"/>
      <c r="G152" s="127"/>
      <c r="H152" s="127"/>
      <c r="I152" s="127"/>
      <c r="J152" s="237"/>
      <c r="K152" s="127"/>
      <c r="L152" s="127"/>
      <c r="M152" s="127"/>
      <c r="N152" s="127"/>
      <c r="O152" s="127"/>
      <c r="P152" s="120"/>
      <c r="Q152" s="120"/>
      <c r="R152" s="183">
        <v>4465</v>
      </c>
      <c r="S152" s="24" t="s">
        <v>9546</v>
      </c>
      <c r="T152" s="249"/>
      <c r="U152" s="24"/>
      <c r="V152" s="128"/>
      <c r="W152" s="24"/>
      <c r="X152" s="120"/>
      <c r="Y152" s="120"/>
      <c r="Z152" s="238"/>
      <c r="AA152" s="24"/>
      <c r="AB152" s="104">
        <v>1099</v>
      </c>
      <c r="AC152" s="24" t="s">
        <v>9793</v>
      </c>
      <c r="AD152" s="127"/>
      <c r="AE152" s="127"/>
      <c r="AF152" s="127"/>
      <c r="AG152" s="24"/>
      <c r="AH152" s="128"/>
      <c r="AI152" s="120"/>
      <c r="AJ152" s="120"/>
      <c r="AK152" s="120"/>
      <c r="AL152" s="120"/>
      <c r="AM152" s="120"/>
      <c r="AN152" s="128"/>
      <c r="AO152" s="120"/>
      <c r="AP152" s="128"/>
      <c r="AQ152" s="189"/>
      <c r="AR152" s="32"/>
      <c r="AS152" s="127"/>
      <c r="AT152" s="245"/>
      <c r="AU152" s="120"/>
      <c r="AV152" s="199">
        <v>8910.4699999999993</v>
      </c>
      <c r="AW152" s="106" t="s">
        <v>10294</v>
      </c>
      <c r="AX152" s="120"/>
      <c r="AY152" s="120"/>
      <c r="AZ152" s="128"/>
      <c r="BA152" s="120"/>
      <c r="BB152" s="128">
        <v>10669</v>
      </c>
      <c r="BC152" s="24" t="s">
        <v>10385</v>
      </c>
      <c r="BD152" s="183">
        <v>2936</v>
      </c>
      <c r="BE152" s="24" t="s">
        <v>10444</v>
      </c>
      <c r="BF152" s="128"/>
      <c r="BG152" s="24"/>
      <c r="BH152" s="183"/>
      <c r="BI152" s="153"/>
      <c r="BJ152" s="237"/>
      <c r="BK152" s="127"/>
      <c r="BL152" s="127"/>
      <c r="BM152" s="24"/>
      <c r="BN152" s="127"/>
      <c r="BO152" s="127"/>
      <c r="BP152" s="127"/>
      <c r="BQ152" s="127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</row>
    <row r="153" spans="1:94" x14ac:dyDescent="0.25">
      <c r="B153" s="24"/>
      <c r="C153" s="24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0"/>
      <c r="Q153" s="120"/>
      <c r="R153" s="96">
        <v>1169</v>
      </c>
      <c r="S153" s="15" t="s">
        <v>9539</v>
      </c>
      <c r="T153" s="173"/>
      <c r="U153" s="24"/>
      <c r="V153" s="146"/>
      <c r="W153" s="120"/>
      <c r="X153" s="120"/>
      <c r="Y153" s="120"/>
      <c r="Z153" s="238"/>
      <c r="AA153" s="24"/>
      <c r="AB153" s="104">
        <v>2789</v>
      </c>
      <c r="AC153" s="24" t="s">
        <v>9794</v>
      </c>
      <c r="AD153" s="127"/>
      <c r="AE153" s="127"/>
      <c r="AF153" s="127"/>
      <c r="AG153" s="24"/>
      <c r="AH153" s="128"/>
      <c r="AI153" s="127"/>
      <c r="AJ153" s="120"/>
      <c r="AK153" s="120"/>
      <c r="AL153" s="120"/>
      <c r="AM153" s="120"/>
      <c r="AN153" s="146"/>
      <c r="AO153" s="120"/>
      <c r="AP153" s="146"/>
      <c r="AQ153" s="189"/>
      <c r="AR153" s="128"/>
      <c r="AS153" s="127"/>
      <c r="AT153" s="257"/>
      <c r="AU153" s="120"/>
      <c r="AV153" s="128">
        <v>657</v>
      </c>
      <c r="AW153" s="106" t="s">
        <v>10297</v>
      </c>
      <c r="AX153" s="120"/>
      <c r="AY153" s="120"/>
      <c r="AZ153" s="128"/>
      <c r="BA153" s="120"/>
      <c r="BB153" s="151">
        <f>+SUM(BB141:BB152)</f>
        <v>481076.01</v>
      </c>
      <c r="BC153" s="239"/>
      <c r="BD153" s="183">
        <v>2065</v>
      </c>
      <c r="BE153" s="24" t="s">
        <v>10446</v>
      </c>
      <c r="BF153" s="128"/>
      <c r="BG153" s="24"/>
      <c r="BH153" s="199"/>
      <c r="BI153" s="127"/>
      <c r="BJ153" s="127"/>
      <c r="BK153" s="127"/>
      <c r="BL153" s="127"/>
      <c r="BM153" s="24"/>
      <c r="BN153" s="127"/>
      <c r="BO153" s="127"/>
      <c r="BP153" s="127"/>
      <c r="BQ153" s="127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</row>
    <row r="154" spans="1:94" x14ac:dyDescent="0.25">
      <c r="B154" s="72"/>
      <c r="C154" s="24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0"/>
      <c r="Q154" s="120"/>
      <c r="R154" s="151">
        <f>+SUM(R137:R153)</f>
        <v>647595.07000000007</v>
      </c>
      <c r="S154" s="120"/>
      <c r="T154" s="191"/>
      <c r="U154" s="120"/>
      <c r="V154" s="120"/>
      <c r="W154" s="120"/>
      <c r="X154" s="120"/>
      <c r="Y154" s="120"/>
      <c r="Z154" s="238"/>
      <c r="AA154" s="24"/>
      <c r="AB154" s="104">
        <v>3224.76</v>
      </c>
      <c r="AC154" s="24" t="s">
        <v>9800</v>
      </c>
      <c r="AD154" s="127"/>
      <c r="AE154" s="127"/>
      <c r="AF154" s="127"/>
      <c r="AG154" s="24"/>
      <c r="AH154" s="146"/>
      <c r="AI154" s="120"/>
      <c r="AJ154" s="120"/>
      <c r="AK154" s="120"/>
      <c r="AL154" s="120"/>
      <c r="AM154" s="120"/>
      <c r="AN154" s="128"/>
      <c r="AO154" s="120"/>
      <c r="AP154" s="146"/>
      <c r="AQ154" s="127"/>
      <c r="AR154" s="128"/>
      <c r="AS154" s="127"/>
      <c r="AT154" s="120"/>
      <c r="AU154" s="120"/>
      <c r="AV154" s="151">
        <f>+SUM(AV139:AV153)</f>
        <v>1026884.19</v>
      </c>
      <c r="AW154" s="106"/>
      <c r="AX154" s="120"/>
      <c r="AY154" s="120"/>
      <c r="AZ154" s="128"/>
      <c r="BA154" s="127"/>
      <c r="BB154" s="128"/>
      <c r="BC154" s="24"/>
      <c r="BD154" s="183">
        <v>1099</v>
      </c>
      <c r="BE154" s="24" t="s">
        <v>10452</v>
      </c>
      <c r="BF154" s="128"/>
      <c r="BG154" s="24"/>
      <c r="BH154" s="183"/>
      <c r="BI154" s="127"/>
      <c r="BJ154" s="127"/>
      <c r="BK154" s="127"/>
      <c r="BL154" s="9"/>
      <c r="BM154" s="15"/>
      <c r="BN154" s="127"/>
      <c r="BO154" s="127"/>
      <c r="BP154" s="127"/>
      <c r="BQ154" s="127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</row>
    <row r="155" spans="1:94" x14ac:dyDescent="0.25">
      <c r="B155" s="54"/>
      <c r="C155" s="54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9"/>
      <c r="AA155" s="15"/>
      <c r="AB155" s="104">
        <v>1693</v>
      </c>
      <c r="AC155" s="24" t="s">
        <v>9801</v>
      </c>
      <c r="AD155" s="127"/>
      <c r="AE155" s="127"/>
      <c r="AF155" s="127"/>
      <c r="AG155" s="24"/>
      <c r="AH155" s="128"/>
      <c r="AI155" s="120"/>
      <c r="AJ155" s="120"/>
      <c r="AK155" s="120"/>
      <c r="AL155" s="120"/>
      <c r="AM155" s="120"/>
      <c r="AN155" s="120"/>
      <c r="AO155" s="120"/>
      <c r="AP155" s="128"/>
      <c r="AQ155" s="120"/>
      <c r="AR155" s="128"/>
      <c r="AS155" s="127"/>
      <c r="AT155" s="120"/>
      <c r="AU155" s="120"/>
      <c r="AV155" s="120"/>
      <c r="AW155" s="106"/>
      <c r="AX155" s="120"/>
      <c r="AY155" s="120"/>
      <c r="AZ155" s="128"/>
      <c r="BA155" s="127"/>
      <c r="BB155" s="128"/>
      <c r="BC155" s="24"/>
      <c r="BD155" s="183">
        <v>1169</v>
      </c>
      <c r="BE155" s="24" t="s">
        <v>10457</v>
      </c>
      <c r="BF155" s="150"/>
      <c r="BG155" s="120"/>
      <c r="BH155" s="240"/>
      <c r="BI155" s="120"/>
      <c r="BJ155" s="127"/>
      <c r="BK155" s="127"/>
      <c r="BL155" s="229"/>
      <c r="BM155" s="127"/>
      <c r="BN155" s="127"/>
      <c r="BO155" s="127"/>
      <c r="BP155" s="127"/>
      <c r="BQ155" s="127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</row>
    <row r="156" spans="1:94" x14ac:dyDescent="0.25">
      <c r="B156" s="72"/>
      <c r="C156" s="24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237"/>
      <c r="AA156" s="127"/>
      <c r="AB156" s="151">
        <f>+SUM(AB138:AB155)</f>
        <v>907730</v>
      </c>
      <c r="AC156" s="127"/>
      <c r="AD156" s="127"/>
      <c r="AE156" s="127"/>
      <c r="AF156" s="127"/>
      <c r="AG156" s="24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240"/>
      <c r="AS156" s="127"/>
      <c r="AT156" s="120"/>
      <c r="AU156" s="120"/>
      <c r="AV156" s="127"/>
      <c r="AW156" s="106"/>
      <c r="AX156" s="120"/>
      <c r="AY156" s="120"/>
      <c r="AZ156" s="128"/>
      <c r="BA156" s="127"/>
      <c r="BB156" s="128"/>
      <c r="BC156" s="24"/>
      <c r="BD156" s="199">
        <v>3250</v>
      </c>
      <c r="BE156" s="24" t="s">
        <v>10458</v>
      </c>
      <c r="BF156" s="120"/>
      <c r="BG156" s="120"/>
      <c r="BH156" s="128"/>
      <c r="BI156" s="120"/>
      <c r="BJ156" s="127"/>
      <c r="BK156" s="127"/>
      <c r="BL156" s="127"/>
      <c r="BM156" s="127"/>
      <c r="BN156" s="127"/>
      <c r="BO156" s="127"/>
      <c r="BP156" s="127"/>
      <c r="BQ156" s="127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</row>
    <row r="157" spans="1:94" x14ac:dyDescent="0.25">
      <c r="B157" s="72"/>
      <c r="C157" s="24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7"/>
      <c r="AA157" s="127"/>
      <c r="AB157" s="127"/>
      <c r="AC157" s="127"/>
      <c r="AD157" s="127"/>
      <c r="AE157" s="127"/>
      <c r="AF157" s="237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7"/>
      <c r="AT157" s="120"/>
      <c r="AU157" s="120"/>
      <c r="AV157" s="127"/>
      <c r="AW157" s="106"/>
      <c r="AX157" s="120"/>
      <c r="AY157" s="120"/>
      <c r="AZ157" s="146"/>
      <c r="BA157" s="120"/>
      <c r="BB157" s="146"/>
      <c r="BC157" s="127"/>
      <c r="BD157" s="199">
        <v>385077.02</v>
      </c>
      <c r="BE157" s="24" t="s">
        <v>10459</v>
      </c>
      <c r="BF157" s="120"/>
      <c r="BG157" s="120"/>
      <c r="BH157" s="120"/>
      <c r="BI157" s="120"/>
      <c r="BJ157" s="127"/>
      <c r="BK157" s="127"/>
      <c r="BL157" s="127"/>
      <c r="BM157" s="127"/>
      <c r="BN157" s="127"/>
      <c r="BO157" s="127"/>
      <c r="BP157" s="127"/>
      <c r="BQ157" s="127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</row>
    <row r="158" spans="1:94" x14ac:dyDescent="0.25">
      <c r="B158" s="72"/>
      <c r="C158" s="24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7"/>
      <c r="AA158" s="127"/>
      <c r="AB158" s="127"/>
      <c r="AC158" s="127"/>
      <c r="AD158" s="127"/>
      <c r="AE158" s="127"/>
      <c r="AF158" s="127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7"/>
      <c r="AT158" s="120"/>
      <c r="AU158" s="120"/>
      <c r="AV158" s="127"/>
      <c r="AW158" s="106"/>
      <c r="AX158" s="120"/>
      <c r="AY158" s="120"/>
      <c r="AZ158" s="128"/>
      <c r="BA158" s="127"/>
      <c r="BB158" s="120"/>
      <c r="BC158" s="127"/>
      <c r="BD158" s="29">
        <v>2040</v>
      </c>
      <c r="BE158" s="15" t="s">
        <v>10462</v>
      </c>
      <c r="BF158" s="9"/>
      <c r="BG158" s="120"/>
      <c r="BH158" s="120"/>
      <c r="BI158" s="120"/>
      <c r="BJ158" s="127"/>
      <c r="BK158" s="127"/>
      <c r="BL158" s="127"/>
      <c r="BM158" s="127"/>
      <c r="BN158" s="127"/>
      <c r="BO158" s="127"/>
      <c r="BP158" s="127"/>
      <c r="BQ158" s="127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</row>
    <row r="159" spans="1:94" x14ac:dyDescent="0.25">
      <c r="B159" s="74"/>
      <c r="C159" s="58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7"/>
      <c r="AA159" s="127"/>
      <c r="AB159" s="127"/>
      <c r="AC159" s="127"/>
      <c r="AD159" s="127"/>
      <c r="AE159" s="127"/>
      <c r="AF159" s="127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7"/>
      <c r="AT159" s="120"/>
      <c r="AU159" s="120"/>
      <c r="AV159" s="127"/>
      <c r="AW159" s="106"/>
      <c r="AX159" s="120"/>
      <c r="AY159" s="120"/>
      <c r="AZ159" s="120"/>
      <c r="BA159" s="120"/>
      <c r="BB159" s="120"/>
      <c r="BC159" s="127"/>
      <c r="BD159" s="29">
        <v>3356</v>
      </c>
      <c r="BE159" s="24" t="s">
        <v>10463</v>
      </c>
      <c r="BF159" s="120"/>
      <c r="BG159" s="120"/>
      <c r="BH159" s="120"/>
      <c r="BI159" s="120"/>
      <c r="BJ159" s="127"/>
      <c r="BK159" s="127"/>
      <c r="BL159" s="228"/>
      <c r="BM159" s="127"/>
      <c r="BN159" s="127"/>
      <c r="BO159" s="127"/>
      <c r="BP159" s="127"/>
      <c r="BQ159" s="127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</row>
    <row r="160" spans="1:94" x14ac:dyDescent="0.25">
      <c r="B160" s="72"/>
      <c r="C160" s="24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7"/>
      <c r="AT160" s="120"/>
      <c r="AU160" s="120"/>
      <c r="AV160" s="247"/>
      <c r="AW160" s="120"/>
      <c r="AX160" s="120"/>
      <c r="AY160" s="120"/>
      <c r="AZ160" s="120"/>
      <c r="BA160" s="120"/>
      <c r="BB160" s="120"/>
      <c r="BC160" s="120"/>
      <c r="BD160" s="151">
        <f>+SUM(BD145:BD159)</f>
        <v>948137.12</v>
      </c>
      <c r="BE160" s="120"/>
      <c r="BF160" s="120"/>
      <c r="BG160" s="120"/>
      <c r="BH160" s="120"/>
      <c r="BI160" s="120"/>
      <c r="BJ160" s="127"/>
      <c r="BK160" s="127"/>
      <c r="BL160" s="127"/>
      <c r="BM160" s="127"/>
      <c r="BN160" s="127"/>
      <c r="BO160" s="127"/>
      <c r="BP160" s="127"/>
      <c r="BQ160" s="127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</row>
    <row r="161" spans="2:69" x14ac:dyDescent="0.25">
      <c r="B161" s="11"/>
      <c r="C161" s="13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7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5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</row>
    <row r="162" spans="2:69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7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4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</row>
    <row r="163" spans="2:69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</row>
    <row r="164" spans="2:69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</row>
    <row r="165" spans="2:69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</row>
    <row r="166" spans="2:69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</row>
    <row r="167" spans="2:69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</row>
    <row r="168" spans="2:69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</row>
    <row r="169" spans="2:69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</row>
    <row r="170" spans="2:69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</row>
    <row r="171" spans="2:69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</row>
    <row r="172" spans="2:69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</row>
    <row r="173" spans="2:69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</row>
    <row r="174" spans="2:69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</row>
    <row r="175" spans="2:69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</row>
    <row r="176" spans="2:69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</row>
    <row r="177" spans="2:49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</row>
    <row r="178" spans="2:49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</row>
    <row r="179" spans="2:49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</row>
    <row r="180" spans="2:49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</row>
    <row r="181" spans="2:49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</row>
    <row r="182" spans="2:49" x14ac:dyDescent="0.25"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</row>
    <row r="183" spans="2:49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</row>
    <row r="184" spans="2:49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</row>
    <row r="185" spans="2:49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</row>
    <row r="186" spans="2:49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</row>
    <row r="187" spans="2:49" x14ac:dyDescent="0.25"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87"/>
  <sheetViews>
    <sheetView zoomScale="110" zoomScaleNormal="110" workbookViewId="0">
      <pane xSplit="1" ySplit="1" topLeftCell="AU2" activePane="bottomRight" state="frozen"/>
      <selection pane="topRight" activeCell="B1" sqref="B1"/>
      <selection pane="bottomLeft" activeCell="A2" sqref="A2"/>
      <selection pane="bottomRight" activeCell="BF123" sqref="BF123"/>
    </sheetView>
  </sheetViews>
  <sheetFormatPr baseColWidth="10" defaultRowHeight="15" x14ac:dyDescent="0.25"/>
  <cols>
    <col min="2" max="2" width="16.85546875" customWidth="1"/>
    <col min="4" max="4" width="13.85546875" bestFit="1" customWidth="1"/>
    <col min="6" max="6" width="14.5703125" bestFit="1" customWidth="1"/>
    <col min="8" max="8" width="13.42578125" bestFit="1" customWidth="1"/>
    <col min="9" max="9" width="12.28515625" bestFit="1" customWidth="1"/>
    <col min="10" max="10" width="13.42578125" bestFit="1" customWidth="1"/>
    <col min="12" max="12" width="13.42578125" bestFit="1" customWidth="1"/>
    <col min="14" max="14" width="13.140625" bestFit="1" customWidth="1"/>
    <col min="16" max="16" width="13.42578125" bestFit="1" customWidth="1"/>
    <col min="18" max="18" width="14.85546875" bestFit="1" customWidth="1"/>
    <col min="20" max="20" width="14.5703125" bestFit="1" customWidth="1"/>
    <col min="22" max="22" width="13.140625" bestFit="1" customWidth="1"/>
    <col min="24" max="24" width="14.5703125" bestFit="1" customWidth="1"/>
    <col min="26" max="26" width="13.5703125" bestFit="1" customWidth="1"/>
    <col min="28" max="28" width="13.42578125" bestFit="1" customWidth="1"/>
    <col min="30" max="30" width="14.5703125" customWidth="1"/>
    <col min="32" max="32" width="13.85546875" bestFit="1" customWidth="1"/>
    <col min="33" max="33" width="13.140625" bestFit="1" customWidth="1"/>
    <col min="34" max="34" width="14.85546875" customWidth="1"/>
    <col min="36" max="36" width="13.5703125" bestFit="1" customWidth="1"/>
    <col min="38" max="38" width="13.42578125" bestFit="1" customWidth="1"/>
    <col min="40" max="40" width="15.28515625" bestFit="1" customWidth="1"/>
    <col min="42" max="42" width="13.85546875" bestFit="1" customWidth="1"/>
    <col min="44" max="44" width="13.7109375" customWidth="1"/>
    <col min="46" max="46" width="13" bestFit="1" customWidth="1"/>
    <col min="48" max="48" width="13.85546875" bestFit="1" customWidth="1"/>
    <col min="50" max="50" width="12.7109375" bestFit="1" customWidth="1"/>
    <col min="52" max="52" width="13.85546875" bestFit="1" customWidth="1"/>
    <col min="54" max="54" width="13.85546875" bestFit="1" customWidth="1"/>
    <col min="56" max="56" width="13.85546875" bestFit="1" customWidth="1"/>
    <col min="57" max="57" width="12.7109375" bestFit="1" customWidth="1"/>
    <col min="58" max="58" width="13.85546875" bestFit="1" customWidth="1"/>
    <col min="60" max="60" width="13.85546875" bestFit="1" customWidth="1"/>
    <col min="62" max="62" width="13.140625" bestFit="1" customWidth="1"/>
    <col min="63" max="63" width="11.5703125" bestFit="1" customWidth="1"/>
    <col min="64" max="64" width="13.42578125" bestFit="1" customWidth="1"/>
    <col min="66" max="66" width="13.42578125" bestFit="1" customWidth="1"/>
    <col min="68" max="68" width="15.28515625" bestFit="1" customWidth="1"/>
  </cols>
  <sheetData>
    <row r="1" spans="1:94" x14ac:dyDescent="0.25">
      <c r="A1" s="37"/>
      <c r="B1" s="1" t="s">
        <v>1411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4" x14ac:dyDescent="0.25">
      <c r="A2" s="47"/>
      <c r="B2" s="142">
        <v>42979</v>
      </c>
      <c r="C2" s="142"/>
      <c r="D2" s="141">
        <v>42980</v>
      </c>
      <c r="E2" s="142"/>
      <c r="F2" s="141">
        <v>42982</v>
      </c>
      <c r="G2" s="142"/>
      <c r="H2" s="141">
        <v>42983</v>
      </c>
      <c r="I2" s="142"/>
      <c r="J2" s="141">
        <v>42984</v>
      </c>
      <c r="K2" s="142"/>
      <c r="L2" s="141">
        <v>42985</v>
      </c>
      <c r="M2" s="142"/>
      <c r="N2" s="141">
        <v>42986</v>
      </c>
      <c r="O2" s="142"/>
      <c r="P2" s="141">
        <v>42987</v>
      </c>
      <c r="Q2" s="142"/>
      <c r="R2" s="141">
        <v>42988</v>
      </c>
      <c r="S2" s="142"/>
      <c r="T2" s="141">
        <v>42989</v>
      </c>
      <c r="U2" s="142"/>
      <c r="V2" s="141">
        <v>42990</v>
      </c>
      <c r="W2" s="142"/>
      <c r="X2" s="141">
        <v>42960</v>
      </c>
      <c r="Y2" s="142"/>
      <c r="Z2" s="141">
        <v>42992</v>
      </c>
      <c r="AA2" s="142"/>
      <c r="AB2" s="141">
        <v>42993</v>
      </c>
      <c r="AC2" s="142"/>
      <c r="AD2" s="141">
        <v>42994</v>
      </c>
      <c r="AE2" s="142"/>
      <c r="AF2" s="141">
        <v>42996</v>
      </c>
      <c r="AG2" s="142"/>
      <c r="AH2" s="141">
        <v>42997</v>
      </c>
      <c r="AI2" s="142"/>
      <c r="AJ2" s="141">
        <v>42998</v>
      </c>
      <c r="AK2" s="142"/>
      <c r="AL2" s="141">
        <v>42999</v>
      </c>
      <c r="AM2" s="142"/>
      <c r="AN2" s="141">
        <v>43000</v>
      </c>
      <c r="AO2" s="142"/>
      <c r="AP2" s="141">
        <v>43001</v>
      </c>
      <c r="AQ2" s="142"/>
      <c r="AR2" s="141">
        <v>43002</v>
      </c>
      <c r="AS2" s="142"/>
      <c r="AT2" s="141">
        <v>43003</v>
      </c>
      <c r="AU2" s="142"/>
      <c r="AV2" s="141">
        <v>43004</v>
      </c>
      <c r="AW2" s="142"/>
      <c r="AX2" s="141">
        <v>43005</v>
      </c>
      <c r="AY2" s="142"/>
      <c r="AZ2" s="141">
        <v>43006</v>
      </c>
      <c r="BA2" s="142"/>
      <c r="BB2" s="141">
        <v>43007</v>
      </c>
      <c r="BC2" s="142"/>
      <c r="BD2" s="141">
        <v>43008</v>
      </c>
      <c r="BE2" s="142"/>
      <c r="BF2" s="141"/>
      <c r="BG2" s="142"/>
      <c r="BH2" s="141"/>
      <c r="BI2" s="142"/>
      <c r="BJ2" s="231"/>
      <c r="BK2" s="232"/>
      <c r="BL2" s="231"/>
      <c r="BM2" s="232"/>
      <c r="BN2" s="231"/>
      <c r="BO2" s="232"/>
      <c r="BP2" s="231"/>
      <c r="BQ2" s="232"/>
      <c r="BR2" s="231"/>
      <c r="BS2" s="232"/>
      <c r="BT2" s="231"/>
      <c r="BU2" s="232"/>
      <c r="BV2" s="231"/>
      <c r="BW2" s="232"/>
      <c r="BX2" s="231"/>
      <c r="BY2" s="232"/>
      <c r="BZ2" s="231"/>
      <c r="CA2" s="232"/>
      <c r="CB2" s="231"/>
      <c r="CC2" s="232"/>
      <c r="CD2" s="231"/>
      <c r="CE2" s="232"/>
      <c r="CF2" s="65"/>
      <c r="CG2" s="233"/>
      <c r="CH2" s="65"/>
      <c r="CI2" s="233"/>
      <c r="CJ2" s="65"/>
      <c r="CK2" s="233"/>
      <c r="CL2" s="65"/>
      <c r="CM2" s="233"/>
      <c r="CN2" s="65"/>
      <c r="CO2" s="233"/>
      <c r="CP2" s="65"/>
    </row>
    <row r="3" spans="1:94" x14ac:dyDescent="0.25">
      <c r="A3" s="38" t="s">
        <v>0</v>
      </c>
      <c r="B3" s="98">
        <v>25856.5</v>
      </c>
      <c r="C3" s="15"/>
      <c r="D3" s="143">
        <v>121985.41</v>
      </c>
      <c r="E3" s="15"/>
      <c r="F3" s="143">
        <v>37871.199999999997</v>
      </c>
      <c r="G3" s="15"/>
      <c r="H3" s="143">
        <v>11564.03</v>
      </c>
      <c r="I3" s="15"/>
      <c r="J3" s="143">
        <v>8233.0300000000007</v>
      </c>
      <c r="K3" s="15"/>
      <c r="L3" s="143">
        <v>7477.09</v>
      </c>
      <c r="M3" s="15"/>
      <c r="N3" s="143">
        <v>95250.59</v>
      </c>
      <c r="O3" s="15"/>
      <c r="P3" s="143">
        <v>17891.169999999998</v>
      </c>
      <c r="Q3" s="15"/>
      <c r="R3" s="143"/>
      <c r="S3" s="15"/>
      <c r="T3" s="143">
        <v>20796.02</v>
      </c>
      <c r="U3" s="15"/>
      <c r="V3" s="143">
        <v>260913.08</v>
      </c>
      <c r="W3" s="15"/>
      <c r="X3" s="143">
        <v>11081.65</v>
      </c>
      <c r="Y3" s="15"/>
      <c r="Z3" s="143">
        <v>4981.43</v>
      </c>
      <c r="AA3" s="15"/>
      <c r="AB3" s="98">
        <v>11763.68</v>
      </c>
      <c r="AC3" s="15"/>
      <c r="AD3" s="143">
        <v>6000</v>
      </c>
      <c r="AE3" s="15"/>
      <c r="AF3" s="143">
        <v>15886.48</v>
      </c>
      <c r="AG3" s="15"/>
      <c r="AH3" s="143">
        <v>7326.46</v>
      </c>
      <c r="AI3" s="15"/>
      <c r="AJ3" s="143">
        <v>16891.939999999999</v>
      </c>
      <c r="AK3" s="15"/>
      <c r="AL3" s="143">
        <v>29454.16</v>
      </c>
      <c r="AM3" s="15"/>
      <c r="AN3" s="143">
        <v>5165.82</v>
      </c>
      <c r="AO3" s="15"/>
      <c r="AP3" s="143">
        <v>69155.520000000004</v>
      </c>
      <c r="AQ3" s="15"/>
      <c r="AR3" s="143">
        <v>10000</v>
      </c>
      <c r="AS3" s="15"/>
      <c r="AT3" s="143">
        <v>243504.88</v>
      </c>
      <c r="AU3" s="15"/>
      <c r="AV3" s="143">
        <v>61123.77</v>
      </c>
      <c r="AW3" s="15"/>
      <c r="AX3" s="143">
        <v>4695.29</v>
      </c>
      <c r="AY3" s="15"/>
      <c r="AZ3" s="143">
        <v>232569.67</v>
      </c>
      <c r="BA3" s="15"/>
      <c r="BB3" s="143">
        <v>238198.94</v>
      </c>
      <c r="BC3" s="15"/>
      <c r="BD3" s="143">
        <v>37796.339999999997</v>
      </c>
      <c r="BE3" s="15"/>
      <c r="BF3" s="98"/>
      <c r="BG3" s="15"/>
      <c r="BH3" s="143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</row>
    <row r="4" spans="1:94" x14ac:dyDescent="0.25">
      <c r="A4" s="39"/>
      <c r="B4" s="98">
        <v>48804.89</v>
      </c>
      <c r="C4" s="15"/>
      <c r="D4" s="98"/>
      <c r="E4" s="15"/>
      <c r="F4" s="98">
        <v>214648.99</v>
      </c>
      <c r="G4" s="15"/>
      <c r="H4" s="98">
        <v>13402.74</v>
      </c>
      <c r="I4" s="15"/>
      <c r="J4" s="98">
        <v>284132.77</v>
      </c>
      <c r="K4" s="15"/>
      <c r="L4" s="98">
        <v>133953.9</v>
      </c>
      <c r="M4" s="15"/>
      <c r="N4" s="98">
        <v>18225.11</v>
      </c>
      <c r="O4" s="15"/>
      <c r="P4" s="98"/>
      <c r="Q4" s="15"/>
      <c r="R4" s="98"/>
      <c r="S4" s="15"/>
      <c r="T4" s="98">
        <v>8678.3700000000008</v>
      </c>
      <c r="U4" s="15"/>
      <c r="V4" s="98">
        <v>136442.34</v>
      </c>
      <c r="W4" s="15"/>
      <c r="X4" s="98">
        <v>37832.75</v>
      </c>
      <c r="Y4" s="15"/>
      <c r="Z4" s="98">
        <v>86376.95</v>
      </c>
      <c r="AA4" s="15"/>
      <c r="AB4" s="98">
        <v>16056.13</v>
      </c>
      <c r="AC4" s="15"/>
      <c r="AD4" s="98"/>
      <c r="AE4" s="15"/>
      <c r="AF4" s="98">
        <v>23847.59</v>
      </c>
      <c r="AG4" s="15"/>
      <c r="AH4" s="98">
        <v>46319.34</v>
      </c>
      <c r="AI4" s="15"/>
      <c r="AJ4" s="98">
        <v>166210.54</v>
      </c>
      <c r="AK4" s="15"/>
      <c r="AL4" s="98">
        <v>23764.35</v>
      </c>
      <c r="AM4" s="15"/>
      <c r="AN4" s="98">
        <v>147474.76</v>
      </c>
      <c r="AO4" s="15"/>
      <c r="AP4" s="98"/>
      <c r="AQ4" s="15"/>
      <c r="AR4" s="98"/>
      <c r="AS4" s="15"/>
      <c r="AT4" s="98">
        <v>20137.25</v>
      </c>
      <c r="AU4" s="15"/>
      <c r="AV4" s="98">
        <v>2205.5300000000002</v>
      </c>
      <c r="AW4" s="15"/>
      <c r="AX4" s="98">
        <v>20880.79</v>
      </c>
      <c r="AY4" s="15"/>
      <c r="AZ4" s="98">
        <v>21858.45</v>
      </c>
      <c r="BA4" s="15"/>
      <c r="BB4" s="98">
        <v>106574.62</v>
      </c>
      <c r="BC4" s="15"/>
      <c r="BD4" s="98"/>
      <c r="BE4" s="15"/>
      <c r="BF4" s="98"/>
      <c r="BG4" s="15"/>
      <c r="BH4" s="98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</row>
    <row r="5" spans="1:94" x14ac:dyDescent="0.25">
      <c r="A5" s="48"/>
      <c r="B5" s="18"/>
      <c r="C5" s="59"/>
      <c r="D5" s="18"/>
      <c r="E5" s="59"/>
      <c r="F5" s="18"/>
      <c r="G5" s="59"/>
      <c r="H5" s="75"/>
      <c r="I5" s="59"/>
      <c r="J5" s="18"/>
      <c r="K5" s="59"/>
      <c r="L5" s="18"/>
      <c r="M5" s="59"/>
      <c r="N5" s="18"/>
      <c r="O5" s="59"/>
      <c r="P5" s="18"/>
      <c r="Q5" s="59"/>
      <c r="R5" s="18"/>
      <c r="S5" s="59"/>
      <c r="T5" s="18"/>
      <c r="U5" s="59"/>
      <c r="V5" s="75"/>
      <c r="W5" s="59"/>
      <c r="X5" s="75"/>
      <c r="Y5" s="59"/>
      <c r="Z5" s="18"/>
      <c r="AA5" s="59"/>
      <c r="AB5" s="18"/>
      <c r="AC5" s="59"/>
      <c r="AD5" s="18"/>
      <c r="AE5" s="59"/>
      <c r="AF5" s="18"/>
      <c r="AG5" s="59"/>
      <c r="AH5" s="18"/>
      <c r="AI5" s="59"/>
      <c r="AJ5" s="18"/>
      <c r="AK5" s="59"/>
      <c r="AL5" s="75"/>
      <c r="AM5" s="25"/>
      <c r="AN5" s="75"/>
      <c r="AO5" s="59"/>
      <c r="AP5" s="75"/>
      <c r="AQ5" s="59"/>
      <c r="AR5" s="18"/>
      <c r="AS5" s="59"/>
      <c r="AT5" s="18"/>
      <c r="AU5" s="59"/>
      <c r="AV5" s="18"/>
      <c r="AW5" s="59"/>
      <c r="AX5" s="18"/>
      <c r="AY5" s="59"/>
      <c r="AZ5" s="18"/>
      <c r="BA5" s="59"/>
      <c r="BB5" s="18"/>
      <c r="BC5" s="59"/>
      <c r="BD5" s="18"/>
      <c r="BE5" s="59"/>
      <c r="BF5" s="18"/>
      <c r="BG5" s="59"/>
      <c r="BH5" s="18"/>
      <c r="BI5" s="59"/>
      <c r="BJ5" s="75"/>
      <c r="BK5" s="25"/>
      <c r="BL5" s="75"/>
      <c r="BM5" s="25"/>
      <c r="BN5" s="75"/>
      <c r="BO5" s="25"/>
      <c r="BP5" s="75"/>
      <c r="BQ5" s="25"/>
      <c r="BR5" s="75"/>
      <c r="BS5" s="25"/>
      <c r="BT5" s="75"/>
      <c r="BU5" s="25"/>
      <c r="BV5" s="75"/>
      <c r="BW5" s="25"/>
      <c r="BX5" s="75"/>
      <c r="BY5" s="25"/>
      <c r="BZ5" s="75"/>
      <c r="CA5" s="25"/>
      <c r="CB5" s="75"/>
      <c r="CC5" s="25"/>
      <c r="CD5" s="75"/>
      <c r="CE5" s="25"/>
      <c r="CF5" s="76"/>
      <c r="CG5" s="234"/>
      <c r="CH5" s="76"/>
      <c r="CI5" s="234"/>
      <c r="CJ5" s="76"/>
      <c r="CK5" s="234"/>
      <c r="CL5" s="76"/>
      <c r="CM5" s="234"/>
      <c r="CN5" s="76"/>
      <c r="CO5" s="234"/>
      <c r="CP5" s="76"/>
    </row>
    <row r="6" spans="1:94" x14ac:dyDescent="0.25">
      <c r="A6" s="41"/>
      <c r="B6" s="9">
        <v>1099.01</v>
      </c>
      <c r="C6" s="15" t="s">
        <v>10515</v>
      </c>
      <c r="D6" s="9">
        <v>5000</v>
      </c>
      <c r="E6" s="15" t="s">
        <v>10541</v>
      </c>
      <c r="F6" s="9">
        <v>2000</v>
      </c>
      <c r="G6" s="15" t="s">
        <v>10585</v>
      </c>
      <c r="H6" s="9">
        <v>1040.1300000000001</v>
      </c>
      <c r="I6" s="15" t="s">
        <v>8505</v>
      </c>
      <c r="J6" s="9">
        <v>2040</v>
      </c>
      <c r="K6" s="15" t="s">
        <v>10646</v>
      </c>
      <c r="L6" s="9">
        <v>500</v>
      </c>
      <c r="M6" s="15" t="s">
        <v>10688</v>
      </c>
      <c r="N6" s="9">
        <v>1000</v>
      </c>
      <c r="O6" s="15" t="s">
        <v>10775</v>
      </c>
      <c r="P6" s="9">
        <v>3000</v>
      </c>
      <c r="Q6" s="15" t="s">
        <v>10843</v>
      </c>
      <c r="R6" s="9"/>
      <c r="S6" s="15"/>
      <c r="T6" s="9">
        <v>500</v>
      </c>
      <c r="U6" s="15" t="s">
        <v>10876</v>
      </c>
      <c r="V6" s="9">
        <v>500</v>
      </c>
      <c r="W6" s="15" t="s">
        <v>10920</v>
      </c>
      <c r="X6" s="9">
        <v>175</v>
      </c>
      <c r="Y6" s="15" t="s">
        <v>10940</v>
      </c>
      <c r="Z6" s="9">
        <v>175</v>
      </c>
      <c r="AA6" s="15" t="s">
        <v>10965</v>
      </c>
      <c r="AB6" s="9">
        <v>705.35</v>
      </c>
      <c r="AC6" s="15" t="s">
        <v>11101</v>
      </c>
      <c r="AD6" s="72">
        <v>6000</v>
      </c>
      <c r="AE6" s="86" t="s">
        <v>11123</v>
      </c>
      <c r="AF6" s="72">
        <v>1687.6</v>
      </c>
      <c r="AG6" s="15" t="s">
        <v>11139</v>
      </c>
      <c r="AH6" s="9">
        <v>3929.27</v>
      </c>
      <c r="AI6" s="15"/>
      <c r="AJ6" s="72">
        <v>1491.15</v>
      </c>
      <c r="AK6" s="15" t="s">
        <v>11195</v>
      </c>
      <c r="AL6" s="9">
        <v>232</v>
      </c>
      <c r="AM6" s="15" t="s">
        <v>11209</v>
      </c>
      <c r="AN6" s="9">
        <v>175</v>
      </c>
      <c r="AO6" s="26" t="s">
        <v>11328</v>
      </c>
      <c r="AP6" s="9">
        <v>5000</v>
      </c>
      <c r="AQ6" s="15" t="s">
        <v>11472</v>
      </c>
      <c r="AR6" s="9">
        <v>5000</v>
      </c>
      <c r="AS6" s="15" t="s">
        <v>11376</v>
      </c>
      <c r="AT6" s="9">
        <v>156000</v>
      </c>
      <c r="AU6" s="15" t="s">
        <v>11379</v>
      </c>
      <c r="AV6" s="9">
        <v>217.11</v>
      </c>
      <c r="AW6" s="15" t="s">
        <v>11438</v>
      </c>
      <c r="AX6" s="9">
        <v>600</v>
      </c>
      <c r="AY6" s="15" t="s">
        <v>11526</v>
      </c>
      <c r="AZ6" s="9">
        <v>253.12</v>
      </c>
      <c r="BA6" s="15" t="s">
        <v>11577</v>
      </c>
      <c r="BB6" s="7">
        <v>304.92</v>
      </c>
      <c r="BC6" s="26" t="s">
        <v>11645</v>
      </c>
      <c r="BD6" s="9">
        <v>20000</v>
      </c>
      <c r="BE6" s="15" t="s">
        <v>11706</v>
      </c>
      <c r="BF6" s="9"/>
      <c r="BG6" s="26"/>
      <c r="BH6" s="7"/>
      <c r="BI6" s="26"/>
      <c r="BJ6" s="9"/>
      <c r="BK6" s="15"/>
      <c r="BL6" s="9"/>
      <c r="BM6" s="15"/>
      <c r="BN6" s="9"/>
      <c r="BO6" s="15"/>
      <c r="BP6" s="9"/>
      <c r="BQ6" s="15"/>
      <c r="BR6" s="9"/>
      <c r="BS6" s="15"/>
      <c r="BT6" s="9"/>
      <c r="BU6" s="15"/>
      <c r="BV6" s="9"/>
      <c r="BW6" s="15"/>
      <c r="BX6" s="9"/>
      <c r="BY6" s="15"/>
      <c r="BZ6" s="9"/>
      <c r="CA6" s="15"/>
      <c r="CB6" s="9"/>
      <c r="CC6" s="15"/>
      <c r="CD6" s="9"/>
      <c r="CE6" s="15"/>
      <c r="CF6" s="9"/>
      <c r="CG6" s="15"/>
      <c r="CH6" s="9"/>
      <c r="CI6" s="15"/>
      <c r="CJ6" s="9"/>
      <c r="CK6" s="15"/>
      <c r="CL6" s="9"/>
      <c r="CM6" s="15"/>
      <c r="CN6" s="9"/>
      <c r="CO6" s="15"/>
      <c r="CP6" s="9"/>
    </row>
    <row r="7" spans="1:94" x14ac:dyDescent="0.25">
      <c r="A7" s="41"/>
      <c r="B7" s="9">
        <v>464</v>
      </c>
      <c r="C7" s="15" t="s">
        <v>10518</v>
      </c>
      <c r="D7" s="7">
        <v>485.45</v>
      </c>
      <c r="E7" s="26" t="s">
        <v>10542</v>
      </c>
      <c r="F7" s="9">
        <v>1114.18</v>
      </c>
      <c r="G7" s="26" t="s">
        <v>10587</v>
      </c>
      <c r="H7" s="9">
        <v>5212.8100000000004</v>
      </c>
      <c r="I7" s="15" t="s">
        <v>10632</v>
      </c>
      <c r="J7" s="9">
        <v>1099.01</v>
      </c>
      <c r="K7" s="26" t="s">
        <v>10648</v>
      </c>
      <c r="L7" s="7">
        <v>3122.37</v>
      </c>
      <c r="M7" s="26" t="s">
        <v>10690</v>
      </c>
      <c r="N7" s="7">
        <v>1000</v>
      </c>
      <c r="O7" s="26" t="s">
        <v>10777</v>
      </c>
      <c r="P7" s="9">
        <v>7094</v>
      </c>
      <c r="Q7" s="26" t="s">
        <v>10846</v>
      </c>
      <c r="R7" s="9"/>
      <c r="S7" s="26"/>
      <c r="T7" s="7">
        <v>203.83</v>
      </c>
      <c r="U7" s="26" t="s">
        <v>10877</v>
      </c>
      <c r="V7" s="9">
        <v>250000</v>
      </c>
      <c r="W7" s="26" t="s">
        <v>10922</v>
      </c>
      <c r="X7" s="9">
        <v>100</v>
      </c>
      <c r="Y7" s="26" t="s">
        <v>10942</v>
      </c>
      <c r="Z7" s="9">
        <v>466.23</v>
      </c>
      <c r="AA7" s="26" t="s">
        <v>10967</v>
      </c>
      <c r="AB7" s="9">
        <v>464</v>
      </c>
      <c r="AC7" s="15" t="s">
        <v>11104</v>
      </c>
      <c r="AD7" s="72"/>
      <c r="AE7" s="86"/>
      <c r="AF7" s="72">
        <v>240.53</v>
      </c>
      <c r="AG7" s="26" t="s">
        <v>11140</v>
      </c>
      <c r="AH7" s="9">
        <v>211.91</v>
      </c>
      <c r="AI7" s="15" t="s">
        <v>11158</v>
      </c>
      <c r="AJ7" s="72">
        <v>1551.18</v>
      </c>
      <c r="AK7" s="26" t="s">
        <v>11197</v>
      </c>
      <c r="AL7" s="9">
        <v>1702.65</v>
      </c>
      <c r="AM7" s="15" t="s">
        <v>11210</v>
      </c>
      <c r="AN7" s="9">
        <v>369.77</v>
      </c>
      <c r="AO7" s="15" t="s">
        <v>11329</v>
      </c>
      <c r="AP7" s="9">
        <v>2202</v>
      </c>
      <c r="AQ7" s="26" t="s">
        <v>11474</v>
      </c>
      <c r="AR7" s="9">
        <v>5000</v>
      </c>
      <c r="AS7" s="26" t="s">
        <v>11377</v>
      </c>
      <c r="AT7" s="72">
        <v>7000</v>
      </c>
      <c r="AU7" s="24" t="s">
        <v>11380</v>
      </c>
      <c r="AV7" s="7">
        <v>50000</v>
      </c>
      <c r="AW7" s="26" t="s">
        <v>11439</v>
      </c>
      <c r="AX7" s="7">
        <v>828.73</v>
      </c>
      <c r="AY7" s="26" t="s">
        <v>11529</v>
      </c>
      <c r="AZ7" s="7">
        <v>171801.37</v>
      </c>
      <c r="BA7" s="26" t="s">
        <v>11581</v>
      </c>
      <c r="BB7" s="9">
        <v>106000</v>
      </c>
      <c r="BC7" s="15" t="s">
        <v>11646</v>
      </c>
      <c r="BD7" s="9">
        <v>117.66</v>
      </c>
      <c r="BE7" s="26" t="s">
        <v>11711</v>
      </c>
      <c r="BF7" s="9"/>
      <c r="BG7" s="26"/>
      <c r="BH7" s="9"/>
      <c r="BI7" s="15"/>
      <c r="BJ7" s="9"/>
      <c r="BK7" s="15"/>
      <c r="BL7" s="9"/>
      <c r="BM7" s="15"/>
      <c r="BN7" s="9"/>
      <c r="BO7" s="15"/>
      <c r="BP7" s="9"/>
      <c r="BQ7" s="15"/>
      <c r="BR7" s="9"/>
      <c r="BS7" s="15"/>
      <c r="BT7" s="9"/>
      <c r="BU7" s="15"/>
      <c r="BV7" s="9"/>
      <c r="BW7" s="15"/>
      <c r="BX7" s="9"/>
      <c r="BY7" s="15"/>
      <c r="BZ7" s="9"/>
      <c r="CA7" s="15"/>
      <c r="CB7" s="9"/>
      <c r="CC7" s="15"/>
      <c r="CD7" s="9"/>
      <c r="CE7" s="15"/>
      <c r="CF7" s="9"/>
      <c r="CG7" s="15"/>
      <c r="CH7" s="9"/>
      <c r="CI7" s="15"/>
      <c r="CJ7" s="9"/>
      <c r="CK7" s="15"/>
      <c r="CL7" s="9"/>
      <c r="CM7" s="15"/>
      <c r="CN7" s="9"/>
      <c r="CO7" s="15"/>
      <c r="CP7" s="9"/>
    </row>
    <row r="8" spans="1:94" x14ac:dyDescent="0.25">
      <c r="A8" s="41"/>
      <c r="B8" s="120">
        <v>3239</v>
      </c>
      <c r="C8" s="15" t="s">
        <v>10525</v>
      </c>
      <c r="D8" s="7">
        <v>100000</v>
      </c>
      <c r="E8" s="26" t="s">
        <v>10546</v>
      </c>
      <c r="F8" s="9">
        <v>16500</v>
      </c>
      <c r="G8" s="26" t="s">
        <v>10588</v>
      </c>
      <c r="H8" s="9">
        <v>978.09</v>
      </c>
      <c r="I8" s="15" t="s">
        <v>10633</v>
      </c>
      <c r="J8" s="9">
        <v>1401</v>
      </c>
      <c r="K8" s="26" t="s">
        <v>10649</v>
      </c>
      <c r="L8" s="7">
        <v>1165.99</v>
      </c>
      <c r="M8" s="26" t="s">
        <v>10692</v>
      </c>
      <c r="N8" s="7">
        <v>75000</v>
      </c>
      <c r="O8" s="26" t="s">
        <v>10779</v>
      </c>
      <c r="P8" s="9">
        <v>484.85</v>
      </c>
      <c r="Q8" s="26" t="s">
        <v>10848</v>
      </c>
      <c r="R8" s="9"/>
      <c r="S8" s="26"/>
      <c r="T8" s="7">
        <v>13269.88</v>
      </c>
      <c r="U8" s="26" t="s">
        <v>10881</v>
      </c>
      <c r="V8" s="9">
        <v>505.06</v>
      </c>
      <c r="W8" s="15" t="s">
        <v>10926</v>
      </c>
      <c r="X8" s="9">
        <v>272.33</v>
      </c>
      <c r="Y8" s="15" t="s">
        <v>10945</v>
      </c>
      <c r="Z8" s="7">
        <v>561.20000000000005</v>
      </c>
      <c r="AA8" s="26" t="s">
        <v>10973</v>
      </c>
      <c r="AB8" s="9">
        <v>1169</v>
      </c>
      <c r="AC8" s="26" t="s">
        <v>11105</v>
      </c>
      <c r="AD8" s="72"/>
      <c r="AE8" s="13"/>
      <c r="AF8" s="127">
        <v>1422.51</v>
      </c>
      <c r="AG8" s="15" t="s">
        <v>11141</v>
      </c>
      <c r="AH8" s="9">
        <v>117.66</v>
      </c>
      <c r="AI8" s="15" t="s">
        <v>11161</v>
      </c>
      <c r="AJ8" s="72">
        <v>3507.17</v>
      </c>
      <c r="AK8" s="26" t="s">
        <v>11200</v>
      </c>
      <c r="AL8" s="9">
        <v>21500</v>
      </c>
      <c r="AM8" s="15" t="s">
        <v>11212</v>
      </c>
      <c r="AN8" s="9">
        <v>130</v>
      </c>
      <c r="AO8" s="15" t="s">
        <v>11330</v>
      </c>
      <c r="AP8" s="9">
        <v>2720.56</v>
      </c>
      <c r="AQ8" s="26" t="s">
        <v>11475</v>
      </c>
      <c r="AR8" s="9"/>
      <c r="AS8" s="26"/>
      <c r="AT8" s="9">
        <v>1000</v>
      </c>
      <c r="AU8" s="15" t="s">
        <v>11382</v>
      </c>
      <c r="AV8" s="7">
        <v>1169</v>
      </c>
      <c r="AW8" s="26" t="s">
        <v>11441</v>
      </c>
      <c r="AX8" s="7">
        <v>79.44</v>
      </c>
      <c r="AY8" s="26" t="s">
        <v>11530</v>
      </c>
      <c r="AZ8" s="7">
        <v>344.78</v>
      </c>
      <c r="BA8" s="26" t="s">
        <v>11582</v>
      </c>
      <c r="BB8" s="7">
        <v>158.08000000000001</v>
      </c>
      <c r="BC8" s="26" t="s">
        <v>11650</v>
      </c>
      <c r="BD8" s="9">
        <v>1099.01</v>
      </c>
      <c r="BE8" s="26" t="s">
        <v>11719</v>
      </c>
      <c r="BF8" s="9"/>
      <c r="BG8" s="26"/>
      <c r="BH8" s="7"/>
      <c r="BI8" s="26"/>
      <c r="BJ8" s="9"/>
      <c r="BK8" s="15"/>
      <c r="BL8" s="9"/>
      <c r="BM8" s="15"/>
      <c r="BN8" s="9"/>
      <c r="BO8" s="15"/>
      <c r="BP8" s="9"/>
      <c r="BQ8" s="15"/>
      <c r="BR8" s="9"/>
      <c r="BS8" s="15"/>
      <c r="BT8" s="9"/>
      <c r="BU8" s="15"/>
      <c r="BV8" s="9"/>
      <c r="BW8" s="15"/>
      <c r="BX8" s="9"/>
      <c r="BY8" s="15"/>
      <c r="BZ8" s="9"/>
      <c r="CA8" s="15"/>
      <c r="CB8" s="9"/>
      <c r="CC8" s="15"/>
      <c r="CD8" s="9"/>
      <c r="CE8" s="15"/>
      <c r="CF8" s="9"/>
      <c r="CG8" s="15"/>
      <c r="CH8" s="9"/>
      <c r="CI8" s="15"/>
      <c r="CJ8" s="9"/>
      <c r="CK8" s="15"/>
      <c r="CL8" s="9"/>
      <c r="CM8" s="15"/>
      <c r="CN8" s="9"/>
      <c r="CO8" s="15"/>
      <c r="CP8" s="9"/>
    </row>
    <row r="9" spans="1:94" x14ac:dyDescent="0.25">
      <c r="A9" s="41"/>
      <c r="B9" s="9">
        <v>1169</v>
      </c>
      <c r="C9" s="15" t="s">
        <v>10526</v>
      </c>
      <c r="D9" s="9">
        <v>1169</v>
      </c>
      <c r="E9" s="15" t="s">
        <v>10547</v>
      </c>
      <c r="F9" s="9">
        <v>696</v>
      </c>
      <c r="G9" s="15" t="s">
        <v>10595</v>
      </c>
      <c r="H9" s="9">
        <v>1099.01</v>
      </c>
      <c r="I9" s="15" t="s">
        <v>10636</v>
      </c>
      <c r="J9" s="9">
        <v>1169</v>
      </c>
      <c r="K9" s="15" t="s">
        <v>10650</v>
      </c>
      <c r="L9" s="9">
        <v>2040</v>
      </c>
      <c r="M9" s="15" t="s">
        <v>10702</v>
      </c>
      <c r="N9" s="9">
        <v>4000</v>
      </c>
      <c r="O9" s="15" t="s">
        <v>10780</v>
      </c>
      <c r="P9" s="9">
        <v>2040</v>
      </c>
      <c r="Q9" s="15" t="s">
        <v>10849</v>
      </c>
      <c r="R9" s="9"/>
      <c r="S9" s="15"/>
      <c r="T9" s="9">
        <v>3500</v>
      </c>
      <c r="U9" s="15" t="s">
        <v>10883</v>
      </c>
      <c r="V9" s="9">
        <v>1995</v>
      </c>
      <c r="W9" s="15" t="s">
        <v>10931</v>
      </c>
      <c r="X9" s="9">
        <v>457.32</v>
      </c>
      <c r="Y9" s="15" t="s">
        <v>10947</v>
      </c>
      <c r="Z9" s="9">
        <v>1169</v>
      </c>
      <c r="AA9" s="26" t="s">
        <v>10982</v>
      </c>
      <c r="AB9" s="9">
        <v>1169</v>
      </c>
      <c r="AC9" s="15" t="s">
        <v>11107</v>
      </c>
      <c r="AD9" s="72"/>
      <c r="AE9" s="85"/>
      <c r="AF9" s="72">
        <v>1169</v>
      </c>
      <c r="AG9" s="15" t="s">
        <v>11144</v>
      </c>
      <c r="AH9" s="9">
        <v>1169</v>
      </c>
      <c r="AI9" s="15" t="s">
        <v>11166</v>
      </c>
      <c r="AJ9" s="72">
        <v>1970</v>
      </c>
      <c r="AK9" s="15" t="s">
        <v>11131</v>
      </c>
      <c r="AL9" s="9">
        <v>3319.99</v>
      </c>
      <c r="AM9" s="15" t="s">
        <v>11214</v>
      </c>
      <c r="AN9" s="9">
        <v>4096.05</v>
      </c>
      <c r="AO9" s="26" t="s">
        <v>11332</v>
      </c>
      <c r="AP9" s="9">
        <v>31398</v>
      </c>
      <c r="AQ9" s="15" t="s">
        <v>11477</v>
      </c>
      <c r="AR9" s="9"/>
      <c r="AS9" s="15"/>
      <c r="AT9" s="7">
        <v>20000</v>
      </c>
      <c r="AU9" s="26" t="s">
        <v>11384</v>
      </c>
      <c r="AV9" s="9">
        <v>1451.8</v>
      </c>
      <c r="AW9" s="15" t="s">
        <v>11446</v>
      </c>
      <c r="AX9" s="9">
        <v>849.12</v>
      </c>
      <c r="AY9" s="15" t="s">
        <v>11533</v>
      </c>
      <c r="AZ9" s="9">
        <v>2000</v>
      </c>
      <c r="BA9" s="15" t="s">
        <v>11583</v>
      </c>
      <c r="BB9" s="9">
        <v>110000</v>
      </c>
      <c r="BC9" s="15" t="s">
        <v>11654</v>
      </c>
      <c r="BD9" s="72">
        <v>1169</v>
      </c>
      <c r="BE9" s="24" t="s">
        <v>11721</v>
      </c>
      <c r="BF9" s="9"/>
      <c r="BG9" s="26"/>
      <c r="BH9" s="9"/>
      <c r="BI9" s="15"/>
      <c r="BJ9" s="9"/>
      <c r="BK9" s="15"/>
      <c r="BL9" s="9"/>
      <c r="BM9" s="15"/>
      <c r="BN9" s="9"/>
      <c r="BO9" s="15"/>
      <c r="BP9" s="9"/>
      <c r="BQ9" s="15"/>
      <c r="BR9" s="9"/>
      <c r="BS9" s="15"/>
      <c r="BT9" s="9"/>
      <c r="BU9" s="15"/>
      <c r="BV9" s="9"/>
      <c r="BW9" s="15"/>
      <c r="BX9" s="9"/>
      <c r="BY9" s="15"/>
      <c r="BZ9" s="9"/>
      <c r="CA9" s="15"/>
      <c r="CB9" s="9"/>
      <c r="CC9" s="15"/>
      <c r="CD9" s="9"/>
      <c r="CE9" s="15"/>
      <c r="CF9" s="9"/>
      <c r="CG9" s="15"/>
      <c r="CH9" s="9"/>
      <c r="CI9" s="15"/>
      <c r="CJ9" s="9"/>
      <c r="CK9" s="15"/>
      <c r="CL9" s="9"/>
      <c r="CM9" s="15"/>
      <c r="CN9" s="9"/>
      <c r="CO9" s="15"/>
      <c r="CP9" s="9"/>
    </row>
    <row r="10" spans="1:94" x14ac:dyDescent="0.25">
      <c r="A10" s="41"/>
      <c r="B10" s="9">
        <v>4395</v>
      </c>
      <c r="C10" s="15" t="s">
        <v>10527</v>
      </c>
      <c r="D10" s="7">
        <v>1619.2</v>
      </c>
      <c r="E10" s="26" t="s">
        <v>10548</v>
      </c>
      <c r="F10" s="9">
        <v>1168.99</v>
      </c>
      <c r="G10" s="26" t="s">
        <v>10596</v>
      </c>
      <c r="H10" s="9">
        <v>1168.99</v>
      </c>
      <c r="I10" s="15" t="s">
        <v>10638</v>
      </c>
      <c r="J10" s="9">
        <v>80.239999999999995</v>
      </c>
      <c r="K10" s="26" t="s">
        <v>10653</v>
      </c>
      <c r="L10" s="7">
        <f>1626.82-978.09</f>
        <v>648.7299999999999</v>
      </c>
      <c r="M10" s="26" t="s">
        <v>10704</v>
      </c>
      <c r="N10" s="7">
        <v>93.02</v>
      </c>
      <c r="O10" s="26" t="s">
        <v>10789</v>
      </c>
      <c r="P10" s="9">
        <v>1677.44</v>
      </c>
      <c r="Q10" s="26" t="s">
        <v>10851</v>
      </c>
      <c r="R10" s="9"/>
      <c r="S10" s="26"/>
      <c r="T10" s="7">
        <v>450.92</v>
      </c>
      <c r="U10" s="26" t="s">
        <v>10886</v>
      </c>
      <c r="V10" s="9">
        <v>3168.99</v>
      </c>
      <c r="W10" s="26" t="s">
        <v>10932</v>
      </c>
      <c r="X10" s="9">
        <v>77</v>
      </c>
      <c r="Y10" s="26" t="s">
        <v>10948</v>
      </c>
      <c r="Z10" s="9">
        <v>1995</v>
      </c>
      <c r="AA10" s="26" t="s">
        <v>10983</v>
      </c>
      <c r="AB10" s="9">
        <v>2039.99</v>
      </c>
      <c r="AC10" s="26" t="s">
        <v>11110</v>
      </c>
      <c r="AD10" s="72"/>
      <c r="AE10" s="86"/>
      <c r="AF10" s="72">
        <v>1969.99</v>
      </c>
      <c r="AG10" s="26" t="s">
        <v>11147</v>
      </c>
      <c r="AH10" s="9">
        <v>1169</v>
      </c>
      <c r="AI10" s="15" t="s">
        <v>11168</v>
      </c>
      <c r="AJ10" s="72">
        <v>1168.99</v>
      </c>
      <c r="AK10" s="26" t="s">
        <v>11202</v>
      </c>
      <c r="AL10" s="9">
        <v>1970</v>
      </c>
      <c r="AM10" s="15" t="s">
        <v>11217</v>
      </c>
      <c r="AN10" s="9">
        <v>395</v>
      </c>
      <c r="AO10" s="26" t="s">
        <v>11333</v>
      </c>
      <c r="AP10" s="9">
        <v>260.51</v>
      </c>
      <c r="AQ10" s="26" t="s">
        <v>11480</v>
      </c>
      <c r="AR10" s="9"/>
      <c r="AS10" s="26"/>
      <c r="AT10" s="7">
        <v>1000</v>
      </c>
      <c r="AU10" s="26" t="s">
        <v>11390</v>
      </c>
      <c r="AV10" s="7">
        <v>1668.83</v>
      </c>
      <c r="AW10" s="26" t="s">
        <v>11457</v>
      </c>
      <c r="AX10" s="9">
        <v>1169</v>
      </c>
      <c r="AY10" s="26" t="s">
        <v>11535</v>
      </c>
      <c r="AZ10" s="7">
        <v>591.1</v>
      </c>
      <c r="BA10" s="26" t="s">
        <v>11584</v>
      </c>
      <c r="BB10" s="9">
        <v>1899.76</v>
      </c>
      <c r="BC10" s="15" t="s">
        <v>11655</v>
      </c>
      <c r="BD10" s="9">
        <v>1513.01</v>
      </c>
      <c r="BE10" s="26" t="s">
        <v>11723</v>
      </c>
      <c r="BF10" s="9"/>
      <c r="BG10" s="26"/>
      <c r="BH10" s="9"/>
      <c r="BI10" s="15"/>
      <c r="BJ10" s="9"/>
      <c r="BK10" s="15"/>
      <c r="BL10" s="9"/>
      <c r="BM10" s="15"/>
      <c r="BN10" s="9"/>
      <c r="BO10" s="15"/>
      <c r="BP10" s="9"/>
      <c r="BQ10" s="15"/>
      <c r="BR10" s="9"/>
      <c r="BS10" s="15"/>
      <c r="BT10" s="9"/>
      <c r="BU10" s="15"/>
      <c r="BV10" s="9"/>
      <c r="BW10" s="15"/>
      <c r="BX10" s="9"/>
      <c r="BY10" s="15"/>
      <c r="BZ10" s="9"/>
      <c r="CA10" s="15"/>
      <c r="CB10" s="9"/>
      <c r="CC10" s="15"/>
      <c r="CD10" s="9"/>
      <c r="CE10" s="15"/>
      <c r="CF10" s="9"/>
      <c r="CG10" s="15"/>
      <c r="CH10" s="9"/>
      <c r="CI10" s="15"/>
      <c r="CJ10" s="9"/>
      <c r="CK10" s="15"/>
      <c r="CL10" s="9"/>
      <c r="CM10" s="15"/>
      <c r="CN10" s="9"/>
      <c r="CO10" s="15"/>
      <c r="CP10" s="9"/>
    </row>
    <row r="11" spans="1:94" x14ac:dyDescent="0.25">
      <c r="A11" s="41"/>
      <c r="B11" s="9">
        <v>4465</v>
      </c>
      <c r="C11" s="15" t="s">
        <v>10529</v>
      </c>
      <c r="D11" s="7">
        <v>2420</v>
      </c>
      <c r="E11" s="7" t="s">
        <v>10549</v>
      </c>
      <c r="F11" s="9">
        <v>928</v>
      </c>
      <c r="G11" s="26" t="s">
        <v>10597</v>
      </c>
      <c r="H11" s="9">
        <v>1169</v>
      </c>
      <c r="I11" s="15" t="s">
        <v>10641</v>
      </c>
      <c r="J11" s="9">
        <v>1545.73</v>
      </c>
      <c r="K11" s="26" t="s">
        <v>10654</v>
      </c>
      <c r="L11" s="7"/>
      <c r="M11" s="26"/>
      <c r="N11" s="7">
        <v>1099</v>
      </c>
      <c r="O11" s="26" t="s">
        <v>10790</v>
      </c>
      <c r="P11" s="9">
        <v>872.87</v>
      </c>
      <c r="Q11" s="26" t="s">
        <v>10854</v>
      </c>
      <c r="R11" s="9"/>
      <c r="S11" s="26"/>
      <c r="T11" s="7">
        <v>371.48</v>
      </c>
      <c r="U11" s="26" t="s">
        <v>10887</v>
      </c>
      <c r="V11" s="9">
        <v>4744.03</v>
      </c>
      <c r="W11" s="15" t="s">
        <v>10939</v>
      </c>
      <c r="X11" s="9">
        <v>150</v>
      </c>
      <c r="Y11" s="26" t="s">
        <v>10949</v>
      </c>
      <c r="Z11" s="9">
        <v>383</v>
      </c>
      <c r="AA11" s="26" t="s">
        <v>10984</v>
      </c>
      <c r="AB11" s="9">
        <v>1169</v>
      </c>
      <c r="AC11" s="26" t="s">
        <v>11113</v>
      </c>
      <c r="AD11" s="24"/>
      <c r="AE11" s="85"/>
      <c r="AF11" s="9">
        <v>1970</v>
      </c>
      <c r="AG11" s="15" t="s">
        <v>11148</v>
      </c>
      <c r="AH11" s="72">
        <v>729.52</v>
      </c>
      <c r="AI11" s="15" t="s">
        <v>11170</v>
      </c>
      <c r="AJ11" s="72">
        <v>3250</v>
      </c>
      <c r="AK11" s="26" t="s">
        <v>11204</v>
      </c>
      <c r="AL11" s="9">
        <v>729.52</v>
      </c>
      <c r="AM11" s="15" t="s">
        <v>11222</v>
      </c>
      <c r="AN11" s="9"/>
      <c r="AO11" s="26"/>
      <c r="AP11" s="9">
        <v>20000</v>
      </c>
      <c r="AQ11" s="26" t="s">
        <v>11483</v>
      </c>
      <c r="AR11" s="9"/>
      <c r="AS11" s="15"/>
      <c r="AT11" s="9">
        <v>162.47999999999999</v>
      </c>
      <c r="AU11" s="15" t="s">
        <v>11394</v>
      </c>
      <c r="AV11" s="9">
        <v>3250.01</v>
      </c>
      <c r="AW11" s="26" t="s">
        <v>11458</v>
      </c>
      <c r="AX11" s="9">
        <v>1169</v>
      </c>
      <c r="AY11" s="26" t="s">
        <v>11538</v>
      </c>
      <c r="AZ11" s="7">
        <v>49445.97</v>
      </c>
      <c r="BA11" s="26" t="s">
        <v>11585</v>
      </c>
      <c r="BB11" s="7">
        <v>103.25</v>
      </c>
      <c r="BC11" s="26" t="s">
        <v>11656</v>
      </c>
      <c r="BD11" s="9">
        <v>1099.01</v>
      </c>
      <c r="BE11" s="15" t="s">
        <v>11724</v>
      </c>
      <c r="BF11" s="9"/>
      <c r="BG11" s="26"/>
      <c r="BH11" s="9"/>
      <c r="BI11" s="15"/>
      <c r="BJ11" s="9"/>
      <c r="BK11" s="15"/>
      <c r="BL11" s="9"/>
      <c r="BM11" s="15"/>
      <c r="BN11" s="9"/>
      <c r="BO11" s="15"/>
      <c r="BP11" s="9"/>
      <c r="BQ11" s="15"/>
      <c r="BR11" s="9"/>
      <c r="BS11" s="15"/>
      <c r="BT11" s="9"/>
      <c r="BU11" s="15"/>
      <c r="BV11" s="9"/>
      <c r="BW11" s="15"/>
      <c r="BX11" s="9"/>
      <c r="BY11" s="15"/>
      <c r="BZ11" s="9"/>
      <c r="CA11" s="15"/>
      <c r="CB11" s="9"/>
      <c r="CC11" s="15"/>
      <c r="CD11" s="9"/>
      <c r="CE11" s="15"/>
      <c r="CF11" s="9"/>
      <c r="CG11" s="15"/>
      <c r="CH11" s="9"/>
      <c r="CI11" s="15"/>
      <c r="CJ11" s="9"/>
      <c r="CK11" s="15"/>
      <c r="CL11" s="9"/>
      <c r="CM11" s="15"/>
      <c r="CN11" s="9"/>
      <c r="CO11" s="15"/>
      <c r="CP11" s="9"/>
    </row>
    <row r="12" spans="1:94" x14ac:dyDescent="0.25">
      <c r="A12" s="41"/>
      <c r="B12" s="9">
        <v>1169</v>
      </c>
      <c r="C12" s="15" t="s">
        <v>10531</v>
      </c>
      <c r="D12" s="9">
        <v>464</v>
      </c>
      <c r="E12" s="15" t="s">
        <v>10551</v>
      </c>
      <c r="F12" s="9">
        <v>1099.01</v>
      </c>
      <c r="G12" s="15" t="s">
        <v>10598</v>
      </c>
      <c r="H12" s="9">
        <v>896</v>
      </c>
      <c r="I12" s="15" t="s">
        <v>10642</v>
      </c>
      <c r="J12" s="9">
        <v>898.05</v>
      </c>
      <c r="K12" s="15" t="s">
        <v>10656</v>
      </c>
      <c r="L12" s="9">
        <v>5000</v>
      </c>
      <c r="M12" s="15" t="s">
        <v>10746</v>
      </c>
      <c r="N12" s="9">
        <v>1994.99</v>
      </c>
      <c r="O12" s="15" t="s">
        <v>10791</v>
      </c>
      <c r="P12" s="9">
        <v>1099</v>
      </c>
      <c r="Q12" s="15" t="s">
        <v>10861</v>
      </c>
      <c r="R12" s="9"/>
      <c r="S12" s="15"/>
      <c r="T12" s="9">
        <v>1099.01</v>
      </c>
      <c r="U12" s="15" t="s">
        <v>10888</v>
      </c>
      <c r="V12" s="9"/>
      <c r="W12" s="15"/>
      <c r="X12" s="9">
        <v>1168.99</v>
      </c>
      <c r="Y12" s="15" t="s">
        <v>10950</v>
      </c>
      <c r="Z12" s="9">
        <v>232</v>
      </c>
      <c r="AA12" s="26" t="s">
        <v>10985</v>
      </c>
      <c r="AB12" s="9">
        <v>1169</v>
      </c>
      <c r="AC12" s="26" t="s">
        <v>11118</v>
      </c>
      <c r="AD12" s="72"/>
      <c r="AE12" s="86"/>
      <c r="AF12" s="72">
        <v>1939</v>
      </c>
      <c r="AG12" s="15" t="s">
        <v>11151</v>
      </c>
      <c r="AH12" s="72"/>
      <c r="AI12" s="15"/>
      <c r="AJ12" s="72">
        <v>1168.99</v>
      </c>
      <c r="AK12" s="85" t="s">
        <v>11205</v>
      </c>
      <c r="AL12" s="9">
        <v>5000</v>
      </c>
      <c r="AM12" s="15" t="s">
        <v>11301</v>
      </c>
      <c r="AN12" s="9">
        <v>95549.57</v>
      </c>
      <c r="AO12" s="15" t="s">
        <v>11344</v>
      </c>
      <c r="AP12" s="9">
        <v>127.46</v>
      </c>
      <c r="AQ12" s="15" t="s">
        <v>11486</v>
      </c>
      <c r="AR12" s="9"/>
      <c r="AS12" s="15"/>
      <c r="AT12" s="7">
        <v>42000</v>
      </c>
      <c r="AU12" s="26" t="s">
        <v>11396</v>
      </c>
      <c r="AV12" s="222">
        <v>1099.01</v>
      </c>
      <c r="AW12" s="106" t="s">
        <v>11461</v>
      </c>
      <c r="AX12" s="9"/>
      <c r="AY12" s="15"/>
      <c r="AZ12" s="9">
        <v>2510.46</v>
      </c>
      <c r="BA12" s="15" t="s">
        <v>11586</v>
      </c>
      <c r="BB12" s="7">
        <v>80.239999999999995</v>
      </c>
      <c r="BC12" s="26" t="s">
        <v>11657</v>
      </c>
      <c r="BD12" s="9">
        <v>1995</v>
      </c>
      <c r="BE12" s="15" t="s">
        <v>11725</v>
      </c>
      <c r="BF12" s="9"/>
      <c r="BG12" s="15"/>
      <c r="BH12" s="120"/>
      <c r="BI12" s="15"/>
      <c r="BJ12" s="9"/>
      <c r="BK12" s="15"/>
      <c r="BL12" s="9"/>
      <c r="BM12" s="15"/>
      <c r="BN12" s="9"/>
      <c r="BO12" s="15"/>
      <c r="BP12" s="9"/>
      <c r="BQ12" s="15"/>
      <c r="BR12" s="9"/>
      <c r="BS12" s="15"/>
      <c r="BT12" s="9"/>
      <c r="BU12" s="15"/>
      <c r="BV12" s="9"/>
      <c r="BW12" s="15"/>
      <c r="BX12" s="9"/>
      <c r="BY12" s="15"/>
      <c r="BZ12" s="9"/>
      <c r="CA12" s="15"/>
      <c r="CB12" s="9"/>
      <c r="CC12" s="15"/>
      <c r="CD12" s="9"/>
      <c r="CE12" s="15"/>
      <c r="CF12" s="9"/>
      <c r="CG12" s="15"/>
      <c r="CH12" s="9"/>
      <c r="CI12" s="15"/>
      <c r="CJ12" s="9"/>
      <c r="CK12" s="15"/>
      <c r="CL12" s="9"/>
      <c r="CM12" s="15"/>
      <c r="CN12" s="9"/>
      <c r="CO12" s="15"/>
      <c r="CP12" s="9"/>
    </row>
    <row r="13" spans="1:94" x14ac:dyDescent="0.25">
      <c r="A13" s="41"/>
      <c r="B13" s="9">
        <v>1168.99</v>
      </c>
      <c r="C13" s="15" t="s">
        <v>10532</v>
      </c>
      <c r="D13" s="9">
        <v>1168.99</v>
      </c>
      <c r="E13" s="15" t="s">
        <v>10552</v>
      </c>
      <c r="F13" s="9">
        <v>14365.02</v>
      </c>
      <c r="G13" s="15" t="s">
        <v>10599</v>
      </c>
      <c r="H13" s="9"/>
      <c r="I13" s="15"/>
      <c r="J13" s="9"/>
      <c r="K13" s="15"/>
      <c r="L13" s="9">
        <v>5497.36</v>
      </c>
      <c r="M13" s="15" t="s">
        <v>10747</v>
      </c>
      <c r="N13" s="9">
        <v>1099.01</v>
      </c>
      <c r="O13" s="15" t="s">
        <v>10800</v>
      </c>
      <c r="P13" s="9">
        <v>1168.99</v>
      </c>
      <c r="Q13" s="15" t="s">
        <v>10866</v>
      </c>
      <c r="R13" s="9"/>
      <c r="S13" s="15"/>
      <c r="T13" s="9">
        <v>1168.99</v>
      </c>
      <c r="U13" s="15" t="s">
        <v>10891</v>
      </c>
      <c r="V13" s="9">
        <v>5000</v>
      </c>
      <c r="W13" s="26" t="s">
        <v>10989</v>
      </c>
      <c r="X13" s="9">
        <v>3316</v>
      </c>
      <c r="Y13" s="15" t="s">
        <v>10952</v>
      </c>
      <c r="Z13" s="9"/>
      <c r="AA13" s="15"/>
      <c r="AB13" s="9">
        <v>169</v>
      </c>
      <c r="AC13" s="15" t="s">
        <v>11119</v>
      </c>
      <c r="AD13" s="72"/>
      <c r="AE13" s="86"/>
      <c r="AF13" s="72">
        <v>1168.99</v>
      </c>
      <c r="AG13" s="15" t="s">
        <v>11153</v>
      </c>
      <c r="AH13" s="9">
        <v>1972.34</v>
      </c>
      <c r="AI13" s="15" t="s">
        <v>11226</v>
      </c>
      <c r="AJ13" s="72">
        <v>2420</v>
      </c>
      <c r="AK13" s="26" t="s">
        <v>11207</v>
      </c>
      <c r="AL13" s="9">
        <v>4298.21</v>
      </c>
      <c r="AM13" s="15" t="s">
        <v>11303</v>
      </c>
      <c r="AN13" s="9">
        <v>30000</v>
      </c>
      <c r="AO13" s="26" t="s">
        <v>11346</v>
      </c>
      <c r="AP13" s="9">
        <v>1169</v>
      </c>
      <c r="AQ13" s="26" t="s">
        <v>11490</v>
      </c>
      <c r="AR13" s="9"/>
      <c r="AS13" s="26"/>
      <c r="AT13" s="7">
        <v>1168.99</v>
      </c>
      <c r="AU13" s="26" t="s">
        <v>11398</v>
      </c>
      <c r="AV13" s="222">
        <v>1099.01</v>
      </c>
      <c r="AW13" s="106" t="s">
        <v>11465</v>
      </c>
      <c r="AX13" s="9">
        <v>3480</v>
      </c>
      <c r="AY13" s="15" t="s">
        <v>11541</v>
      </c>
      <c r="AZ13" s="9">
        <v>185.74</v>
      </c>
      <c r="BA13" s="15" t="s">
        <v>11587</v>
      </c>
      <c r="BB13" s="7">
        <v>92.87</v>
      </c>
      <c r="BC13" s="26" t="s">
        <v>11658</v>
      </c>
      <c r="BD13" s="9">
        <v>3320</v>
      </c>
      <c r="BE13" s="15" t="s">
        <v>11726</v>
      </c>
      <c r="BF13" s="9"/>
      <c r="BG13" s="15"/>
      <c r="BH13" s="9"/>
      <c r="BI13" s="15"/>
      <c r="BJ13" s="9"/>
      <c r="BK13" s="15"/>
      <c r="BL13" s="9"/>
      <c r="BM13" s="15"/>
      <c r="BN13" s="9"/>
      <c r="BO13" s="15"/>
      <c r="BP13" s="9"/>
      <c r="BQ13" s="15"/>
      <c r="BR13" s="9"/>
      <c r="BS13" s="15"/>
      <c r="BT13" s="9"/>
      <c r="BU13" s="15"/>
      <c r="BV13" s="9"/>
      <c r="BW13" s="15"/>
      <c r="BX13" s="9"/>
      <c r="BY13" s="15"/>
      <c r="BZ13" s="9"/>
      <c r="CA13" s="15"/>
      <c r="CB13" s="9"/>
      <c r="CC13" s="15"/>
      <c r="CD13" s="9"/>
      <c r="CE13" s="15"/>
      <c r="CF13" s="9"/>
      <c r="CG13" s="15"/>
      <c r="CH13" s="9"/>
      <c r="CI13" s="15"/>
      <c r="CJ13" s="9"/>
      <c r="CK13" s="15"/>
      <c r="CL13" s="9"/>
      <c r="CM13" s="15"/>
      <c r="CN13" s="9"/>
      <c r="CO13" s="15"/>
      <c r="CP13" s="9"/>
    </row>
    <row r="14" spans="1:94" x14ac:dyDescent="0.25">
      <c r="A14" s="41"/>
      <c r="B14" s="9">
        <v>4464.99</v>
      </c>
      <c r="C14" s="15" t="s">
        <v>10534</v>
      </c>
      <c r="D14" s="7">
        <v>1169</v>
      </c>
      <c r="E14" s="26" t="s">
        <v>10553</v>
      </c>
      <c r="F14" s="9"/>
      <c r="G14" s="26"/>
      <c r="H14" s="9">
        <v>500</v>
      </c>
      <c r="I14" s="15" t="s">
        <v>10665</v>
      </c>
      <c r="J14" s="9">
        <v>100</v>
      </c>
      <c r="K14" s="26" t="s">
        <v>10705</v>
      </c>
      <c r="L14" s="9">
        <v>50000</v>
      </c>
      <c r="M14" s="15" t="s">
        <v>10748</v>
      </c>
      <c r="N14" s="7">
        <v>464</v>
      </c>
      <c r="O14" s="26" t="s">
        <v>10803</v>
      </c>
      <c r="P14" s="9">
        <v>464</v>
      </c>
      <c r="Q14" s="26" t="s">
        <v>10872</v>
      </c>
      <c r="R14" s="9"/>
      <c r="S14" s="26"/>
      <c r="T14" s="7">
        <v>232</v>
      </c>
      <c r="U14" s="26" t="s">
        <v>10893</v>
      </c>
      <c r="V14" s="9">
        <v>120000</v>
      </c>
      <c r="W14" s="26" t="s">
        <v>10992</v>
      </c>
      <c r="X14" s="9">
        <v>4395.01</v>
      </c>
      <c r="Y14" s="26" t="s">
        <v>10956</v>
      </c>
      <c r="Z14" s="9">
        <v>232</v>
      </c>
      <c r="AA14" s="15" t="s">
        <v>11060</v>
      </c>
      <c r="AB14" s="9">
        <v>1099.01</v>
      </c>
      <c r="AC14" s="15" t="s">
        <v>11120</v>
      </c>
      <c r="AD14" s="72"/>
      <c r="AE14" s="86"/>
      <c r="AF14" s="72">
        <v>1549.01</v>
      </c>
      <c r="AG14" s="26" t="s">
        <v>11154</v>
      </c>
      <c r="AH14" s="9">
        <v>24694.25</v>
      </c>
      <c r="AI14" s="15" t="s">
        <v>11230</v>
      </c>
      <c r="AJ14" s="72">
        <v>364.45</v>
      </c>
      <c r="AK14" s="26" t="s">
        <v>11208</v>
      </c>
      <c r="AL14" s="9">
        <v>199.71</v>
      </c>
      <c r="AM14" s="15" t="s">
        <v>11305</v>
      </c>
      <c r="AN14" s="9">
        <v>236.34</v>
      </c>
      <c r="AO14" s="26" t="s">
        <v>11356</v>
      </c>
      <c r="AP14" s="9">
        <v>1970</v>
      </c>
      <c r="AQ14" s="26" t="s">
        <v>11491</v>
      </c>
      <c r="AR14" s="9"/>
      <c r="AS14" s="26"/>
      <c r="AT14" s="7">
        <v>1994.99</v>
      </c>
      <c r="AU14" s="26" t="s">
        <v>11399</v>
      </c>
      <c r="AV14" s="9">
        <v>1169</v>
      </c>
      <c r="AW14" s="26" t="s">
        <v>11466</v>
      </c>
      <c r="AX14" s="9">
        <v>1069.33</v>
      </c>
      <c r="AY14" s="26" t="s">
        <v>11544</v>
      </c>
      <c r="AZ14" s="7">
        <v>630.52</v>
      </c>
      <c r="BA14" s="26" t="s">
        <v>11588</v>
      </c>
      <c r="BB14" s="7">
        <v>1970</v>
      </c>
      <c r="BC14" s="26" t="s">
        <v>11661</v>
      </c>
      <c r="BD14" s="9">
        <v>3320</v>
      </c>
      <c r="BE14" s="26" t="s">
        <v>11727</v>
      </c>
      <c r="BF14" s="9"/>
      <c r="BG14" s="26"/>
      <c r="BH14" s="9"/>
      <c r="BI14" s="15"/>
      <c r="BJ14" s="9"/>
      <c r="BK14" s="15"/>
      <c r="BL14" s="9"/>
      <c r="BM14" s="15"/>
      <c r="BN14" s="9"/>
      <c r="BO14" s="15"/>
      <c r="BP14" s="9"/>
      <c r="BQ14" s="15"/>
      <c r="BR14" s="9"/>
      <c r="BS14" s="15"/>
      <c r="BT14" s="9"/>
      <c r="BU14" s="15"/>
      <c r="BV14" s="9"/>
      <c r="BW14" s="15"/>
      <c r="BX14" s="9"/>
      <c r="BY14" s="15"/>
      <c r="BZ14" s="9"/>
      <c r="CA14" s="15"/>
      <c r="CB14" s="9"/>
      <c r="CC14" s="15"/>
      <c r="CD14" s="9"/>
      <c r="CE14" s="15"/>
      <c r="CF14" s="9"/>
      <c r="CG14" s="15"/>
      <c r="CH14" s="9"/>
      <c r="CI14" s="15"/>
      <c r="CJ14" s="9"/>
      <c r="CK14" s="15"/>
      <c r="CL14" s="9"/>
      <c r="CM14" s="15"/>
      <c r="CN14" s="9"/>
      <c r="CO14" s="15"/>
      <c r="CP14" s="9"/>
    </row>
    <row r="15" spans="1:94" x14ac:dyDescent="0.25">
      <c r="A15" s="41"/>
      <c r="B15" s="9">
        <v>2340.0100000000002</v>
      </c>
      <c r="C15" s="15" t="s">
        <v>10535</v>
      </c>
      <c r="D15" s="7">
        <v>3239</v>
      </c>
      <c r="E15" s="26" t="s">
        <v>10555</v>
      </c>
      <c r="F15" s="9">
        <v>500</v>
      </c>
      <c r="G15" s="26" t="s">
        <v>10600</v>
      </c>
      <c r="H15" s="9">
        <v>152.46</v>
      </c>
      <c r="I15" s="15" t="s">
        <v>10666</v>
      </c>
      <c r="J15" s="9">
        <v>131.27000000000001</v>
      </c>
      <c r="K15" s="26" t="s">
        <v>10709</v>
      </c>
      <c r="L15" s="9">
        <v>2420</v>
      </c>
      <c r="M15" s="26" t="s">
        <v>10749</v>
      </c>
      <c r="N15" s="7">
        <v>5499.99</v>
      </c>
      <c r="O15" s="26" t="s">
        <v>10806</v>
      </c>
      <c r="P15" s="9"/>
      <c r="Q15" s="26"/>
      <c r="R15" s="9"/>
      <c r="S15" s="26"/>
      <c r="T15" s="7"/>
      <c r="U15" s="26"/>
      <c r="V15" s="7">
        <v>2921.46</v>
      </c>
      <c r="W15" s="26" t="s">
        <v>11001</v>
      </c>
      <c r="X15" s="9">
        <v>970</v>
      </c>
      <c r="Y15" s="26" t="s">
        <v>10957</v>
      </c>
      <c r="Z15" s="9">
        <v>66400</v>
      </c>
      <c r="AA15" s="26" t="s">
        <v>11069</v>
      </c>
      <c r="AB15" s="9">
        <v>2350</v>
      </c>
      <c r="AC15" s="15" t="s">
        <v>11121</v>
      </c>
      <c r="AD15" s="72"/>
      <c r="AE15" s="86"/>
      <c r="AF15" s="72">
        <v>1303.99</v>
      </c>
      <c r="AG15" s="26" t="s">
        <v>11155</v>
      </c>
      <c r="AH15" s="7">
        <v>96.85</v>
      </c>
      <c r="AI15" s="26" t="s">
        <v>11232</v>
      </c>
      <c r="AJ15" s="87"/>
      <c r="AK15" s="9"/>
      <c r="AL15" s="9">
        <v>1099.01</v>
      </c>
      <c r="AM15" s="15" t="s">
        <v>11309</v>
      </c>
      <c r="AN15" s="9">
        <v>3250.01</v>
      </c>
      <c r="AO15" s="26" t="s">
        <v>11358</v>
      </c>
      <c r="AP15" s="11">
        <v>1969.99</v>
      </c>
      <c r="AQ15" s="12" t="s">
        <v>11500</v>
      </c>
      <c r="AR15" s="9"/>
      <c r="AS15" s="26"/>
      <c r="AT15" s="7">
        <v>3319.99</v>
      </c>
      <c r="AU15" s="26" t="s">
        <v>11402</v>
      </c>
      <c r="AV15" s="9"/>
      <c r="AW15" s="26"/>
      <c r="AX15" s="9">
        <v>3650.08</v>
      </c>
      <c r="AY15" s="26" t="s">
        <v>11552</v>
      </c>
      <c r="AZ15" s="7">
        <v>304.92</v>
      </c>
      <c r="BA15" s="26" t="s">
        <v>11589</v>
      </c>
      <c r="BB15" s="7">
        <v>12655.66</v>
      </c>
      <c r="BC15" s="26" t="s">
        <v>11662</v>
      </c>
      <c r="BD15" s="9">
        <v>1169</v>
      </c>
      <c r="BE15" s="26" t="s">
        <v>11728</v>
      </c>
      <c r="BF15" s="9"/>
      <c r="BG15" s="26"/>
      <c r="BH15" s="9"/>
      <c r="BI15" s="15"/>
      <c r="BJ15" s="9"/>
      <c r="BK15" s="15"/>
      <c r="BL15" s="9"/>
      <c r="BM15" s="15"/>
      <c r="BN15" s="9"/>
      <c r="BO15" s="15"/>
      <c r="BP15" s="9"/>
      <c r="BQ15" s="15"/>
      <c r="BR15" s="9"/>
      <c r="BS15" s="15"/>
      <c r="BT15" s="9"/>
      <c r="BU15" s="15"/>
      <c r="BV15" s="9"/>
      <c r="BW15" s="15"/>
      <c r="BX15" s="9"/>
      <c r="BY15" s="15"/>
      <c r="BZ15" s="9"/>
      <c r="CA15" s="15"/>
      <c r="CB15" s="9"/>
      <c r="CC15" s="15"/>
      <c r="CD15" s="9"/>
      <c r="CE15" s="15"/>
      <c r="CF15" s="9"/>
      <c r="CG15" s="15"/>
      <c r="CH15" s="9"/>
      <c r="CI15" s="15"/>
      <c r="CJ15" s="9"/>
      <c r="CK15" s="15"/>
      <c r="CL15" s="9"/>
      <c r="CM15" s="15"/>
      <c r="CN15" s="9"/>
      <c r="CO15" s="15"/>
      <c r="CP15" s="9"/>
    </row>
    <row r="16" spans="1:94" x14ac:dyDescent="0.25">
      <c r="A16" s="41"/>
      <c r="B16" s="9">
        <v>614.97</v>
      </c>
      <c r="C16" s="15" t="s">
        <v>10538</v>
      </c>
      <c r="D16" s="7">
        <v>1169</v>
      </c>
      <c r="E16" s="26" t="s">
        <v>10556</v>
      </c>
      <c r="F16" s="9">
        <v>4500</v>
      </c>
      <c r="G16" s="26" t="s">
        <v>10601</v>
      </c>
      <c r="H16" s="9">
        <v>402.2</v>
      </c>
      <c r="I16" s="15" t="s">
        <v>10668</v>
      </c>
      <c r="J16" s="9">
        <v>20000</v>
      </c>
      <c r="K16" s="26" t="s">
        <v>10711</v>
      </c>
      <c r="L16" s="9">
        <v>464</v>
      </c>
      <c r="M16" s="26" t="s">
        <v>10750</v>
      </c>
      <c r="N16" s="7">
        <v>1168.99</v>
      </c>
      <c r="O16" s="26" t="s">
        <v>10807</v>
      </c>
      <c r="P16" s="9"/>
      <c r="Q16" s="26"/>
      <c r="R16" s="9"/>
      <c r="S16" s="26"/>
      <c r="T16" s="7">
        <v>1008.91</v>
      </c>
      <c r="U16" s="26" t="s">
        <v>10897</v>
      </c>
      <c r="V16" s="9">
        <v>3066</v>
      </c>
      <c r="W16" s="26" t="s">
        <v>11004</v>
      </c>
      <c r="X16" s="9"/>
      <c r="Y16" s="26"/>
      <c r="Z16" s="9">
        <v>1083.3499999999999</v>
      </c>
      <c r="AA16" s="26" t="s">
        <v>11070</v>
      </c>
      <c r="AB16" s="9">
        <v>260.33</v>
      </c>
      <c r="AC16" s="15" t="s">
        <v>11122</v>
      </c>
      <c r="AD16" s="72"/>
      <c r="AE16" s="86"/>
      <c r="AF16" s="72">
        <v>1465.86</v>
      </c>
      <c r="AG16" s="26" t="s">
        <v>11156</v>
      </c>
      <c r="AH16" s="7">
        <f>545.66-466.23</f>
        <v>79.42999999999995</v>
      </c>
      <c r="AI16" s="26" t="s">
        <v>11233</v>
      </c>
      <c r="AJ16" s="87">
        <v>150000</v>
      </c>
      <c r="AK16" s="26" t="s">
        <v>11256</v>
      </c>
      <c r="AL16" s="9">
        <v>1169</v>
      </c>
      <c r="AM16" s="15" t="s">
        <v>11314</v>
      </c>
      <c r="AN16" s="9">
        <v>3250</v>
      </c>
      <c r="AO16" s="26" t="s">
        <v>11359</v>
      </c>
      <c r="AP16" s="9">
        <v>1169</v>
      </c>
      <c r="AQ16" s="26" t="s">
        <v>11502</v>
      </c>
      <c r="AR16" s="9"/>
      <c r="AS16" s="7"/>
      <c r="AT16" s="7">
        <v>1.02</v>
      </c>
      <c r="AU16" s="26" t="s">
        <v>11403</v>
      </c>
      <c r="AV16" s="9">
        <v>497.45</v>
      </c>
      <c r="AW16" s="26" t="s">
        <v>11510</v>
      </c>
      <c r="AX16" s="9">
        <v>1169</v>
      </c>
      <c r="AY16" s="26" t="s">
        <v>11554</v>
      </c>
      <c r="AZ16" s="7">
        <v>2065.69</v>
      </c>
      <c r="BA16" s="26" t="s">
        <v>11593</v>
      </c>
      <c r="BB16" s="7">
        <v>1099.01</v>
      </c>
      <c r="BC16" s="26" t="s">
        <v>11664</v>
      </c>
      <c r="BD16" s="9">
        <v>1169</v>
      </c>
      <c r="BE16" s="26" t="s">
        <v>11730</v>
      </c>
      <c r="BF16" s="9"/>
      <c r="BG16" s="26"/>
      <c r="BH16" s="120"/>
      <c r="BI16" s="120"/>
      <c r="BJ16" s="9"/>
      <c r="BK16" s="15"/>
      <c r="BL16" s="9"/>
      <c r="BM16" s="15"/>
      <c r="BN16" s="9"/>
      <c r="BO16" s="15"/>
      <c r="BP16" s="9"/>
      <c r="BQ16" s="15"/>
      <c r="BR16" s="9"/>
      <c r="BS16" s="15"/>
      <c r="BT16" s="9"/>
      <c r="BU16" s="15"/>
      <c r="BV16" s="9"/>
      <c r="BW16" s="15"/>
      <c r="BX16" s="9"/>
      <c r="BY16" s="15"/>
      <c r="BZ16" s="9"/>
      <c r="CA16" s="15"/>
      <c r="CB16" s="9"/>
      <c r="CC16" s="15"/>
      <c r="CD16" s="9"/>
      <c r="CE16" s="15"/>
      <c r="CF16" s="9"/>
      <c r="CG16" s="15"/>
      <c r="CH16" s="9"/>
      <c r="CI16" s="15"/>
      <c r="CJ16" s="9"/>
      <c r="CK16" s="15"/>
      <c r="CL16" s="9"/>
      <c r="CM16" s="15"/>
      <c r="CN16" s="9"/>
      <c r="CO16" s="15"/>
      <c r="CP16" s="9"/>
    </row>
    <row r="17" spans="1:94" x14ac:dyDescent="0.25">
      <c r="A17" s="41"/>
      <c r="B17" s="9">
        <f>1712.66-1626.82</f>
        <v>85.840000000000146</v>
      </c>
      <c r="C17" s="15" t="s">
        <v>10539</v>
      </c>
      <c r="D17" s="7">
        <v>2039.99</v>
      </c>
      <c r="E17" s="26" t="s">
        <v>10557</v>
      </c>
      <c r="F17" s="9">
        <v>200000</v>
      </c>
      <c r="G17" s="26" t="s">
        <v>10605</v>
      </c>
      <c r="H17" s="9">
        <v>1169</v>
      </c>
      <c r="I17" s="15" t="s">
        <v>10670</v>
      </c>
      <c r="J17" s="9">
        <v>230000</v>
      </c>
      <c r="K17" s="9" t="s">
        <v>10717</v>
      </c>
      <c r="L17" s="9">
        <v>11461.41</v>
      </c>
      <c r="M17" s="26" t="s">
        <v>10751</v>
      </c>
      <c r="N17" s="7">
        <v>1169</v>
      </c>
      <c r="O17" s="26" t="s">
        <v>10811</v>
      </c>
      <c r="P17" s="9"/>
      <c r="Q17" s="26"/>
      <c r="R17" s="9"/>
      <c r="S17" s="15"/>
      <c r="T17" s="96">
        <v>840.42</v>
      </c>
      <c r="U17" s="26" t="s">
        <v>10900</v>
      </c>
      <c r="V17" s="9">
        <v>1994.99</v>
      </c>
      <c r="W17" s="26" t="s">
        <v>11010</v>
      </c>
      <c r="X17" s="9">
        <v>4000</v>
      </c>
      <c r="Y17" s="26" t="s">
        <v>11028</v>
      </c>
      <c r="Z17" s="9">
        <v>69.989999999999995</v>
      </c>
      <c r="AA17" s="26" t="s">
        <v>11075</v>
      </c>
      <c r="AB17" s="9"/>
      <c r="AC17" s="26"/>
      <c r="AD17" s="72"/>
      <c r="AE17" s="86"/>
      <c r="AF17" s="72">
        <v>2000</v>
      </c>
      <c r="AG17" s="26" t="s">
        <v>11173</v>
      </c>
      <c r="AH17" s="7">
        <v>4465</v>
      </c>
      <c r="AI17" s="26" t="s">
        <v>11236</v>
      </c>
      <c r="AJ17" s="72">
        <v>1000</v>
      </c>
      <c r="AK17" s="15" t="s">
        <v>11262</v>
      </c>
      <c r="AL17" s="9">
        <v>1657</v>
      </c>
      <c r="AM17" s="15" t="s">
        <v>11315</v>
      </c>
      <c r="AN17" s="9">
        <v>1169</v>
      </c>
      <c r="AO17" s="26" t="s">
        <v>11360</v>
      </c>
      <c r="AP17" s="9">
        <v>1169</v>
      </c>
      <c r="AQ17" s="26" t="s">
        <v>11506</v>
      </c>
      <c r="AR17" s="9"/>
      <c r="AS17" s="26"/>
      <c r="AT17" s="7">
        <v>2040</v>
      </c>
      <c r="AU17" s="26" t="s">
        <v>11404</v>
      </c>
      <c r="AV17" s="9">
        <v>17.21</v>
      </c>
      <c r="AW17" s="26" t="s">
        <v>11511</v>
      </c>
      <c r="AX17" s="9">
        <v>1099.01</v>
      </c>
      <c r="AY17" s="26" t="s">
        <v>11558</v>
      </c>
      <c r="AZ17" s="7">
        <v>2436</v>
      </c>
      <c r="BA17" s="26" t="s">
        <v>11597</v>
      </c>
      <c r="BB17" s="9">
        <v>1973.21</v>
      </c>
      <c r="BC17" s="15" t="s">
        <v>11665</v>
      </c>
      <c r="BD17" s="9">
        <v>1482.78</v>
      </c>
      <c r="BE17" s="26" t="s">
        <v>11732</v>
      </c>
      <c r="BF17" s="9"/>
      <c r="BG17" s="26"/>
      <c r="BH17" s="9"/>
      <c r="BI17" s="15"/>
      <c r="BJ17" s="9"/>
      <c r="BK17" s="15"/>
      <c r="BL17" s="9"/>
      <c r="BM17" s="15"/>
      <c r="BN17" s="9"/>
      <c r="BO17" s="15"/>
      <c r="BP17" s="9"/>
      <c r="BQ17" s="15"/>
      <c r="BR17" s="9"/>
      <c r="BS17" s="15"/>
      <c r="BT17" s="9"/>
      <c r="BU17" s="15"/>
      <c r="BV17" s="9"/>
      <c r="BW17" s="15"/>
      <c r="BX17" s="9"/>
      <c r="BY17" s="15"/>
      <c r="BZ17" s="9"/>
      <c r="CA17" s="15"/>
      <c r="CB17" s="9"/>
      <c r="CC17" s="15"/>
      <c r="CD17" s="9"/>
      <c r="CE17" s="15"/>
      <c r="CF17" s="9"/>
      <c r="CG17" s="15"/>
      <c r="CH17" s="9"/>
      <c r="CI17" s="15"/>
      <c r="CJ17" s="9"/>
      <c r="CK17" s="15"/>
      <c r="CL17" s="9"/>
      <c r="CM17" s="15"/>
      <c r="CN17" s="9"/>
      <c r="CO17" s="15"/>
      <c r="CP17" s="9"/>
    </row>
    <row r="18" spans="1:94" x14ac:dyDescent="0.25">
      <c r="A18" s="41"/>
      <c r="B18" s="9">
        <v>1181.69</v>
      </c>
      <c r="C18" s="15" t="s">
        <v>10540</v>
      </c>
      <c r="D18" s="7">
        <v>1169</v>
      </c>
      <c r="E18" s="26" t="s">
        <v>10563</v>
      </c>
      <c r="F18" s="9">
        <v>2500</v>
      </c>
      <c r="G18" s="26" t="s">
        <v>10606</v>
      </c>
      <c r="H18" s="9">
        <v>2616.09</v>
      </c>
      <c r="I18" s="15" t="s">
        <v>10672</v>
      </c>
      <c r="J18" s="9">
        <v>5588</v>
      </c>
      <c r="K18" s="15" t="s">
        <v>10722</v>
      </c>
      <c r="L18" s="9">
        <v>1169</v>
      </c>
      <c r="M18" s="26" t="s">
        <v>10755</v>
      </c>
      <c r="N18" s="7">
        <v>1169</v>
      </c>
      <c r="O18" s="26" t="s">
        <v>10812</v>
      </c>
      <c r="P18" s="9"/>
      <c r="Q18" s="26"/>
      <c r="R18" s="9"/>
      <c r="S18" s="15"/>
      <c r="T18" s="96">
        <v>1168.99</v>
      </c>
      <c r="U18" s="26" t="s">
        <v>10904</v>
      </c>
      <c r="V18" s="9">
        <v>1099.01</v>
      </c>
      <c r="W18" s="26" t="s">
        <v>11014</v>
      </c>
      <c r="X18" s="9">
        <v>5000</v>
      </c>
      <c r="Y18" s="26" t="s">
        <v>11029</v>
      </c>
      <c r="Z18" s="9">
        <v>1169</v>
      </c>
      <c r="AA18" s="26" t="s">
        <v>11081</v>
      </c>
      <c r="AB18" s="9">
        <v>78.05</v>
      </c>
      <c r="AC18" s="26" t="s">
        <v>11125</v>
      </c>
      <c r="AD18" s="72"/>
      <c r="AE18" s="86"/>
      <c r="AF18" s="72">
        <v>3000</v>
      </c>
      <c r="AG18" s="26" t="s">
        <v>11174</v>
      </c>
      <c r="AH18" s="9">
        <v>1169</v>
      </c>
      <c r="AI18" s="15" t="s">
        <v>11241</v>
      </c>
      <c r="AJ18" s="87">
        <v>252.53</v>
      </c>
      <c r="AK18" s="26" t="s">
        <v>11271</v>
      </c>
      <c r="AL18" s="9">
        <v>2513.41</v>
      </c>
      <c r="AM18" s="15" t="s">
        <v>11317</v>
      </c>
      <c r="AN18" s="9">
        <v>2039.99</v>
      </c>
      <c r="AO18" s="26" t="s">
        <v>11362</v>
      </c>
      <c r="AP18" s="9"/>
      <c r="AQ18" s="26"/>
      <c r="AR18" s="9"/>
      <c r="AS18" s="15"/>
      <c r="AT18" s="7">
        <v>1099.01</v>
      </c>
      <c r="AU18" s="26" t="s">
        <v>11407</v>
      </c>
      <c r="AV18" s="9">
        <v>1099.01</v>
      </c>
      <c r="AW18" s="26" t="s">
        <v>11519</v>
      </c>
      <c r="AX18" s="9">
        <v>1969.99</v>
      </c>
      <c r="AY18" s="26" t="s">
        <v>11559</v>
      </c>
      <c r="AZ18" s="7"/>
      <c r="BA18" s="26"/>
      <c r="BB18" s="9">
        <v>1397.94</v>
      </c>
      <c r="BC18" s="15" t="s">
        <v>11667</v>
      </c>
      <c r="BD18" s="9">
        <v>100</v>
      </c>
      <c r="BE18" s="26" t="s">
        <v>11734</v>
      </c>
      <c r="BF18" s="9"/>
      <c r="BG18" s="26"/>
      <c r="BH18" s="9"/>
      <c r="BI18" s="15"/>
      <c r="BJ18" s="9"/>
      <c r="BK18" s="15"/>
      <c r="BL18" s="9"/>
      <c r="BM18" s="15"/>
      <c r="BN18" s="9"/>
      <c r="BO18" s="15"/>
      <c r="BP18" s="9"/>
      <c r="BQ18" s="15"/>
      <c r="BR18" s="9"/>
      <c r="BS18" s="15"/>
      <c r="BT18" s="9"/>
      <c r="BU18" s="15"/>
      <c r="BV18" s="9"/>
      <c r="BW18" s="15"/>
      <c r="BX18" s="9"/>
      <c r="BY18" s="15"/>
      <c r="BZ18" s="9"/>
      <c r="CA18" s="15"/>
      <c r="CB18" s="9"/>
      <c r="CC18" s="15"/>
      <c r="CD18" s="9"/>
      <c r="CE18" s="15"/>
      <c r="CF18" s="9"/>
      <c r="CG18" s="15"/>
      <c r="CH18" s="9"/>
      <c r="CI18" s="15"/>
      <c r="CJ18" s="9"/>
      <c r="CK18" s="15"/>
      <c r="CL18" s="9"/>
      <c r="CM18" s="15"/>
      <c r="CN18" s="9"/>
      <c r="CO18" s="15"/>
      <c r="CP18" s="9"/>
    </row>
    <row r="19" spans="1:94" x14ac:dyDescent="0.25">
      <c r="A19" s="41"/>
      <c r="B19" s="9"/>
      <c r="C19" s="15"/>
      <c r="D19" s="7">
        <v>504.99</v>
      </c>
      <c r="E19" s="26" t="s">
        <v>10566</v>
      </c>
      <c r="F19" s="9">
        <v>1970</v>
      </c>
      <c r="G19" s="26" t="s">
        <v>10620</v>
      </c>
      <c r="H19" s="9">
        <v>1657</v>
      </c>
      <c r="I19" s="15" t="s">
        <v>10678</v>
      </c>
      <c r="J19" s="9">
        <v>136.09</v>
      </c>
      <c r="K19" s="15" t="s">
        <v>10723</v>
      </c>
      <c r="L19" s="9">
        <v>464.01</v>
      </c>
      <c r="M19" s="26" t="s">
        <v>10756</v>
      </c>
      <c r="N19" s="7"/>
      <c r="O19" s="26"/>
      <c r="P19" s="9"/>
      <c r="Q19" s="26"/>
      <c r="R19" s="9"/>
      <c r="S19" s="26"/>
      <c r="T19" s="96">
        <v>1099.01</v>
      </c>
      <c r="U19" s="26" t="s">
        <v>10910</v>
      </c>
      <c r="V19" s="9">
        <v>1169</v>
      </c>
      <c r="W19" s="26" t="s">
        <v>11020</v>
      </c>
      <c r="X19" s="9">
        <v>797.34</v>
      </c>
      <c r="Y19" s="26" t="s">
        <v>11031</v>
      </c>
      <c r="Z19" s="9">
        <v>4515</v>
      </c>
      <c r="AA19" s="26" t="s">
        <v>11083</v>
      </c>
      <c r="AB19" s="9">
        <v>300</v>
      </c>
      <c r="AC19" s="15" t="s">
        <v>11131</v>
      </c>
      <c r="AD19" s="72"/>
      <c r="AE19" s="86"/>
      <c r="AF19" s="72">
        <v>5000</v>
      </c>
      <c r="AG19" s="26" t="s">
        <v>11175</v>
      </c>
      <c r="AH19" s="9">
        <v>5385.29</v>
      </c>
      <c r="AI19" s="15" t="s">
        <v>11245</v>
      </c>
      <c r="AJ19" s="87">
        <v>561.20000000000005</v>
      </c>
      <c r="AK19" s="26" t="s">
        <v>11272</v>
      </c>
      <c r="AL19" s="9">
        <v>900</v>
      </c>
      <c r="AM19" s="15" t="s">
        <v>11318</v>
      </c>
      <c r="AN19" s="9">
        <v>464</v>
      </c>
      <c r="AO19" s="26" t="s">
        <v>11364</v>
      </c>
      <c r="AP19" s="9"/>
      <c r="AQ19" s="26"/>
      <c r="AR19" s="7"/>
      <c r="AS19" s="26"/>
      <c r="AT19" s="9">
        <v>1.95</v>
      </c>
      <c r="AU19" s="15" t="s">
        <v>11409</v>
      </c>
      <c r="AV19" s="9">
        <v>1.01</v>
      </c>
      <c r="AW19" s="26" t="s">
        <v>11523</v>
      </c>
      <c r="AX19" s="9">
        <v>1099.01</v>
      </c>
      <c r="AY19" s="26" t="s">
        <v>11562</v>
      </c>
      <c r="AZ19" s="7">
        <v>1995</v>
      </c>
      <c r="BA19" s="26" t="s">
        <v>11600</v>
      </c>
      <c r="BB19" s="9">
        <v>464</v>
      </c>
      <c r="BC19" s="15" t="s">
        <v>11668</v>
      </c>
      <c r="BD19" s="9">
        <v>92.87</v>
      </c>
      <c r="BE19" s="26" t="s">
        <v>11736</v>
      </c>
      <c r="BF19" s="9"/>
      <c r="BG19" s="26"/>
      <c r="BH19" s="9"/>
      <c r="BI19" s="15"/>
      <c r="BJ19" s="9"/>
      <c r="BK19" s="15"/>
      <c r="BL19" s="9"/>
      <c r="BM19" s="15"/>
      <c r="BN19" s="9"/>
      <c r="BO19" s="15"/>
      <c r="BP19" s="9"/>
      <c r="BQ19" s="15"/>
      <c r="BR19" s="9"/>
      <c r="BS19" s="15"/>
      <c r="BT19" s="9"/>
      <c r="BU19" s="15"/>
      <c r="BV19" s="9"/>
      <c r="BW19" s="15"/>
      <c r="BX19" s="9"/>
      <c r="BY19" s="15"/>
      <c r="BZ19" s="9"/>
      <c r="CA19" s="15"/>
      <c r="CB19" s="9"/>
      <c r="CC19" s="15"/>
      <c r="CD19" s="9"/>
      <c r="CE19" s="15"/>
      <c r="CF19" s="9"/>
      <c r="CG19" s="15"/>
      <c r="CH19" s="9"/>
      <c r="CI19" s="15"/>
      <c r="CJ19" s="9"/>
      <c r="CK19" s="15"/>
      <c r="CL19" s="9"/>
      <c r="CM19" s="15"/>
      <c r="CN19" s="9"/>
      <c r="CO19" s="15"/>
      <c r="CP19" s="9"/>
    </row>
    <row r="20" spans="1:94" x14ac:dyDescent="0.25">
      <c r="A20" s="41"/>
      <c r="B20" s="9">
        <v>20000</v>
      </c>
      <c r="C20" s="15" t="s">
        <v>10575</v>
      </c>
      <c r="D20" s="7">
        <v>367.79</v>
      </c>
      <c r="E20" s="26" t="s">
        <v>10572</v>
      </c>
      <c r="F20" s="9">
        <v>2039.99</v>
      </c>
      <c r="G20" s="26" t="s">
        <v>10625</v>
      </c>
      <c r="H20" s="9">
        <v>1995</v>
      </c>
      <c r="I20" s="15" t="s">
        <v>10680</v>
      </c>
      <c r="J20" s="9">
        <v>336.37</v>
      </c>
      <c r="K20" s="15" t="s">
        <v>10724</v>
      </c>
      <c r="L20" s="9">
        <v>1995</v>
      </c>
      <c r="M20" s="15" t="s">
        <v>10759</v>
      </c>
      <c r="N20" s="7">
        <v>7922.41</v>
      </c>
      <c r="O20" s="26" t="s">
        <v>10815</v>
      </c>
      <c r="P20" s="9"/>
      <c r="Q20" s="26"/>
      <c r="R20" s="9"/>
      <c r="S20" s="26"/>
      <c r="T20" s="96">
        <v>1994.99</v>
      </c>
      <c r="U20" s="26" t="s">
        <v>10912</v>
      </c>
      <c r="V20" s="9">
        <v>1099.01</v>
      </c>
      <c r="W20" s="26" t="s">
        <v>11023</v>
      </c>
      <c r="X20" s="9">
        <v>20000</v>
      </c>
      <c r="Y20" s="26" t="s">
        <v>11032</v>
      </c>
      <c r="Z20" s="9">
        <v>3390</v>
      </c>
      <c r="AA20" s="26" t="s">
        <v>11085</v>
      </c>
      <c r="AB20" s="9">
        <v>512.23</v>
      </c>
      <c r="AC20" s="26" t="s">
        <v>11129</v>
      </c>
      <c r="AD20" s="72"/>
      <c r="AE20" s="86"/>
      <c r="AF20" s="72">
        <v>250.53</v>
      </c>
      <c r="AG20" s="26" t="s">
        <v>11179</v>
      </c>
      <c r="AH20" s="7">
        <v>2040</v>
      </c>
      <c r="AI20" s="26" t="s">
        <v>11249</v>
      </c>
      <c r="AJ20" s="87">
        <v>990.23</v>
      </c>
      <c r="AK20" s="26" t="s">
        <v>11274</v>
      </c>
      <c r="AL20" s="9">
        <v>1169</v>
      </c>
      <c r="AM20" s="15" t="s">
        <v>11320</v>
      </c>
      <c r="AN20" s="9">
        <v>1830.85</v>
      </c>
      <c r="AO20" s="26" t="s">
        <v>11365</v>
      </c>
      <c r="AP20" s="9"/>
      <c r="AQ20" s="15"/>
      <c r="AR20" s="72"/>
      <c r="AS20" s="24"/>
      <c r="AT20" s="7">
        <v>1543.44</v>
      </c>
      <c r="AU20" s="26" t="s">
        <v>11413</v>
      </c>
      <c r="AV20" s="9">
        <v>590.85</v>
      </c>
      <c r="AW20" s="26" t="s">
        <v>11524</v>
      </c>
      <c r="AX20" s="9">
        <v>1169.01</v>
      </c>
      <c r="AY20" s="26" t="s">
        <v>11565</v>
      </c>
      <c r="AZ20" s="7">
        <v>1000</v>
      </c>
      <c r="BA20" s="26" t="s">
        <v>11610</v>
      </c>
      <c r="BB20" s="9"/>
      <c r="BC20" s="15"/>
      <c r="BD20" s="9">
        <v>150</v>
      </c>
      <c r="BE20" s="26" t="s">
        <v>11737</v>
      </c>
      <c r="BF20" s="9"/>
      <c r="BG20" s="26"/>
      <c r="BH20" s="9"/>
      <c r="BI20" s="15"/>
      <c r="BJ20" s="9"/>
      <c r="BK20" s="15"/>
      <c r="BL20" s="9"/>
      <c r="BM20" s="15"/>
      <c r="BN20" s="9"/>
      <c r="BO20" s="15"/>
      <c r="BP20" s="9"/>
      <c r="BQ20" s="15"/>
      <c r="BR20" s="9"/>
      <c r="BS20" s="15"/>
      <c r="BT20" s="9"/>
      <c r="BU20" s="15"/>
      <c r="BV20" s="9"/>
      <c r="BW20" s="15"/>
      <c r="BX20" s="9"/>
      <c r="BY20" s="15"/>
      <c r="BZ20" s="9"/>
      <c r="CA20" s="15"/>
      <c r="CB20" s="9"/>
      <c r="CC20" s="15"/>
      <c r="CD20" s="9"/>
      <c r="CE20" s="15"/>
      <c r="CF20" s="9"/>
      <c r="CG20" s="15"/>
      <c r="CH20" s="9"/>
      <c r="CI20" s="15"/>
      <c r="CJ20" s="9"/>
      <c r="CK20" s="15"/>
      <c r="CL20" s="9"/>
      <c r="CM20" s="15"/>
      <c r="CN20" s="9"/>
      <c r="CO20" s="15"/>
      <c r="CP20" s="9"/>
    </row>
    <row r="21" spans="1:94" x14ac:dyDescent="0.25">
      <c r="A21" s="41"/>
      <c r="B21" s="9">
        <v>175</v>
      </c>
      <c r="C21" s="15" t="s">
        <v>10577</v>
      </c>
      <c r="D21" s="7"/>
      <c r="E21" s="26"/>
      <c r="F21" s="9">
        <v>1970</v>
      </c>
      <c r="G21" s="26" t="s">
        <v>10627</v>
      </c>
      <c r="H21" s="9">
        <v>3319.99</v>
      </c>
      <c r="I21" s="15" t="s">
        <v>10682</v>
      </c>
      <c r="J21" s="9">
        <v>2065</v>
      </c>
      <c r="K21" s="26" t="s">
        <v>10725</v>
      </c>
      <c r="L21" s="9">
        <v>1169</v>
      </c>
      <c r="M21" s="26" t="s">
        <v>10760</v>
      </c>
      <c r="N21" s="7">
        <v>1099</v>
      </c>
      <c r="O21" s="26" t="s">
        <v>10824</v>
      </c>
      <c r="P21" s="9"/>
      <c r="Q21" s="26"/>
      <c r="R21" s="9"/>
      <c r="S21" s="15"/>
      <c r="T21" s="96">
        <v>1995</v>
      </c>
      <c r="U21" s="26" t="s">
        <v>10913</v>
      </c>
      <c r="V21" s="9">
        <v>92.87</v>
      </c>
      <c r="W21" s="26" t="s">
        <v>11027</v>
      </c>
      <c r="X21" s="9">
        <v>1041.32</v>
      </c>
      <c r="Y21" s="26" t="s">
        <v>11036</v>
      </c>
      <c r="Z21" s="9">
        <v>2900</v>
      </c>
      <c r="AA21" s="26" t="s">
        <v>11088</v>
      </c>
      <c r="AB21" s="9">
        <v>10282.870000000001</v>
      </c>
      <c r="AC21" s="26" t="s">
        <v>11136</v>
      </c>
      <c r="AD21" s="72"/>
      <c r="AE21" s="86"/>
      <c r="AF21" s="72">
        <v>442.61</v>
      </c>
      <c r="AG21" s="26" t="s">
        <v>11180</v>
      </c>
      <c r="AH21" s="7">
        <v>1305</v>
      </c>
      <c r="AI21" s="26" t="s">
        <v>11250</v>
      </c>
      <c r="AJ21" s="87">
        <v>79.44</v>
      </c>
      <c r="AK21" s="26" t="s">
        <v>11275</v>
      </c>
      <c r="AL21" s="9">
        <v>1340</v>
      </c>
      <c r="AM21" s="15" t="s">
        <v>11321</v>
      </c>
      <c r="AN21" s="9">
        <v>2350.0100000000002</v>
      </c>
      <c r="AO21" s="26" t="s">
        <v>11367</v>
      </c>
      <c r="AP21" s="9"/>
      <c r="AQ21" s="26"/>
      <c r="AR21" s="9"/>
      <c r="AS21" s="15"/>
      <c r="AT21" s="7">
        <v>2265.98</v>
      </c>
      <c r="AU21" s="26" t="s">
        <v>11415</v>
      </c>
      <c r="AV21" s="9"/>
      <c r="AW21" s="26"/>
      <c r="AX21" s="9">
        <v>2922.01</v>
      </c>
      <c r="AY21" s="26" t="s">
        <v>11566</v>
      </c>
      <c r="AZ21" s="7">
        <v>1169.01</v>
      </c>
      <c r="BA21" s="26" t="s">
        <v>11614</v>
      </c>
      <c r="BB21" s="9">
        <v>2000</v>
      </c>
      <c r="BC21" s="15" t="s">
        <v>11675</v>
      </c>
      <c r="BD21" s="9"/>
      <c r="BE21" s="26"/>
      <c r="BF21" s="9"/>
      <c r="BG21" s="26"/>
      <c r="BH21" s="9"/>
      <c r="BI21" s="26"/>
      <c r="BJ21" s="9"/>
      <c r="BK21" s="15"/>
      <c r="BL21" s="11"/>
      <c r="BM21" s="13"/>
      <c r="BN21" s="9"/>
      <c r="BO21" s="15"/>
      <c r="BP21" s="9"/>
      <c r="BQ21" s="15"/>
      <c r="BR21" s="9"/>
      <c r="BS21" s="15"/>
      <c r="BT21" s="9"/>
      <c r="BU21" s="15"/>
      <c r="BV21" s="9"/>
      <c r="BW21" s="15"/>
      <c r="BX21" s="9"/>
      <c r="BY21" s="15"/>
      <c r="BZ21" s="9"/>
      <c r="CA21" s="15"/>
      <c r="CB21" s="9"/>
      <c r="CC21" s="15"/>
      <c r="CD21" s="9"/>
      <c r="CE21" s="15"/>
      <c r="CF21" s="9"/>
      <c r="CG21" s="15"/>
      <c r="CH21" s="9"/>
      <c r="CI21" s="15"/>
      <c r="CJ21" s="9"/>
      <c r="CK21" s="15"/>
      <c r="CL21" s="9"/>
      <c r="CM21" s="15"/>
      <c r="CN21" s="9"/>
      <c r="CO21" s="15"/>
      <c r="CP21" s="9"/>
    </row>
    <row r="22" spans="1:94" x14ac:dyDescent="0.25">
      <c r="A22" s="41"/>
      <c r="B22" s="9">
        <v>24032</v>
      </c>
      <c r="C22" s="15" t="s">
        <v>10578</v>
      </c>
      <c r="D22" s="7"/>
      <c r="E22" s="26"/>
      <c r="F22" s="9">
        <v>1169</v>
      </c>
      <c r="G22" s="26" t="s">
        <v>10628</v>
      </c>
      <c r="H22" s="15">
        <v>1589</v>
      </c>
      <c r="I22" s="15" t="s">
        <v>10684</v>
      </c>
      <c r="J22" s="9">
        <v>9240.51</v>
      </c>
      <c r="K22" s="26" t="s">
        <v>10726</v>
      </c>
      <c r="L22" s="9">
        <v>2202</v>
      </c>
      <c r="M22" s="26" t="s">
        <v>10764</v>
      </c>
      <c r="N22" s="7">
        <v>2040</v>
      </c>
      <c r="O22" s="26" t="s">
        <v>10826</v>
      </c>
      <c r="P22" s="9"/>
      <c r="Q22" s="15"/>
      <c r="R22" s="9"/>
      <c r="S22" s="15"/>
      <c r="T22" s="96">
        <v>561.20000000000005</v>
      </c>
      <c r="U22" s="15" t="s">
        <v>10915</v>
      </c>
      <c r="V22" s="9"/>
      <c r="W22" s="26"/>
      <c r="X22" s="9">
        <v>1868.99</v>
      </c>
      <c r="Y22" s="26" t="s">
        <v>11041</v>
      </c>
      <c r="Z22" s="9">
        <v>1169</v>
      </c>
      <c r="AA22" s="9" t="s">
        <v>11093</v>
      </c>
      <c r="AB22" s="9">
        <v>3250.01</v>
      </c>
      <c r="AC22" s="26" t="s">
        <v>11137</v>
      </c>
      <c r="AD22" s="72"/>
      <c r="AE22" s="86"/>
      <c r="AF22" s="9">
        <v>4614.99</v>
      </c>
      <c r="AG22" s="86" t="s">
        <v>11183</v>
      </c>
      <c r="AH22" s="72">
        <v>1169</v>
      </c>
      <c r="AI22" s="24" t="s">
        <v>11251</v>
      </c>
      <c r="AJ22" s="87">
        <v>5565</v>
      </c>
      <c r="AK22" s="26" t="s">
        <v>11276</v>
      </c>
      <c r="AL22" s="15">
        <v>3320</v>
      </c>
      <c r="AM22" s="15" t="s">
        <v>11322</v>
      </c>
      <c r="AN22" s="9">
        <v>1099.02</v>
      </c>
      <c r="AO22" s="26" t="s">
        <v>11369</v>
      </c>
      <c r="AP22" s="9"/>
      <c r="AQ22" s="26"/>
      <c r="AR22" s="9"/>
      <c r="AS22" s="15"/>
      <c r="AT22" s="7">
        <v>5</v>
      </c>
      <c r="AU22" s="26" t="s">
        <v>11414</v>
      </c>
      <c r="AV22" s="9"/>
      <c r="AW22" s="26"/>
      <c r="AX22" s="9">
        <v>2040</v>
      </c>
      <c r="AY22" s="26" t="s">
        <v>11572</v>
      </c>
      <c r="AZ22" s="7">
        <v>2040</v>
      </c>
      <c r="BA22" s="26" t="s">
        <v>11615</v>
      </c>
      <c r="BB22" s="9">
        <v>92000</v>
      </c>
      <c r="BC22" s="15" t="s">
        <v>11683</v>
      </c>
      <c r="BD22" s="9"/>
      <c r="BE22" s="26"/>
      <c r="BF22" s="9"/>
      <c r="BG22" s="26"/>
      <c r="BH22" s="9"/>
      <c r="BI22" s="26"/>
      <c r="BJ22" s="9"/>
      <c r="BK22" s="15"/>
      <c r="BL22" s="11"/>
      <c r="BM22" s="13"/>
      <c r="BN22" s="9"/>
      <c r="BO22" s="15"/>
      <c r="BP22" s="9"/>
      <c r="BQ22" s="15"/>
      <c r="BR22" s="9"/>
      <c r="BS22" s="15"/>
      <c r="BT22" s="9"/>
      <c r="BU22" s="15"/>
      <c r="BV22" s="9"/>
      <c r="BW22" s="15"/>
      <c r="BX22" s="9"/>
      <c r="BY22" s="15"/>
      <c r="BZ22" s="9"/>
      <c r="CA22" s="15"/>
      <c r="CB22" s="9"/>
      <c r="CC22" s="15"/>
      <c r="CD22" s="9"/>
      <c r="CE22" s="15"/>
      <c r="CF22" s="9"/>
      <c r="CG22" s="15"/>
      <c r="CH22" s="9"/>
      <c r="CI22" s="15"/>
      <c r="CJ22" s="9"/>
      <c r="CK22" s="15"/>
      <c r="CL22" s="9"/>
      <c r="CM22" s="15"/>
      <c r="CN22" s="9"/>
      <c r="CO22" s="15"/>
      <c r="CP22" s="9"/>
    </row>
    <row r="23" spans="1:94" x14ac:dyDescent="0.25">
      <c r="A23" s="41"/>
      <c r="B23" s="9">
        <v>307.76</v>
      </c>
      <c r="C23" s="15" t="s">
        <v>10581</v>
      </c>
      <c r="D23" s="7"/>
      <c r="E23" s="26"/>
      <c r="F23" s="9"/>
      <c r="G23" s="26"/>
      <c r="H23" s="9">
        <v>2</v>
      </c>
      <c r="I23" s="15" t="s">
        <v>10685</v>
      </c>
      <c r="J23" s="9">
        <v>696.01</v>
      </c>
      <c r="K23" s="15" t="s">
        <v>10728</v>
      </c>
      <c r="L23" s="9">
        <v>598.58000000000004</v>
      </c>
      <c r="M23" s="15" t="s">
        <v>10766</v>
      </c>
      <c r="N23" s="9">
        <v>1169</v>
      </c>
      <c r="O23" s="15" t="s">
        <v>10829</v>
      </c>
      <c r="P23" s="9"/>
      <c r="Q23" s="15"/>
      <c r="R23" s="9"/>
      <c r="S23" s="15"/>
      <c r="T23" s="96">
        <v>355.78</v>
      </c>
      <c r="U23" s="15" t="s">
        <v>10916</v>
      </c>
      <c r="V23" s="9"/>
      <c r="W23" s="15"/>
      <c r="X23" s="9">
        <v>1169</v>
      </c>
      <c r="Y23" s="15" t="s">
        <v>11049</v>
      </c>
      <c r="Z23" s="9">
        <f>6862.43-4000</f>
        <v>2862.4300000000003</v>
      </c>
      <c r="AA23" s="26" t="s">
        <v>11096</v>
      </c>
      <c r="AB23" s="9">
        <v>464</v>
      </c>
      <c r="AC23" s="15" t="s">
        <v>11138</v>
      </c>
      <c r="AD23" s="72"/>
      <c r="AE23" s="86"/>
      <c r="AF23" s="72">
        <v>1169</v>
      </c>
      <c r="AG23" s="26" t="s">
        <v>11185</v>
      </c>
      <c r="AH23" s="7">
        <v>1970</v>
      </c>
      <c r="AI23" s="26" t="s">
        <v>11254</v>
      </c>
      <c r="AJ23" s="87">
        <v>2272</v>
      </c>
      <c r="AK23" s="26" t="s">
        <v>11279</v>
      </c>
      <c r="AL23" s="9">
        <v>1099.01</v>
      </c>
      <c r="AM23" s="15" t="s">
        <v>11323</v>
      </c>
      <c r="AN23" s="9">
        <v>4764.99</v>
      </c>
      <c r="AO23" s="26" t="s">
        <v>11371</v>
      </c>
      <c r="AP23" s="9"/>
      <c r="AQ23" s="26"/>
      <c r="AR23" s="9"/>
      <c r="AS23" s="26"/>
      <c r="AT23" s="7">
        <v>2900</v>
      </c>
      <c r="AU23" s="26" t="s">
        <v>11417</v>
      </c>
      <c r="AV23" s="9"/>
      <c r="AW23" s="15"/>
      <c r="AX23" s="9">
        <v>336.17</v>
      </c>
      <c r="AY23" s="15" t="s">
        <v>11574</v>
      </c>
      <c r="AZ23" s="7">
        <v>2040.01</v>
      </c>
      <c r="BA23" s="26" t="s">
        <v>11620</v>
      </c>
      <c r="BB23" s="9">
        <v>4135.01</v>
      </c>
      <c r="BC23" s="15" t="s">
        <v>11691</v>
      </c>
      <c r="BD23" s="9"/>
      <c r="BE23" s="26"/>
      <c r="BF23" s="9"/>
      <c r="BG23" s="26"/>
      <c r="BH23" s="9"/>
      <c r="BI23" s="26"/>
      <c r="BJ23" s="9"/>
      <c r="BK23" s="15"/>
      <c r="BL23" s="9"/>
      <c r="BM23" s="15"/>
      <c r="BN23" s="9"/>
      <c r="BO23" s="15"/>
      <c r="BP23" s="9"/>
      <c r="BQ23" s="15"/>
      <c r="BR23" s="9"/>
      <c r="BS23" s="15"/>
      <c r="BT23" s="9"/>
      <c r="BU23" s="15"/>
      <c r="BV23" s="9"/>
      <c r="BW23" s="15"/>
      <c r="BX23" s="9"/>
      <c r="BY23" s="15"/>
      <c r="BZ23" s="9"/>
      <c r="CA23" s="15"/>
      <c r="CB23" s="9"/>
      <c r="CC23" s="15"/>
      <c r="CD23" s="9"/>
      <c r="CE23" s="15"/>
      <c r="CF23" s="9"/>
      <c r="CG23" s="15"/>
      <c r="CH23" s="9"/>
      <c r="CI23" s="15"/>
      <c r="CJ23" s="9"/>
      <c r="CK23" s="15"/>
      <c r="CL23" s="9"/>
      <c r="CM23" s="15"/>
      <c r="CN23" s="9"/>
      <c r="CO23" s="15"/>
      <c r="CP23" s="9"/>
    </row>
    <row r="24" spans="1:94" x14ac:dyDescent="0.25">
      <c r="A24" s="41"/>
      <c r="B24" s="9">
        <v>3121.3</v>
      </c>
      <c r="C24" s="15" t="s">
        <v>10582</v>
      </c>
      <c r="D24" s="7"/>
      <c r="E24" s="26"/>
      <c r="F24" s="9"/>
      <c r="G24" s="26"/>
      <c r="H24" s="9"/>
      <c r="I24" s="15"/>
      <c r="J24" s="9">
        <v>1169</v>
      </c>
      <c r="K24" s="15" t="s">
        <v>10733</v>
      </c>
      <c r="L24" s="9">
        <v>47903.88</v>
      </c>
      <c r="M24" s="15" t="s">
        <v>10771</v>
      </c>
      <c r="N24" s="9">
        <v>1168.99</v>
      </c>
      <c r="O24" s="15" t="s">
        <v>10830</v>
      </c>
      <c r="P24" s="9"/>
      <c r="Q24" s="15"/>
      <c r="R24" s="9"/>
      <c r="S24" s="15"/>
      <c r="T24" s="96">
        <v>654.07000000000005</v>
      </c>
      <c r="U24" s="15" t="s">
        <v>10917</v>
      </c>
      <c r="V24" s="9"/>
      <c r="W24" s="15"/>
      <c r="X24" s="9">
        <v>1169</v>
      </c>
      <c r="Y24" s="15" t="s">
        <v>11050</v>
      </c>
      <c r="Z24" s="9">
        <v>2250.0100000000002</v>
      </c>
      <c r="AA24" s="15" t="s">
        <v>11097</v>
      </c>
      <c r="AB24" s="9">
        <v>1169</v>
      </c>
      <c r="AC24" s="15" t="s">
        <v>11132</v>
      </c>
      <c r="AD24" s="72"/>
      <c r="AE24" s="86"/>
      <c r="AF24" s="9">
        <v>2936.99</v>
      </c>
      <c r="AG24" s="15" t="s">
        <v>11186</v>
      </c>
      <c r="AH24" s="7">
        <v>1973.18</v>
      </c>
      <c r="AI24" s="26" t="s">
        <v>11255</v>
      </c>
      <c r="AJ24" s="87">
        <v>1.1599999999999999</v>
      </c>
      <c r="AK24" s="26" t="s">
        <v>11281</v>
      </c>
      <c r="AL24" s="9"/>
      <c r="AM24" s="15"/>
      <c r="AN24" s="9">
        <v>301.99</v>
      </c>
      <c r="AO24" s="26" t="s">
        <v>11373</v>
      </c>
      <c r="AP24" s="9"/>
      <c r="AQ24" s="26"/>
      <c r="AR24" s="9"/>
      <c r="AS24" s="26"/>
      <c r="AT24" s="7">
        <v>2.0299999999999998</v>
      </c>
      <c r="AU24" s="26" t="s">
        <v>11418</v>
      </c>
      <c r="AV24" s="72"/>
      <c r="AW24" s="15"/>
      <c r="AX24" s="9">
        <v>419.36</v>
      </c>
      <c r="AY24" s="15" t="s">
        <v>11575</v>
      </c>
      <c r="AZ24" s="7">
        <v>1099</v>
      </c>
      <c r="BA24" s="26" t="s">
        <v>11621</v>
      </c>
      <c r="BB24" s="9">
        <v>1099.01</v>
      </c>
      <c r="BC24" s="15" t="s">
        <v>11693</v>
      </c>
      <c r="BD24" s="9"/>
      <c r="BE24" s="15"/>
      <c r="BF24" s="9"/>
      <c r="BG24" s="26"/>
      <c r="BH24" s="9"/>
      <c r="BI24" s="26"/>
      <c r="BJ24" s="9"/>
      <c r="BK24" s="15"/>
      <c r="BL24" s="9"/>
      <c r="BM24" s="15"/>
      <c r="BN24" s="9"/>
      <c r="BO24" s="15"/>
      <c r="BP24" s="9"/>
      <c r="BQ24" s="15"/>
      <c r="BR24" s="9"/>
      <c r="BS24" s="15"/>
      <c r="BT24" s="9"/>
      <c r="BU24" s="15"/>
      <c r="BV24" s="9"/>
      <c r="BW24" s="15"/>
      <c r="BX24" s="9"/>
      <c r="BY24" s="15"/>
      <c r="BZ24" s="9"/>
      <c r="CA24" s="15"/>
      <c r="CB24" s="9"/>
      <c r="CC24" s="15"/>
      <c r="CD24" s="9"/>
      <c r="CE24" s="15"/>
      <c r="CF24" s="9"/>
      <c r="CG24" s="15"/>
      <c r="CH24" s="9"/>
      <c r="CI24" s="15"/>
      <c r="CJ24" s="9"/>
      <c r="CK24" s="15"/>
      <c r="CL24" s="9"/>
      <c r="CM24" s="15"/>
      <c r="CN24" s="9"/>
      <c r="CO24" s="15"/>
      <c r="CP24" s="9"/>
    </row>
    <row r="25" spans="1:94" x14ac:dyDescent="0.25">
      <c r="A25" s="41"/>
      <c r="B25" s="9">
        <v>1169</v>
      </c>
      <c r="C25" s="15" t="s">
        <v>10583</v>
      </c>
      <c r="D25" s="7"/>
      <c r="E25" s="26"/>
      <c r="F25" s="9"/>
      <c r="G25" s="26"/>
      <c r="H25" s="9"/>
      <c r="I25" s="9"/>
      <c r="J25" s="9">
        <v>3250.02</v>
      </c>
      <c r="K25" s="15" t="s">
        <v>10734</v>
      </c>
      <c r="L25" s="9">
        <v>1657</v>
      </c>
      <c r="M25" s="15" t="s">
        <v>10772</v>
      </c>
      <c r="N25" s="9">
        <v>1169</v>
      </c>
      <c r="O25" s="15" t="s">
        <v>10832</v>
      </c>
      <c r="P25" s="9"/>
      <c r="Q25" s="15"/>
      <c r="R25" s="9"/>
      <c r="S25" s="15"/>
      <c r="T25" s="104"/>
      <c r="U25" s="24"/>
      <c r="V25" s="9"/>
      <c r="W25" s="15"/>
      <c r="X25" s="9">
        <v>654.07000000000005</v>
      </c>
      <c r="Y25" s="15" t="s">
        <v>11055</v>
      </c>
      <c r="Z25" s="9">
        <v>336.17</v>
      </c>
      <c r="AA25" s="15" t="s">
        <v>11098</v>
      </c>
      <c r="AB25" s="9"/>
      <c r="AC25" s="15"/>
      <c r="AD25" s="72"/>
      <c r="AE25" s="86"/>
      <c r="AF25" s="9">
        <v>1401</v>
      </c>
      <c r="AG25" s="26" t="s">
        <v>11190</v>
      </c>
      <c r="AH25" s="7"/>
      <c r="AI25" s="26"/>
      <c r="AJ25" s="87">
        <v>2279.9899999999998</v>
      </c>
      <c r="AK25" s="26" t="s">
        <v>11288</v>
      </c>
      <c r="AL25" s="9"/>
      <c r="AM25" s="15"/>
      <c r="AN25" s="127">
        <v>1168.99</v>
      </c>
      <c r="AO25" s="24" t="s">
        <v>11370</v>
      </c>
      <c r="AP25" s="9"/>
      <c r="AQ25" s="15"/>
      <c r="AR25" s="9"/>
      <c r="AS25" s="26"/>
      <c r="AT25" s="7"/>
      <c r="AU25" s="26"/>
      <c r="AV25" s="9"/>
      <c r="AW25" s="15"/>
      <c r="AX25" s="9">
        <v>457.32</v>
      </c>
      <c r="AY25" s="15" t="s">
        <v>11576</v>
      </c>
      <c r="AZ25" s="72">
        <v>1169.01</v>
      </c>
      <c r="BA25" s="15" t="s">
        <v>11625</v>
      </c>
      <c r="BB25" s="9">
        <v>1169.01</v>
      </c>
      <c r="BC25" s="15" t="s">
        <v>11694</v>
      </c>
      <c r="BD25" s="9"/>
      <c r="BE25" s="15"/>
      <c r="BF25" s="9"/>
      <c r="BG25" s="26"/>
      <c r="BH25" s="72"/>
      <c r="BI25" s="24"/>
      <c r="BJ25" s="9"/>
      <c r="BK25" s="15"/>
      <c r="BL25" s="9"/>
      <c r="BM25" s="15"/>
      <c r="BN25" s="9"/>
      <c r="BO25" s="15"/>
      <c r="BP25" s="9"/>
      <c r="BQ25" s="15"/>
      <c r="BR25" s="9"/>
      <c r="BS25" s="15"/>
      <c r="BT25" s="9"/>
      <c r="BU25" s="15"/>
      <c r="BV25" s="9"/>
      <c r="BW25" s="15"/>
      <c r="BX25" s="9"/>
      <c r="BY25" s="15"/>
      <c r="BZ25" s="9"/>
      <c r="CA25" s="15"/>
      <c r="CB25" s="9"/>
      <c r="CC25" s="15"/>
      <c r="CD25" s="9"/>
      <c r="CE25" s="15"/>
      <c r="CF25" s="9"/>
      <c r="CG25" s="15"/>
      <c r="CH25" s="9"/>
      <c r="CI25" s="15"/>
      <c r="CJ25" s="9"/>
      <c r="CK25" s="15"/>
      <c r="CL25" s="9"/>
      <c r="CM25" s="15"/>
      <c r="CN25" s="9"/>
      <c r="CO25" s="15"/>
      <c r="CP25" s="9"/>
    </row>
    <row r="26" spans="1:94" x14ac:dyDescent="0.25">
      <c r="A26" s="41"/>
      <c r="B26" s="9"/>
      <c r="C26" s="15"/>
      <c r="D26" s="7"/>
      <c r="E26" s="26"/>
      <c r="F26" s="7"/>
      <c r="G26" s="26"/>
      <c r="H26" s="9"/>
      <c r="I26" s="15"/>
      <c r="J26" s="9">
        <v>1169</v>
      </c>
      <c r="K26" s="15" t="s">
        <v>10736</v>
      </c>
      <c r="L26" s="9">
        <v>1953.41</v>
      </c>
      <c r="M26" s="15" t="s">
        <v>10774</v>
      </c>
      <c r="N26" s="7">
        <v>800.01</v>
      </c>
      <c r="O26" s="26" t="s">
        <v>10834</v>
      </c>
      <c r="P26" s="7"/>
      <c r="Q26" s="26"/>
      <c r="R26" s="7"/>
      <c r="S26" s="26"/>
      <c r="T26" s="96"/>
      <c r="U26" s="26"/>
      <c r="V26" s="9"/>
      <c r="W26" s="15"/>
      <c r="X26" s="9">
        <v>1508.89</v>
      </c>
      <c r="Y26" s="15" t="s">
        <v>11056</v>
      </c>
      <c r="Z26" s="9"/>
      <c r="AA26" s="15"/>
      <c r="AB26" s="9"/>
      <c r="AC26" s="15"/>
      <c r="AD26" s="228"/>
      <c r="AE26" s="86"/>
      <c r="AF26" s="87">
        <v>1169</v>
      </c>
      <c r="AG26" s="26" t="s">
        <v>11191</v>
      </c>
      <c r="AH26" s="7"/>
      <c r="AI26" s="26"/>
      <c r="AJ26" s="87">
        <v>2040</v>
      </c>
      <c r="AK26" s="26" t="s">
        <v>11292</v>
      </c>
      <c r="AL26" s="9"/>
      <c r="AM26" s="15"/>
      <c r="AN26" s="9"/>
      <c r="AO26" s="26"/>
      <c r="AP26" s="9"/>
      <c r="AQ26" s="15"/>
      <c r="AR26" s="9"/>
      <c r="AS26" s="26"/>
      <c r="AT26" s="7">
        <v>5000</v>
      </c>
      <c r="AU26" s="26" t="s">
        <v>11421</v>
      </c>
      <c r="AV26" s="7"/>
      <c r="AW26" s="26"/>
      <c r="AX26" s="9"/>
      <c r="AY26" s="26"/>
      <c r="AZ26" s="9">
        <v>1099.01</v>
      </c>
      <c r="BA26" s="15" t="s">
        <v>11629</v>
      </c>
      <c r="BB26" s="9">
        <v>2065</v>
      </c>
      <c r="BC26" s="15" t="s">
        <v>11696</v>
      </c>
      <c r="BD26" s="9"/>
      <c r="BE26" s="15"/>
      <c r="BF26" s="72"/>
      <c r="BG26" s="24"/>
      <c r="BH26" s="9"/>
      <c r="BI26" s="26"/>
      <c r="BJ26" s="9"/>
      <c r="BK26" s="15"/>
      <c r="BL26" s="9"/>
      <c r="BM26" s="15"/>
      <c r="BN26" s="9"/>
      <c r="BO26" s="15"/>
      <c r="BP26" s="9"/>
      <c r="BQ26" s="15"/>
      <c r="BR26" s="9"/>
      <c r="BS26" s="15"/>
      <c r="BT26" s="9"/>
      <c r="BU26" s="15"/>
      <c r="BV26" s="9"/>
      <c r="BW26" s="15"/>
      <c r="BX26" s="9"/>
      <c r="BY26" s="15"/>
      <c r="BZ26" s="9"/>
      <c r="CA26" s="15"/>
      <c r="CB26" s="9"/>
      <c r="CC26" s="15"/>
      <c r="CD26" s="9"/>
      <c r="CE26" s="15"/>
      <c r="CF26" s="9"/>
      <c r="CG26" s="15"/>
      <c r="CH26" s="9"/>
      <c r="CI26" s="15"/>
      <c r="CJ26" s="9"/>
      <c r="CK26" s="15"/>
      <c r="CL26" s="9"/>
      <c r="CM26" s="15"/>
      <c r="CN26" s="9"/>
      <c r="CO26" s="15"/>
      <c r="CP26" s="9"/>
    </row>
    <row r="27" spans="1:94" x14ac:dyDescent="0.25">
      <c r="A27" s="41"/>
      <c r="B27" s="9"/>
      <c r="C27" s="15"/>
      <c r="D27" s="7"/>
      <c r="E27" s="15"/>
      <c r="F27" s="7"/>
      <c r="G27" s="26"/>
      <c r="H27" s="9"/>
      <c r="I27" s="15"/>
      <c r="J27" s="9">
        <f>2388-1642.01</f>
        <v>745.99</v>
      </c>
      <c r="K27" s="9" t="s">
        <v>10739</v>
      </c>
      <c r="L27" s="7"/>
      <c r="M27" s="26"/>
      <c r="N27" s="7">
        <v>2856.7</v>
      </c>
      <c r="O27" s="26" t="s">
        <v>10839</v>
      </c>
      <c r="P27" s="7"/>
      <c r="Q27" s="26"/>
      <c r="R27" s="7"/>
      <c r="S27" s="26"/>
      <c r="T27" s="96"/>
      <c r="U27" s="26"/>
      <c r="V27" s="7"/>
      <c r="W27" s="26"/>
      <c r="X27" s="7">
        <v>624.14</v>
      </c>
      <c r="Y27" s="26" t="s">
        <v>11057</v>
      </c>
      <c r="Z27" s="9"/>
      <c r="AA27" s="26"/>
      <c r="AB27" s="9"/>
      <c r="AC27" s="26"/>
      <c r="AD27" s="72"/>
      <c r="AE27" s="86"/>
      <c r="AF27" s="87">
        <v>345.47</v>
      </c>
      <c r="AG27" s="26" t="s">
        <v>11192</v>
      </c>
      <c r="AH27" s="7"/>
      <c r="AI27" s="26"/>
      <c r="AJ27" s="72">
        <v>1169</v>
      </c>
      <c r="AK27" s="15" t="s">
        <v>11282</v>
      </c>
      <c r="AL27" s="9"/>
      <c r="AM27" s="15"/>
      <c r="AN27" s="9"/>
      <c r="AO27" s="26"/>
      <c r="AP27" s="9"/>
      <c r="AQ27" s="26"/>
      <c r="AR27" s="7"/>
      <c r="AS27" s="26"/>
      <c r="AT27" s="7">
        <v>6531.14</v>
      </c>
      <c r="AU27" s="26" t="s">
        <v>11422</v>
      </c>
      <c r="AV27" s="7"/>
      <c r="AW27" s="26"/>
      <c r="AX27" s="9"/>
      <c r="AY27" s="15"/>
      <c r="AZ27" s="7">
        <v>2065.0100000000002</v>
      </c>
      <c r="BA27" s="26" t="s">
        <v>11631</v>
      </c>
      <c r="BB27" s="9">
        <f>3471.59-1970</f>
        <v>1501.5900000000001</v>
      </c>
      <c r="BC27" s="15" t="s">
        <v>11697</v>
      </c>
      <c r="BD27" s="7"/>
      <c r="BE27" s="26"/>
      <c r="BF27" s="9"/>
      <c r="BG27" s="15"/>
      <c r="BH27" s="9"/>
      <c r="BI27" s="26"/>
      <c r="BJ27" s="9"/>
      <c r="BK27" s="15"/>
      <c r="BL27" s="9"/>
      <c r="BM27" s="15"/>
      <c r="BN27" s="9"/>
      <c r="BO27" s="15"/>
      <c r="BP27" s="9"/>
      <c r="BQ27" s="15"/>
      <c r="BR27" s="9"/>
      <c r="BS27" s="15"/>
      <c r="BT27" s="9"/>
      <c r="BU27" s="15"/>
      <c r="BV27" s="9"/>
      <c r="BW27" s="15"/>
      <c r="BX27" s="9"/>
      <c r="BY27" s="15"/>
      <c r="BZ27" s="9"/>
      <c r="CA27" s="15"/>
      <c r="CB27" s="9"/>
      <c r="CC27" s="15"/>
      <c r="CD27" s="9"/>
      <c r="CE27" s="15"/>
      <c r="CF27" s="9"/>
      <c r="CG27" s="15"/>
      <c r="CH27" s="9"/>
      <c r="CI27" s="15"/>
      <c r="CJ27" s="9"/>
      <c r="CK27" s="15"/>
      <c r="CL27" s="9"/>
      <c r="CM27" s="15"/>
      <c r="CN27" s="9"/>
      <c r="CO27" s="15"/>
      <c r="CP27" s="9"/>
    </row>
    <row r="28" spans="1:94" x14ac:dyDescent="0.25">
      <c r="A28" s="41"/>
      <c r="B28" s="9"/>
      <c r="C28" s="15"/>
      <c r="D28" s="7"/>
      <c r="E28" s="26"/>
      <c r="F28" s="7"/>
      <c r="G28" s="26"/>
      <c r="H28" s="9"/>
      <c r="I28" s="15"/>
      <c r="J28" s="9">
        <f>2315-1619.2</f>
        <v>695.8</v>
      </c>
      <c r="K28" s="9" t="s">
        <v>10741</v>
      </c>
      <c r="L28" s="7"/>
      <c r="M28" s="26"/>
      <c r="N28" s="7"/>
      <c r="O28" s="26"/>
      <c r="P28" s="7"/>
      <c r="Q28" s="26"/>
      <c r="R28" s="7"/>
      <c r="S28" s="26"/>
      <c r="T28" s="96"/>
      <c r="U28" s="15"/>
      <c r="V28" s="7"/>
      <c r="W28" s="26"/>
      <c r="X28" s="7"/>
      <c r="Y28" s="26"/>
      <c r="Z28" s="9"/>
      <c r="AA28" s="26"/>
      <c r="AB28" s="9"/>
      <c r="AC28" s="26"/>
      <c r="AD28" s="9"/>
      <c r="AE28" s="15"/>
      <c r="AF28" s="87">
        <v>1519</v>
      </c>
      <c r="AG28" s="26" t="s">
        <v>11194</v>
      </c>
      <c r="AH28" s="7"/>
      <c r="AI28" s="26"/>
      <c r="AJ28" s="87"/>
      <c r="AK28" s="15"/>
      <c r="AL28" s="9"/>
      <c r="AM28" s="15"/>
      <c r="AN28" s="9"/>
      <c r="AO28" s="26"/>
      <c r="AP28" s="7"/>
      <c r="AQ28" s="26"/>
      <c r="AR28" s="7"/>
      <c r="AS28" s="26"/>
      <c r="AT28" s="7">
        <v>8513.24</v>
      </c>
      <c r="AU28" s="26" t="s">
        <v>11423</v>
      </c>
      <c r="AV28" s="9"/>
      <c r="AW28" s="15"/>
      <c r="AX28" s="9"/>
      <c r="AY28" s="15"/>
      <c r="AZ28" s="9">
        <v>1099.01</v>
      </c>
      <c r="BA28" s="15" t="s">
        <v>11635</v>
      </c>
      <c r="BB28" s="9">
        <v>1970</v>
      </c>
      <c r="BC28" s="15" t="s">
        <v>11698</v>
      </c>
      <c r="BD28" s="7"/>
      <c r="BE28" s="26"/>
      <c r="BF28" s="9"/>
      <c r="BG28" s="15"/>
      <c r="BH28" s="7"/>
      <c r="BI28" s="26"/>
      <c r="BJ28" s="9"/>
      <c r="BK28" s="15"/>
      <c r="BL28" s="9"/>
      <c r="BM28" s="15"/>
      <c r="BN28" s="9"/>
      <c r="BO28" s="15"/>
      <c r="BP28" s="9"/>
      <c r="BQ28" s="15"/>
      <c r="BR28" s="9"/>
      <c r="BS28" s="15"/>
      <c r="BT28" s="9"/>
      <c r="BU28" s="15"/>
      <c r="BV28" s="9"/>
      <c r="BW28" s="15"/>
      <c r="BX28" s="9"/>
      <c r="BY28" s="15"/>
      <c r="BZ28" s="9"/>
      <c r="CA28" s="15"/>
      <c r="CB28" s="9"/>
      <c r="CC28" s="15"/>
      <c r="CD28" s="9"/>
      <c r="CE28" s="15"/>
      <c r="CF28" s="9"/>
      <c r="CG28" s="15"/>
      <c r="CH28" s="9"/>
      <c r="CI28" s="15"/>
      <c r="CJ28" s="9"/>
      <c r="CK28" s="15"/>
      <c r="CL28" s="9"/>
      <c r="CM28" s="15"/>
      <c r="CN28" s="9"/>
      <c r="CO28" s="15"/>
      <c r="CP28" s="9"/>
    </row>
    <row r="29" spans="1:94" x14ac:dyDescent="0.25">
      <c r="A29" s="41"/>
      <c r="B29" s="7"/>
      <c r="C29" s="26"/>
      <c r="D29" s="7"/>
      <c r="E29" s="26"/>
      <c r="F29" s="7"/>
      <c r="G29" s="26"/>
      <c r="H29" s="9"/>
      <c r="I29" s="15"/>
      <c r="J29" s="9">
        <v>4465</v>
      </c>
      <c r="K29" s="26" t="s">
        <v>10742</v>
      </c>
      <c r="L29" s="7"/>
      <c r="M29" s="26"/>
      <c r="N29" s="7"/>
      <c r="O29" s="26"/>
      <c r="P29" s="7"/>
      <c r="Q29" s="26"/>
      <c r="R29" s="9"/>
      <c r="S29" s="15"/>
      <c r="T29" s="96"/>
      <c r="U29" s="15"/>
      <c r="V29" s="7"/>
      <c r="W29" s="26"/>
      <c r="X29" s="7"/>
      <c r="Y29" s="26"/>
      <c r="Z29" s="9"/>
      <c r="AA29" s="26"/>
      <c r="AB29" s="9"/>
      <c r="AC29" s="26"/>
      <c r="AD29" s="7"/>
      <c r="AE29" s="26"/>
      <c r="AF29" s="7"/>
      <c r="AG29" s="26"/>
      <c r="AH29" s="7"/>
      <c r="AI29" s="26"/>
      <c r="AJ29" s="87"/>
      <c r="AK29" s="26"/>
      <c r="AL29" s="9"/>
      <c r="AM29" s="15"/>
      <c r="AN29" s="9"/>
      <c r="AO29" s="15"/>
      <c r="AP29" s="7"/>
      <c r="AQ29" s="26"/>
      <c r="AR29" s="7"/>
      <c r="AS29" s="26"/>
      <c r="AT29" s="7">
        <v>92.87</v>
      </c>
      <c r="AU29" s="26" t="s">
        <v>11427</v>
      </c>
      <c r="AV29" s="9"/>
      <c r="AW29" s="15"/>
      <c r="AX29" s="9"/>
      <c r="AY29" s="15"/>
      <c r="AZ29" s="7">
        <v>2040</v>
      </c>
      <c r="BA29" s="26" t="s">
        <v>11636</v>
      </c>
      <c r="BB29" s="7">
        <v>635</v>
      </c>
      <c r="BC29" s="26" t="s">
        <v>11700</v>
      </c>
      <c r="BD29" s="7"/>
      <c r="BE29" s="26"/>
      <c r="BF29" s="7"/>
      <c r="BG29" s="26"/>
      <c r="BH29" s="7"/>
      <c r="BI29" s="26"/>
      <c r="BJ29" s="9"/>
      <c r="BK29" s="15"/>
      <c r="BL29" s="9"/>
      <c r="BM29" s="15"/>
      <c r="BN29" s="9"/>
      <c r="BO29" s="15"/>
      <c r="BP29" s="9"/>
      <c r="BQ29" s="15"/>
      <c r="BR29" s="9"/>
      <c r="BS29" s="15"/>
      <c r="BT29" s="9"/>
      <c r="BU29" s="15"/>
      <c r="BV29" s="9"/>
      <c r="BW29" s="15"/>
      <c r="BX29" s="9"/>
      <c r="BY29" s="15"/>
      <c r="BZ29" s="9"/>
      <c r="CA29" s="15"/>
      <c r="CB29" s="9"/>
      <c r="CC29" s="15"/>
      <c r="CD29" s="9"/>
      <c r="CE29" s="15"/>
      <c r="CF29" s="9"/>
      <c r="CG29" s="15"/>
      <c r="CH29" s="9"/>
      <c r="CI29" s="15"/>
      <c r="CJ29" s="9"/>
      <c r="CK29" s="15"/>
      <c r="CL29" s="9"/>
      <c r="CM29" s="15"/>
      <c r="CN29" s="9"/>
      <c r="CO29" s="15"/>
      <c r="CP29" s="9"/>
    </row>
    <row r="30" spans="1:94" x14ac:dyDescent="0.25">
      <c r="A30" s="41"/>
      <c r="B30" s="9"/>
      <c r="C30" s="15"/>
      <c r="D30" s="9"/>
      <c r="E30" s="15"/>
      <c r="F30" s="9"/>
      <c r="G30" s="15"/>
      <c r="H30" s="9"/>
      <c r="I30" s="15"/>
      <c r="J30" s="9">
        <v>2344.71</v>
      </c>
      <c r="K30" s="15" t="s">
        <v>10744</v>
      </c>
      <c r="L30" s="9"/>
      <c r="M30" s="15"/>
      <c r="N30" s="9"/>
      <c r="O30" s="15"/>
      <c r="P30" s="7"/>
      <c r="Q30" s="26"/>
      <c r="R30" s="10"/>
      <c r="S30" s="12"/>
      <c r="T30" s="96"/>
      <c r="U30" s="15"/>
      <c r="V30" s="9"/>
      <c r="W30" s="15"/>
      <c r="X30" s="9"/>
      <c r="Y30" s="15"/>
      <c r="Z30" s="9"/>
      <c r="AA30" s="15"/>
      <c r="AB30" s="11"/>
      <c r="AC30" s="13"/>
      <c r="AD30" s="9"/>
      <c r="AE30" s="15"/>
      <c r="AF30" s="9"/>
      <c r="AG30" s="15"/>
      <c r="AH30" s="9"/>
      <c r="AI30" s="15"/>
      <c r="AJ30" s="72"/>
      <c r="AK30" s="15"/>
      <c r="AL30" s="9"/>
      <c r="AM30" s="15"/>
      <c r="AN30" s="10"/>
      <c r="AO30" s="12"/>
      <c r="AP30" s="9"/>
      <c r="AQ30" s="15"/>
      <c r="AR30" s="9"/>
      <c r="AS30" s="15"/>
      <c r="AT30" s="9"/>
      <c r="AU30" s="15"/>
      <c r="AV30" s="9"/>
      <c r="AW30" s="15"/>
      <c r="AX30" s="11"/>
      <c r="AY30" s="12"/>
      <c r="AZ30" s="9">
        <v>4400.01</v>
      </c>
      <c r="BA30" s="15" t="s">
        <v>11637</v>
      </c>
      <c r="BB30" s="11"/>
      <c r="BC30" s="13"/>
      <c r="BD30" s="9"/>
      <c r="BE30" s="15"/>
      <c r="BF30" s="9"/>
      <c r="BG30" s="15"/>
      <c r="BH30" s="9"/>
      <c r="BI30" s="15"/>
      <c r="BJ30" s="9"/>
      <c r="BK30" s="15"/>
      <c r="BL30" s="9"/>
      <c r="BM30" s="15"/>
      <c r="BN30" s="9"/>
      <c r="BO30" s="15"/>
      <c r="BP30" s="9"/>
      <c r="BQ30" s="15"/>
      <c r="BR30" s="9"/>
      <c r="BS30" s="15"/>
      <c r="BT30" s="9"/>
      <c r="BU30" s="15"/>
      <c r="BV30" s="9"/>
      <c r="BW30" s="15"/>
      <c r="BX30" s="9"/>
      <c r="BY30" s="15"/>
      <c r="BZ30" s="9"/>
      <c r="CA30" s="15"/>
      <c r="CB30" s="9"/>
      <c r="CC30" s="15"/>
      <c r="CD30" s="9"/>
      <c r="CE30" s="15"/>
      <c r="CF30" s="9"/>
      <c r="CG30" s="15"/>
      <c r="CH30" s="9"/>
      <c r="CI30" s="15"/>
      <c r="CJ30" s="9"/>
      <c r="CK30" s="15"/>
      <c r="CL30" s="9"/>
      <c r="CM30" s="15"/>
      <c r="CN30" s="9"/>
      <c r="CO30" s="15"/>
      <c r="CP30" s="9"/>
    </row>
    <row r="31" spans="1:94" x14ac:dyDescent="0.25">
      <c r="A31" s="43"/>
      <c r="B31" s="10"/>
      <c r="C31" s="12"/>
      <c r="D31" s="10"/>
      <c r="E31" s="12"/>
      <c r="F31" s="10"/>
      <c r="G31" s="12"/>
      <c r="H31" s="9"/>
      <c r="I31" s="15"/>
      <c r="J31" s="11">
        <v>2000</v>
      </c>
      <c r="K31" s="12" t="s">
        <v>10745</v>
      </c>
      <c r="L31" s="10"/>
      <c r="M31" s="12"/>
      <c r="N31" s="10"/>
      <c r="O31" s="12"/>
      <c r="P31" s="9"/>
      <c r="Q31" s="15"/>
      <c r="R31" s="7"/>
      <c r="S31" s="26"/>
      <c r="T31" s="11"/>
      <c r="U31" s="12"/>
      <c r="V31" s="10"/>
      <c r="W31" s="12"/>
      <c r="X31" s="10"/>
      <c r="Y31" s="12"/>
      <c r="Z31" s="11"/>
      <c r="AA31" s="12"/>
      <c r="AB31" s="10"/>
      <c r="AC31" s="12"/>
      <c r="AD31" s="10"/>
      <c r="AE31" s="12"/>
      <c r="AF31" s="10"/>
      <c r="AG31" s="12"/>
      <c r="AH31" s="10"/>
      <c r="AI31" s="12"/>
      <c r="AJ31" s="87"/>
      <c r="AK31" s="12"/>
      <c r="AL31" s="10"/>
      <c r="AM31" s="12"/>
      <c r="AN31" s="10"/>
      <c r="AO31" s="12"/>
      <c r="AP31" s="10"/>
      <c r="AQ31" s="12"/>
      <c r="AR31" s="10"/>
      <c r="AS31" s="12"/>
      <c r="AT31" s="10"/>
      <c r="AU31" s="12"/>
      <c r="AV31" s="10"/>
      <c r="AW31" s="12"/>
      <c r="AX31" s="9"/>
      <c r="AY31" s="26"/>
      <c r="AZ31" s="10">
        <v>643.38</v>
      </c>
      <c r="BA31" s="12" t="s">
        <v>11642</v>
      </c>
      <c r="BB31" s="9"/>
      <c r="BC31" s="15"/>
      <c r="BD31" s="10"/>
      <c r="BE31" s="12"/>
      <c r="BF31" s="10"/>
      <c r="BG31" s="12"/>
      <c r="BH31" s="10"/>
      <c r="BI31" s="12"/>
      <c r="BJ31" s="11"/>
      <c r="BK31" s="13"/>
      <c r="BL31" s="11"/>
      <c r="BM31" s="13"/>
      <c r="BN31" s="11"/>
      <c r="BO31" s="13"/>
      <c r="BP31" s="11"/>
      <c r="BQ31" s="13"/>
      <c r="BR31" s="11"/>
      <c r="BS31" s="13"/>
      <c r="BT31" s="11"/>
      <c r="BU31" s="13"/>
      <c r="BV31" s="11"/>
      <c r="BW31" s="13"/>
      <c r="BX31" s="11"/>
      <c r="BY31" s="13"/>
      <c r="BZ31" s="11"/>
      <c r="CA31" s="13"/>
      <c r="CB31" s="11"/>
      <c r="CC31" s="13"/>
      <c r="CD31" s="11"/>
      <c r="CE31" s="13"/>
      <c r="CF31" s="11"/>
      <c r="CG31" s="13"/>
      <c r="CH31" s="11"/>
      <c r="CI31" s="13"/>
      <c r="CJ31" s="11"/>
      <c r="CK31" s="13"/>
      <c r="CL31" s="11"/>
      <c r="CM31" s="13"/>
      <c r="CN31" s="11"/>
      <c r="CO31" s="13"/>
      <c r="CP31" s="11"/>
    </row>
    <row r="32" spans="1:94" x14ac:dyDescent="0.25">
      <c r="A32" s="41"/>
      <c r="B32" s="7"/>
      <c r="C32" s="26"/>
      <c r="D32" s="7"/>
      <c r="E32" s="26"/>
      <c r="F32" s="7"/>
      <c r="G32" s="26"/>
      <c r="H32" s="9"/>
      <c r="I32" s="15"/>
      <c r="J32" s="9"/>
      <c r="K32" s="26"/>
      <c r="L32" s="7"/>
      <c r="M32" s="26"/>
      <c r="N32" s="7"/>
      <c r="O32" s="26"/>
      <c r="P32" s="7"/>
      <c r="Q32" s="26"/>
      <c r="R32" s="7"/>
      <c r="S32" s="26"/>
      <c r="T32" s="9"/>
      <c r="U32" s="26"/>
      <c r="V32" s="7"/>
      <c r="W32" s="26"/>
      <c r="X32" s="7"/>
      <c r="Y32" s="26"/>
      <c r="Z32" s="9"/>
      <c r="AA32" s="26"/>
      <c r="AB32" s="7"/>
      <c r="AC32" s="26"/>
      <c r="AD32" s="7"/>
      <c r="AE32" s="26"/>
      <c r="AF32" s="7"/>
      <c r="AG32" s="26"/>
      <c r="AH32" s="7"/>
      <c r="AI32" s="26"/>
      <c r="AJ32" s="7"/>
      <c r="AK32" s="26"/>
      <c r="AL32" s="9"/>
      <c r="AM32" s="15"/>
      <c r="AN32" s="7"/>
      <c r="AO32" s="26"/>
      <c r="AP32" s="7"/>
      <c r="AQ32" s="26"/>
      <c r="AR32" s="7"/>
      <c r="AS32" s="26"/>
      <c r="AT32" s="7"/>
      <c r="AU32" s="26"/>
      <c r="AV32" s="7"/>
      <c r="AW32" s="26"/>
      <c r="AX32" s="7"/>
      <c r="AY32" s="26"/>
      <c r="AZ32" s="7"/>
      <c r="BA32" s="26"/>
      <c r="BB32" s="9"/>
      <c r="BC32" s="15"/>
      <c r="BD32" s="7"/>
      <c r="BE32" s="26"/>
      <c r="BF32" s="7"/>
      <c r="BG32" s="26"/>
      <c r="BH32" s="7"/>
      <c r="BI32" s="26"/>
      <c r="BJ32" s="9"/>
      <c r="BK32" s="15"/>
      <c r="BL32" s="9"/>
      <c r="BM32" s="15"/>
      <c r="BN32" s="9"/>
      <c r="BO32" s="15"/>
      <c r="BP32" s="9"/>
      <c r="BQ32" s="15"/>
      <c r="BR32" s="9"/>
      <c r="BS32" s="15"/>
      <c r="BT32" s="9"/>
      <c r="BU32" s="15"/>
      <c r="BV32" s="9"/>
      <c r="BW32" s="15"/>
      <c r="BX32" s="9"/>
      <c r="BY32" s="15"/>
      <c r="BZ32" s="9"/>
      <c r="CA32" s="15"/>
      <c r="CB32" s="9"/>
      <c r="CC32" s="15"/>
      <c r="CD32" s="9"/>
      <c r="CE32" s="15"/>
      <c r="CF32" s="9"/>
      <c r="CG32" s="15"/>
      <c r="CH32" s="9"/>
      <c r="CI32" s="15"/>
      <c r="CJ32" s="9"/>
      <c r="CK32" s="15"/>
      <c r="CL32" s="9"/>
      <c r="CM32" s="15"/>
      <c r="CN32" s="9"/>
      <c r="CO32" s="15"/>
      <c r="CP32" s="9"/>
    </row>
    <row r="33" spans="1:94" x14ac:dyDescent="0.25">
      <c r="A33" s="41"/>
      <c r="B33" s="7"/>
      <c r="C33" s="26"/>
      <c r="D33" s="7"/>
      <c r="E33" s="26"/>
      <c r="F33" s="7"/>
      <c r="G33" s="26"/>
      <c r="H33" s="9"/>
      <c r="I33" s="15"/>
      <c r="J33" s="9"/>
      <c r="K33" s="26"/>
      <c r="L33" s="7"/>
      <c r="M33" s="26"/>
      <c r="N33" s="7"/>
      <c r="O33" s="26"/>
      <c r="P33" s="7"/>
      <c r="Q33" s="26"/>
      <c r="R33" s="7"/>
      <c r="S33" s="26"/>
      <c r="T33" s="9"/>
      <c r="U33" s="26"/>
      <c r="V33" s="7"/>
      <c r="W33" s="26"/>
      <c r="X33" s="7"/>
      <c r="Y33" s="26"/>
      <c r="Z33" s="9"/>
      <c r="AA33" s="26"/>
      <c r="AB33" s="7"/>
      <c r="AC33" s="26"/>
      <c r="AD33" s="7"/>
      <c r="AE33" s="26"/>
      <c r="AF33" s="7"/>
      <c r="AG33" s="26"/>
      <c r="AH33" s="7"/>
      <c r="AI33" s="26"/>
      <c r="AJ33" s="7"/>
      <c r="AK33" s="26"/>
      <c r="AL33" s="7"/>
      <c r="AM33" s="26"/>
      <c r="AN33" s="7"/>
      <c r="AO33" s="26"/>
      <c r="AP33" s="7"/>
      <c r="AQ33" s="26"/>
      <c r="AR33" s="7"/>
      <c r="AS33" s="26"/>
      <c r="AT33" s="7"/>
      <c r="AU33" s="26"/>
      <c r="AV33" s="7"/>
      <c r="AW33" s="26"/>
      <c r="AX33" s="7"/>
      <c r="AY33" s="26"/>
      <c r="AZ33" s="7"/>
      <c r="BA33" s="26"/>
      <c r="BB33" s="9"/>
      <c r="BC33" s="15"/>
      <c r="BD33" s="7"/>
      <c r="BE33" s="26"/>
      <c r="BF33" s="7"/>
      <c r="BG33" s="26"/>
      <c r="BH33" s="7"/>
      <c r="BI33" s="26"/>
      <c r="BJ33" s="9"/>
      <c r="BK33" s="15"/>
      <c r="BL33" s="9"/>
      <c r="BM33" s="15"/>
      <c r="BN33" s="9"/>
      <c r="BO33" s="15"/>
      <c r="BP33" s="9"/>
      <c r="BQ33" s="15"/>
      <c r="BR33" s="9"/>
      <c r="BS33" s="15"/>
      <c r="BT33" s="9"/>
      <c r="BU33" s="15"/>
      <c r="BV33" s="9"/>
      <c r="BW33" s="15"/>
      <c r="BX33" s="9"/>
      <c r="BY33" s="15"/>
      <c r="BZ33" s="9"/>
      <c r="CA33" s="15"/>
      <c r="CB33" s="9"/>
      <c r="CC33" s="15"/>
      <c r="CD33" s="9"/>
      <c r="CE33" s="15"/>
      <c r="CF33" s="9"/>
      <c r="CG33" s="15"/>
      <c r="CH33" s="9"/>
      <c r="CI33" s="15"/>
      <c r="CJ33" s="9"/>
      <c r="CK33" s="15"/>
      <c r="CL33" s="9"/>
      <c r="CM33" s="15"/>
      <c r="CN33" s="9"/>
      <c r="CO33" s="15"/>
      <c r="CP33" s="9"/>
    </row>
    <row r="34" spans="1:94" x14ac:dyDescent="0.25">
      <c r="A34" s="41"/>
      <c r="B34" s="7"/>
      <c r="C34" s="26"/>
      <c r="D34" s="7"/>
      <c r="E34" s="26"/>
      <c r="F34" s="7"/>
      <c r="G34" s="26"/>
      <c r="H34" s="9"/>
      <c r="I34" s="15"/>
      <c r="J34" s="9"/>
      <c r="K34" s="26"/>
      <c r="L34" s="7"/>
      <c r="M34" s="26"/>
      <c r="N34" s="7"/>
      <c r="O34" s="26"/>
      <c r="P34" s="7"/>
      <c r="Q34" s="26"/>
      <c r="R34" s="7"/>
      <c r="S34" s="26"/>
      <c r="T34" s="9"/>
      <c r="U34" s="26"/>
      <c r="V34" s="7"/>
      <c r="W34" s="26"/>
      <c r="X34" s="7"/>
      <c r="Y34" s="26"/>
      <c r="Z34" s="9"/>
      <c r="AA34" s="26"/>
      <c r="AB34" s="7"/>
      <c r="AC34" s="26"/>
      <c r="AD34" s="7"/>
      <c r="AE34" s="26"/>
      <c r="AF34" s="7"/>
      <c r="AG34" s="26"/>
      <c r="AH34" s="7"/>
      <c r="AI34" s="26"/>
      <c r="AJ34" s="7"/>
      <c r="AK34" s="26"/>
      <c r="AL34" s="7"/>
      <c r="AM34" s="26"/>
      <c r="AN34" s="7"/>
      <c r="AO34" s="26"/>
      <c r="AP34" s="7"/>
      <c r="AQ34" s="26"/>
      <c r="AR34" s="7"/>
      <c r="AS34" s="26"/>
      <c r="AT34" s="7"/>
      <c r="AU34" s="26"/>
      <c r="AV34" s="7"/>
      <c r="AW34" s="26"/>
      <c r="AX34" s="7"/>
      <c r="AY34" s="26"/>
      <c r="AZ34" s="7"/>
      <c r="BA34" s="26"/>
      <c r="BB34" s="9"/>
      <c r="BC34" s="15"/>
      <c r="BD34" s="7"/>
      <c r="BE34" s="26"/>
      <c r="BF34" s="7"/>
      <c r="BG34" s="26"/>
      <c r="BH34" s="7"/>
      <c r="BI34" s="26"/>
      <c r="BJ34" s="9"/>
      <c r="BK34" s="15"/>
      <c r="BL34" s="9"/>
      <c r="BM34" s="15"/>
      <c r="BN34" s="9"/>
      <c r="BO34" s="15"/>
      <c r="BP34" s="9"/>
      <c r="BQ34" s="15"/>
      <c r="BR34" s="9"/>
      <c r="BS34" s="15"/>
      <c r="BT34" s="9"/>
      <c r="BU34" s="15"/>
      <c r="BV34" s="9"/>
      <c r="BW34" s="15"/>
      <c r="BX34" s="9"/>
      <c r="BY34" s="15"/>
      <c r="BZ34" s="9"/>
      <c r="CA34" s="15"/>
      <c r="CB34" s="9"/>
      <c r="CC34" s="15"/>
      <c r="CD34" s="9"/>
      <c r="CE34" s="15"/>
      <c r="CF34" s="9"/>
      <c r="CG34" s="15"/>
      <c r="CH34" s="9"/>
      <c r="CI34" s="15"/>
      <c r="CJ34" s="9"/>
      <c r="CK34" s="15"/>
      <c r="CL34" s="9"/>
      <c r="CM34" s="15"/>
      <c r="CN34" s="9"/>
      <c r="CO34" s="15"/>
      <c r="CP34" s="9"/>
    </row>
    <row r="35" spans="1:94" x14ac:dyDescent="0.25">
      <c r="A35" s="41"/>
      <c r="B35" s="7"/>
      <c r="C35" s="26"/>
      <c r="D35" s="7"/>
      <c r="E35" s="26"/>
      <c r="F35" s="7"/>
      <c r="G35" s="26"/>
      <c r="H35" s="9"/>
      <c r="I35" s="15"/>
      <c r="J35" s="9"/>
      <c r="K35" s="26"/>
      <c r="L35" s="7"/>
      <c r="M35" s="26"/>
      <c r="N35" s="7"/>
      <c r="O35" s="26"/>
      <c r="P35" s="7"/>
      <c r="Q35" s="26"/>
      <c r="R35" s="7"/>
      <c r="S35" s="26"/>
      <c r="T35" s="9"/>
      <c r="U35" s="26"/>
      <c r="V35" s="7"/>
      <c r="W35" s="26"/>
      <c r="X35" s="7"/>
      <c r="Y35" s="26"/>
      <c r="Z35" s="7"/>
      <c r="AA35" s="26"/>
      <c r="AB35" s="7"/>
      <c r="AC35" s="26"/>
      <c r="AD35" s="7"/>
      <c r="AE35" s="26"/>
      <c r="AF35" s="7"/>
      <c r="AG35" s="26"/>
      <c r="AH35" s="7"/>
      <c r="AI35" s="26"/>
      <c r="AJ35" s="7"/>
      <c r="AK35" s="26"/>
      <c r="AL35" s="7"/>
      <c r="AM35" s="26"/>
      <c r="AN35" s="7"/>
      <c r="AO35" s="26"/>
      <c r="AP35" s="7"/>
      <c r="AQ35" s="26"/>
      <c r="AR35" s="7"/>
      <c r="AS35" s="26"/>
      <c r="AT35" s="7"/>
      <c r="AU35" s="26"/>
      <c r="AV35" s="7"/>
      <c r="AW35" s="26"/>
      <c r="AX35" s="7"/>
      <c r="AY35" s="26"/>
      <c r="AZ35" s="7"/>
      <c r="BA35" s="26"/>
      <c r="BB35" s="9"/>
      <c r="BC35" s="15"/>
      <c r="BD35" s="7"/>
      <c r="BE35" s="26"/>
      <c r="BF35" s="7"/>
      <c r="BG35" s="26"/>
      <c r="BH35" s="7"/>
      <c r="BI35" s="26"/>
      <c r="BJ35" s="9"/>
      <c r="BK35" s="15"/>
      <c r="BL35" s="9"/>
      <c r="BM35" s="15"/>
      <c r="BN35" s="9"/>
      <c r="BO35" s="15"/>
      <c r="BP35" s="9"/>
      <c r="BQ35" s="15"/>
      <c r="BR35" s="9"/>
      <c r="BS35" s="15"/>
      <c r="BT35" s="9"/>
      <c r="BU35" s="15"/>
      <c r="BV35" s="9"/>
      <c r="BW35" s="15"/>
      <c r="BX35" s="9"/>
      <c r="BY35" s="15"/>
      <c r="BZ35" s="9"/>
      <c r="CA35" s="15"/>
      <c r="CB35" s="9"/>
      <c r="CC35" s="15"/>
      <c r="CD35" s="9"/>
      <c r="CE35" s="15"/>
      <c r="CF35" s="9"/>
      <c r="CG35" s="15"/>
      <c r="CH35" s="9"/>
      <c r="CI35" s="15"/>
      <c r="CJ35" s="9"/>
      <c r="CK35" s="15"/>
      <c r="CL35" s="9"/>
      <c r="CM35" s="15"/>
      <c r="CN35" s="9"/>
      <c r="CO35" s="15"/>
      <c r="CP35" s="9"/>
    </row>
    <row r="36" spans="1:94" x14ac:dyDescent="0.25">
      <c r="A36" s="41"/>
      <c r="B36" s="7"/>
      <c r="C36" s="26"/>
      <c r="D36" s="7"/>
      <c r="E36" s="26"/>
      <c r="F36" s="7"/>
      <c r="G36" s="26"/>
      <c r="H36" s="9"/>
      <c r="I36" s="15"/>
      <c r="J36" s="9"/>
      <c r="K36" s="26"/>
      <c r="L36" s="7"/>
      <c r="M36" s="26"/>
      <c r="N36" s="7"/>
      <c r="O36" s="26"/>
      <c r="P36" s="7"/>
      <c r="Q36" s="26"/>
      <c r="R36" s="7"/>
      <c r="S36" s="26"/>
      <c r="T36" s="9"/>
      <c r="U36" s="26"/>
      <c r="V36" s="7"/>
      <c r="W36" s="26"/>
      <c r="X36" s="7"/>
      <c r="Y36" s="26"/>
      <c r="Z36" s="7"/>
      <c r="AA36" s="26"/>
      <c r="AB36" s="7"/>
      <c r="AC36" s="26"/>
      <c r="AD36" s="7"/>
      <c r="AE36" s="26"/>
      <c r="AF36" s="7"/>
      <c r="AG36" s="26"/>
      <c r="AH36" s="7"/>
      <c r="AI36" s="26"/>
      <c r="AJ36" s="7"/>
      <c r="AK36" s="26"/>
      <c r="AL36" s="7"/>
      <c r="AM36" s="26"/>
      <c r="AN36" s="7"/>
      <c r="AO36" s="26"/>
      <c r="AP36" s="7"/>
      <c r="AQ36" s="26"/>
      <c r="AR36" s="7"/>
      <c r="AS36" s="26"/>
      <c r="AT36" s="7"/>
      <c r="AU36" s="26"/>
      <c r="AV36" s="7"/>
      <c r="AW36" s="26"/>
      <c r="AX36" s="7"/>
      <c r="AY36" s="26"/>
      <c r="AZ36" s="7"/>
      <c r="BA36" s="26"/>
      <c r="BB36" s="9"/>
      <c r="BC36" s="15"/>
      <c r="BD36" s="7"/>
      <c r="BE36" s="26"/>
      <c r="BF36" s="7"/>
      <c r="BG36" s="26"/>
      <c r="BH36" s="7"/>
      <c r="BI36" s="26"/>
      <c r="BJ36" s="9"/>
      <c r="BK36" s="15"/>
      <c r="BL36" s="9"/>
      <c r="BM36" s="15"/>
      <c r="BN36" s="9"/>
      <c r="BO36" s="15"/>
      <c r="BP36" s="9"/>
      <c r="BQ36" s="15"/>
      <c r="BR36" s="9"/>
      <c r="BS36" s="15"/>
      <c r="BT36" s="9"/>
      <c r="BU36" s="15"/>
      <c r="BV36" s="9"/>
      <c r="BW36" s="15"/>
      <c r="BX36" s="9"/>
      <c r="BY36" s="15"/>
      <c r="BZ36" s="9"/>
      <c r="CA36" s="15"/>
      <c r="CB36" s="9"/>
      <c r="CC36" s="15"/>
      <c r="CD36" s="9"/>
      <c r="CE36" s="15"/>
      <c r="CF36" s="9"/>
      <c r="CG36" s="15"/>
      <c r="CH36" s="9"/>
      <c r="CI36" s="15"/>
      <c r="CJ36" s="9"/>
      <c r="CK36" s="15"/>
      <c r="CL36" s="9"/>
      <c r="CM36" s="15"/>
      <c r="CN36" s="9"/>
      <c r="CO36" s="15"/>
      <c r="CP36" s="9"/>
    </row>
    <row r="37" spans="1:94" x14ac:dyDescent="0.25">
      <c r="A37" s="41"/>
      <c r="B37" s="7"/>
      <c r="C37" s="26"/>
      <c r="D37" s="7"/>
      <c r="E37" s="26"/>
      <c r="F37" s="7"/>
      <c r="G37" s="26"/>
      <c r="H37" s="72"/>
      <c r="I37" s="24"/>
      <c r="J37" s="9"/>
      <c r="K37" s="26"/>
      <c r="L37" s="7"/>
      <c r="M37" s="26"/>
      <c r="N37" s="7"/>
      <c r="O37" s="26"/>
      <c r="P37" s="7"/>
      <c r="Q37" s="26"/>
      <c r="R37" s="7"/>
      <c r="S37" s="26"/>
      <c r="T37" s="9"/>
      <c r="U37" s="26"/>
      <c r="V37" s="7"/>
      <c r="W37" s="26"/>
      <c r="X37" s="7"/>
      <c r="Y37" s="26"/>
      <c r="Z37" s="7"/>
      <c r="AA37" s="26"/>
      <c r="AB37" s="7"/>
      <c r="AC37" s="26"/>
      <c r="AD37" s="7"/>
      <c r="AE37" s="26"/>
      <c r="AF37" s="7"/>
      <c r="AG37" s="26"/>
      <c r="AH37" s="7"/>
      <c r="AI37" s="26"/>
      <c r="AJ37" s="7"/>
      <c r="AK37" s="26"/>
      <c r="AL37" s="7"/>
      <c r="AM37" s="26"/>
      <c r="AN37" s="7"/>
      <c r="AO37" s="26"/>
      <c r="AP37" s="7"/>
      <c r="AQ37" s="26"/>
      <c r="AR37" s="7"/>
      <c r="AS37" s="26"/>
      <c r="AT37" s="7"/>
      <c r="AU37" s="26"/>
      <c r="AV37" s="7"/>
      <c r="AW37" s="26"/>
      <c r="AX37" s="7"/>
      <c r="AY37" s="26"/>
      <c r="AZ37" s="7"/>
      <c r="BA37" s="26"/>
      <c r="BB37" s="9"/>
      <c r="BC37" s="15"/>
      <c r="BD37" s="7"/>
      <c r="BE37" s="26"/>
      <c r="BF37" s="7"/>
      <c r="BG37" s="26"/>
      <c r="BH37" s="7"/>
      <c r="BI37" s="26"/>
      <c r="BJ37" s="9"/>
      <c r="BK37" s="15"/>
      <c r="BL37" s="9"/>
      <c r="BM37" s="15"/>
      <c r="BN37" s="9"/>
      <c r="BO37" s="15"/>
      <c r="BP37" s="9"/>
      <c r="BQ37" s="15"/>
      <c r="BR37" s="9"/>
      <c r="BS37" s="15"/>
      <c r="BT37" s="9"/>
      <c r="BU37" s="15"/>
      <c r="BV37" s="9"/>
      <c r="BW37" s="15"/>
      <c r="BX37" s="9"/>
      <c r="BY37" s="15"/>
      <c r="BZ37" s="9"/>
      <c r="CA37" s="15"/>
      <c r="CB37" s="9"/>
      <c r="CC37" s="15"/>
      <c r="CD37" s="9"/>
      <c r="CE37" s="15"/>
      <c r="CF37" s="9"/>
      <c r="CG37" s="15"/>
      <c r="CH37" s="9"/>
      <c r="CI37" s="15"/>
      <c r="CJ37" s="9"/>
      <c r="CK37" s="15"/>
      <c r="CL37" s="9"/>
      <c r="CM37" s="15"/>
      <c r="CN37" s="9"/>
      <c r="CO37" s="15"/>
      <c r="CP37" s="9"/>
    </row>
    <row r="38" spans="1:94" x14ac:dyDescent="0.25">
      <c r="A38" s="41"/>
      <c r="B38" s="7"/>
      <c r="C38" s="26"/>
      <c r="D38" s="7"/>
      <c r="E38" s="26"/>
      <c r="F38" s="7"/>
      <c r="G38" s="26"/>
      <c r="H38" s="9"/>
      <c r="I38" s="15"/>
      <c r="J38" s="9"/>
      <c r="K38" s="26"/>
      <c r="L38" s="7"/>
      <c r="M38" s="26"/>
      <c r="N38" s="7"/>
      <c r="O38" s="26"/>
      <c r="P38" s="7"/>
      <c r="Q38" s="26"/>
      <c r="R38" s="7"/>
      <c r="S38" s="26"/>
      <c r="T38" s="9"/>
      <c r="U38" s="26"/>
      <c r="V38" s="7"/>
      <c r="W38" s="26"/>
      <c r="X38" s="7"/>
      <c r="Y38" s="26"/>
      <c r="Z38" s="7"/>
      <c r="AA38" s="26"/>
      <c r="AB38" s="7"/>
      <c r="AC38" s="26"/>
      <c r="AD38" s="7"/>
      <c r="AE38" s="26"/>
      <c r="AF38" s="7"/>
      <c r="AG38" s="26"/>
      <c r="AH38" s="7"/>
      <c r="AI38" s="26"/>
      <c r="AJ38" s="7"/>
      <c r="AK38" s="26"/>
      <c r="AL38" s="7"/>
      <c r="AM38" s="26"/>
      <c r="AN38" s="7"/>
      <c r="AO38" s="26"/>
      <c r="AP38" s="7"/>
      <c r="AQ38" s="26"/>
      <c r="AR38" s="7"/>
      <c r="AS38" s="26"/>
      <c r="AT38" s="7"/>
      <c r="AU38" s="26"/>
      <c r="AV38" s="7"/>
      <c r="AW38" s="26"/>
      <c r="AX38" s="7"/>
      <c r="AY38" s="26"/>
      <c r="AZ38" s="7"/>
      <c r="BA38" s="26"/>
      <c r="BB38" s="9"/>
      <c r="BC38" s="15"/>
      <c r="BD38" s="7"/>
      <c r="BE38" s="26"/>
      <c r="BF38" s="7"/>
      <c r="BG38" s="26"/>
      <c r="BH38" s="7"/>
      <c r="BI38" s="26"/>
      <c r="BJ38" s="9"/>
      <c r="BK38" s="15"/>
      <c r="BL38" s="9"/>
      <c r="BM38" s="15"/>
      <c r="BN38" s="9"/>
      <c r="BO38" s="15"/>
      <c r="BP38" s="9"/>
      <c r="BQ38" s="15"/>
      <c r="BR38" s="9"/>
      <c r="BS38" s="15"/>
      <c r="BT38" s="9"/>
      <c r="BU38" s="15"/>
      <c r="BV38" s="9"/>
      <c r="BW38" s="15"/>
      <c r="BX38" s="9"/>
      <c r="BY38" s="15"/>
      <c r="BZ38" s="9"/>
      <c r="CA38" s="15"/>
      <c r="CB38" s="9"/>
      <c r="CC38" s="15"/>
      <c r="CD38" s="9"/>
      <c r="CE38" s="15"/>
      <c r="CF38" s="9"/>
      <c r="CG38" s="15"/>
      <c r="CH38" s="9"/>
      <c r="CI38" s="15"/>
      <c r="CJ38" s="9"/>
      <c r="CK38" s="15"/>
      <c r="CL38" s="9"/>
      <c r="CM38" s="15"/>
      <c r="CN38" s="9"/>
      <c r="CO38" s="15"/>
      <c r="CP38" s="9"/>
    </row>
    <row r="39" spans="1:94" x14ac:dyDescent="0.25">
      <c r="A39" s="41"/>
      <c r="B39" s="7"/>
      <c r="C39" s="26"/>
      <c r="D39" s="7"/>
      <c r="E39" s="26"/>
      <c r="F39" s="7"/>
      <c r="G39" s="26"/>
      <c r="H39" s="9"/>
      <c r="I39" s="15"/>
      <c r="J39" s="9"/>
      <c r="K39" s="26"/>
      <c r="L39" s="7"/>
      <c r="M39" s="26"/>
      <c r="N39" s="7"/>
      <c r="O39" s="26"/>
      <c r="P39" s="7"/>
      <c r="Q39" s="26"/>
      <c r="R39" s="7"/>
      <c r="S39" s="26"/>
      <c r="T39" s="7"/>
      <c r="U39" s="26"/>
      <c r="V39" s="7"/>
      <c r="W39" s="26"/>
      <c r="X39" s="7"/>
      <c r="Y39" s="26"/>
      <c r="Z39" s="7"/>
      <c r="AA39" s="26"/>
      <c r="AB39" s="7"/>
      <c r="AC39" s="26"/>
      <c r="AD39" s="7"/>
      <c r="AE39" s="26"/>
      <c r="AF39" s="7"/>
      <c r="AG39" s="26"/>
      <c r="AH39" s="7"/>
      <c r="AI39" s="26"/>
      <c r="AJ39" s="7"/>
      <c r="AK39" s="26"/>
      <c r="AL39" s="7"/>
      <c r="AM39" s="26"/>
      <c r="AN39" s="7"/>
      <c r="AO39" s="26"/>
      <c r="AP39" s="7"/>
      <c r="AQ39" s="26"/>
      <c r="AR39" s="7"/>
      <c r="AS39" s="26"/>
      <c r="AT39" s="7"/>
      <c r="AU39" s="26"/>
      <c r="AV39" s="7"/>
      <c r="AW39" s="26"/>
      <c r="AX39" s="7"/>
      <c r="AY39" s="26"/>
      <c r="AZ39" s="7"/>
      <c r="BA39" s="26"/>
      <c r="BB39" s="9"/>
      <c r="BC39" s="15"/>
      <c r="BD39" s="7"/>
      <c r="BE39" s="26"/>
      <c r="BF39" s="7"/>
      <c r="BG39" s="26"/>
      <c r="BH39" s="7"/>
      <c r="BI39" s="26"/>
      <c r="BJ39" s="9"/>
      <c r="BK39" s="15"/>
      <c r="BL39" s="9"/>
      <c r="BM39" s="15"/>
      <c r="BN39" s="9"/>
      <c r="BO39" s="15"/>
      <c r="BP39" s="9"/>
      <c r="BQ39" s="15"/>
      <c r="BR39" s="9"/>
      <c r="BS39" s="15"/>
      <c r="BT39" s="9"/>
      <c r="BU39" s="15"/>
      <c r="BV39" s="9"/>
      <c r="BW39" s="15"/>
      <c r="BX39" s="9"/>
      <c r="BY39" s="15"/>
      <c r="BZ39" s="9"/>
      <c r="CA39" s="15"/>
      <c r="CB39" s="9"/>
      <c r="CC39" s="15"/>
      <c r="CD39" s="9"/>
      <c r="CE39" s="15"/>
      <c r="CF39" s="9"/>
      <c r="CG39" s="15"/>
      <c r="CH39" s="9"/>
      <c r="CI39" s="15"/>
      <c r="CJ39" s="9"/>
      <c r="CK39" s="15"/>
      <c r="CL39" s="9"/>
      <c r="CM39" s="15"/>
      <c r="CN39" s="9"/>
      <c r="CO39" s="15"/>
      <c r="CP39" s="9"/>
    </row>
    <row r="40" spans="1:94" x14ac:dyDescent="0.25">
      <c r="A40" s="41"/>
      <c r="B40" s="7"/>
      <c r="C40" s="26"/>
      <c r="D40" s="7"/>
      <c r="E40" s="26"/>
      <c r="F40" s="7"/>
      <c r="G40" s="26"/>
      <c r="H40" s="9"/>
      <c r="I40" s="15"/>
      <c r="J40" s="9"/>
      <c r="K40" s="26"/>
      <c r="L40" s="7"/>
      <c r="M40" s="26"/>
      <c r="N40" s="7"/>
      <c r="O40" s="26"/>
      <c r="P40" s="7"/>
      <c r="Q40" s="26"/>
      <c r="R40" s="7"/>
      <c r="S40" s="26"/>
      <c r="T40" s="7"/>
      <c r="U40" s="26"/>
      <c r="V40" s="7"/>
      <c r="W40" s="26"/>
      <c r="X40" s="7"/>
      <c r="Y40" s="26"/>
      <c r="Z40" s="7"/>
      <c r="AA40" s="26"/>
      <c r="AB40" s="7"/>
      <c r="AC40" s="26"/>
      <c r="AD40" s="7"/>
      <c r="AE40" s="26"/>
      <c r="AF40" s="7"/>
      <c r="AG40" s="26"/>
      <c r="AH40" s="7"/>
      <c r="AI40" s="26"/>
      <c r="AJ40" s="7"/>
      <c r="AK40" s="26"/>
      <c r="AL40" s="7"/>
      <c r="AM40" s="26"/>
      <c r="AN40" s="7"/>
      <c r="AO40" s="26"/>
      <c r="AP40" s="7"/>
      <c r="AQ40" s="26"/>
      <c r="AR40" s="7"/>
      <c r="AS40" s="26"/>
      <c r="AT40" s="7"/>
      <c r="AU40" s="26"/>
      <c r="AV40" s="7"/>
      <c r="AW40" s="26"/>
      <c r="AX40" s="7"/>
      <c r="AY40" s="26"/>
      <c r="AZ40" s="7"/>
      <c r="BA40" s="26"/>
      <c r="BB40" s="9"/>
      <c r="BC40" s="15"/>
      <c r="BD40" s="7"/>
      <c r="BE40" s="26"/>
      <c r="BF40" s="7"/>
      <c r="BG40" s="26"/>
      <c r="BH40" s="7"/>
      <c r="BI40" s="26"/>
      <c r="BJ40" s="9"/>
      <c r="BK40" s="15"/>
      <c r="BL40" s="9"/>
      <c r="BM40" s="15"/>
      <c r="BN40" s="9"/>
      <c r="BO40" s="15"/>
      <c r="BP40" s="9"/>
      <c r="BQ40" s="15"/>
      <c r="BR40" s="9"/>
      <c r="BS40" s="15"/>
      <c r="BT40" s="9"/>
      <c r="BU40" s="15"/>
      <c r="BV40" s="9"/>
      <c r="BW40" s="15"/>
      <c r="BX40" s="9"/>
      <c r="BY40" s="15"/>
      <c r="BZ40" s="9"/>
      <c r="CA40" s="15"/>
      <c r="CB40" s="9"/>
      <c r="CC40" s="15"/>
      <c r="CD40" s="9"/>
      <c r="CE40" s="15"/>
      <c r="CF40" s="9"/>
      <c r="CG40" s="15"/>
      <c r="CH40" s="9"/>
      <c r="CI40" s="15"/>
      <c r="CJ40" s="9"/>
      <c r="CK40" s="15"/>
      <c r="CL40" s="9"/>
      <c r="CM40" s="15"/>
      <c r="CN40" s="9"/>
      <c r="CO40" s="15"/>
      <c r="CP40" s="9"/>
    </row>
    <row r="41" spans="1:94" x14ac:dyDescent="0.25">
      <c r="A41" s="41"/>
      <c r="B41" s="7"/>
      <c r="C41" s="26"/>
      <c r="D41" s="7"/>
      <c r="E41" s="26"/>
      <c r="F41" s="7"/>
      <c r="G41" s="26"/>
      <c r="H41" s="9"/>
      <c r="I41" s="15"/>
      <c r="J41" s="9"/>
      <c r="K41" s="26"/>
      <c r="L41" s="7"/>
      <c r="M41" s="26"/>
      <c r="N41" s="7"/>
      <c r="O41" s="26"/>
      <c r="P41" s="7"/>
      <c r="Q41" s="26"/>
      <c r="R41" s="7"/>
      <c r="S41" s="26"/>
      <c r="T41" s="7"/>
      <c r="U41" s="26"/>
      <c r="V41" s="7"/>
      <c r="W41" s="26"/>
      <c r="X41" s="7"/>
      <c r="Y41" s="26"/>
      <c r="Z41" s="7"/>
      <c r="AA41" s="26"/>
      <c r="AB41" s="7"/>
      <c r="AC41" s="26"/>
      <c r="AD41" s="7"/>
      <c r="AE41" s="26"/>
      <c r="AF41" s="197"/>
      <c r="AG41" s="26"/>
      <c r="AH41" s="7"/>
      <c r="AI41" s="26"/>
      <c r="AJ41" s="7"/>
      <c r="AK41" s="26"/>
      <c r="AL41" s="7"/>
      <c r="AM41" s="26"/>
      <c r="AN41" s="7"/>
      <c r="AO41" s="26"/>
      <c r="AP41" s="7"/>
      <c r="AQ41" s="26"/>
      <c r="AR41" s="7"/>
      <c r="AS41" s="26"/>
      <c r="AT41" s="7"/>
      <c r="AU41" s="26"/>
      <c r="AV41" s="7"/>
      <c r="AW41" s="26"/>
      <c r="AX41" s="7"/>
      <c r="AY41" s="26"/>
      <c r="AZ41" s="7"/>
      <c r="BA41" s="26"/>
      <c r="BB41" s="9"/>
      <c r="BC41" s="15"/>
      <c r="BD41" s="7"/>
      <c r="BE41" s="26"/>
      <c r="BF41" s="7"/>
      <c r="BG41" s="26"/>
      <c r="BH41" s="7"/>
      <c r="BI41" s="26"/>
      <c r="BJ41" s="9"/>
      <c r="BK41" s="15"/>
      <c r="BL41" s="9"/>
      <c r="BM41" s="15"/>
      <c r="BN41" s="9"/>
      <c r="BO41" s="15"/>
      <c r="BP41" s="9"/>
      <c r="BQ41" s="15"/>
      <c r="BR41" s="9"/>
      <c r="BS41" s="15"/>
      <c r="BT41" s="9"/>
      <c r="BU41" s="15"/>
      <c r="BV41" s="9"/>
      <c r="BW41" s="15"/>
      <c r="BX41" s="9"/>
      <c r="BY41" s="15"/>
      <c r="BZ41" s="9"/>
      <c r="CA41" s="15"/>
      <c r="CB41" s="9"/>
      <c r="CC41" s="15"/>
      <c r="CD41" s="9"/>
      <c r="CE41" s="15"/>
      <c r="CF41" s="9"/>
      <c r="CG41" s="15"/>
      <c r="CH41" s="9"/>
      <c r="CI41" s="15"/>
      <c r="CJ41" s="9"/>
      <c r="CK41" s="15"/>
      <c r="CL41" s="9"/>
      <c r="CM41" s="15"/>
      <c r="CN41" s="9"/>
      <c r="CO41" s="15"/>
      <c r="CP41" s="9"/>
    </row>
    <row r="42" spans="1:94" x14ac:dyDescent="0.25">
      <c r="A42" s="41"/>
      <c r="B42" s="7"/>
      <c r="C42" s="26"/>
      <c r="D42" s="7"/>
      <c r="E42" s="26"/>
      <c r="F42" s="7"/>
      <c r="G42" s="26"/>
      <c r="H42" s="9"/>
      <c r="I42" s="15"/>
      <c r="J42" s="9"/>
      <c r="K42" s="26"/>
      <c r="L42" s="7"/>
      <c r="M42" s="26"/>
      <c r="N42" s="7"/>
      <c r="O42" s="26"/>
      <c r="P42" s="7"/>
      <c r="Q42" s="26"/>
      <c r="R42" s="7"/>
      <c r="S42" s="26"/>
      <c r="T42" s="7"/>
      <c r="U42" s="26"/>
      <c r="V42" s="7"/>
      <c r="W42" s="26"/>
      <c r="X42" s="7"/>
      <c r="Y42" s="26"/>
      <c r="Z42" s="7"/>
      <c r="AA42" s="26"/>
      <c r="AB42" s="7"/>
      <c r="AC42" s="26"/>
      <c r="AD42" s="7"/>
      <c r="AE42" s="26"/>
      <c r="AF42" s="7"/>
      <c r="AG42" s="26"/>
      <c r="AH42" s="7"/>
      <c r="AI42" s="26"/>
      <c r="AJ42" s="7"/>
      <c r="AK42" s="26"/>
      <c r="AL42" s="7"/>
      <c r="AM42" s="26"/>
      <c r="AN42" s="7"/>
      <c r="AO42" s="26"/>
      <c r="AP42" s="7"/>
      <c r="AQ42" s="26"/>
      <c r="AR42" s="7"/>
      <c r="AS42" s="26"/>
      <c r="AT42" s="7"/>
      <c r="AU42" s="26"/>
      <c r="AV42" s="7"/>
      <c r="AW42" s="26"/>
      <c r="AX42" s="7"/>
      <c r="AY42" s="26"/>
      <c r="AZ42" s="7"/>
      <c r="BA42" s="26"/>
      <c r="BB42" s="9"/>
      <c r="BC42" s="15"/>
      <c r="BD42" s="7"/>
      <c r="BE42" s="26"/>
      <c r="BF42" s="7"/>
      <c r="BG42" s="26"/>
      <c r="BH42" s="7"/>
      <c r="BI42" s="26"/>
      <c r="BJ42" s="9"/>
      <c r="BK42" s="15"/>
      <c r="BL42" s="9"/>
      <c r="BM42" s="15"/>
      <c r="BN42" s="9"/>
      <c r="BO42" s="15"/>
      <c r="BP42" s="9"/>
      <c r="BQ42" s="15"/>
      <c r="BR42" s="9"/>
      <c r="BS42" s="15"/>
      <c r="BT42" s="9"/>
      <c r="BU42" s="15"/>
      <c r="BV42" s="9"/>
      <c r="BW42" s="15"/>
      <c r="BX42" s="9"/>
      <c r="BY42" s="15"/>
      <c r="BZ42" s="9"/>
      <c r="CA42" s="15"/>
      <c r="CB42" s="9"/>
      <c r="CC42" s="15"/>
      <c r="CD42" s="9"/>
      <c r="CE42" s="15"/>
      <c r="CF42" s="9"/>
      <c r="CG42" s="15"/>
      <c r="CH42" s="9"/>
      <c r="CI42" s="15"/>
      <c r="CJ42" s="9"/>
      <c r="CK42" s="15"/>
      <c r="CL42" s="9"/>
      <c r="CM42" s="15"/>
      <c r="CN42" s="9"/>
      <c r="CO42" s="15"/>
      <c r="CP42" s="9"/>
    </row>
    <row r="43" spans="1:94" x14ac:dyDescent="0.25">
      <c r="A43" s="41"/>
      <c r="B43" s="7"/>
      <c r="C43" s="26"/>
      <c r="D43" s="7"/>
      <c r="E43" s="26"/>
      <c r="F43" s="7"/>
      <c r="G43" s="26"/>
      <c r="H43" s="7"/>
      <c r="I43" s="26"/>
      <c r="J43" s="7"/>
      <c r="K43" s="26"/>
      <c r="L43" s="7"/>
      <c r="M43" s="26"/>
      <c r="N43" s="7"/>
      <c r="O43" s="26"/>
      <c r="P43" s="7"/>
      <c r="Q43" s="26"/>
      <c r="R43" s="7"/>
      <c r="S43" s="26"/>
      <c r="T43" s="7"/>
      <c r="U43" s="26"/>
      <c r="V43" s="7"/>
      <c r="W43" s="26"/>
      <c r="X43" s="7"/>
      <c r="Y43" s="26"/>
      <c r="Z43" s="7"/>
      <c r="AA43" s="26"/>
      <c r="AB43" s="7"/>
      <c r="AC43" s="26"/>
      <c r="AD43" s="7"/>
      <c r="AE43" s="26"/>
      <c r="AF43" s="7"/>
      <c r="AG43" s="26"/>
      <c r="AH43" s="7"/>
      <c r="AI43" s="26"/>
      <c r="AJ43" s="7"/>
      <c r="AK43" s="26"/>
      <c r="AL43" s="7"/>
      <c r="AM43" s="26"/>
      <c r="AN43" s="7"/>
      <c r="AO43" s="26"/>
      <c r="AP43" s="7"/>
      <c r="AQ43" s="26"/>
      <c r="AR43" s="7"/>
      <c r="AS43" s="26"/>
      <c r="AT43" s="7"/>
      <c r="AU43" s="26"/>
      <c r="AV43" s="7"/>
      <c r="AW43" s="26"/>
      <c r="AX43" s="7"/>
      <c r="AY43" s="26"/>
      <c r="AZ43" s="7"/>
      <c r="BA43" s="26"/>
      <c r="BB43" s="9"/>
      <c r="BC43" s="15"/>
      <c r="BD43" s="7"/>
      <c r="BE43" s="26"/>
      <c r="BF43" s="7"/>
      <c r="BG43" s="26"/>
      <c r="BH43" s="7"/>
      <c r="BI43" s="26"/>
      <c r="BJ43" s="9"/>
      <c r="BK43" s="15"/>
      <c r="BL43" s="9"/>
      <c r="BM43" s="15"/>
      <c r="BN43" s="9"/>
      <c r="BO43" s="15"/>
      <c r="BP43" s="9"/>
      <c r="BQ43" s="15"/>
      <c r="BR43" s="9"/>
      <c r="BS43" s="15"/>
      <c r="BT43" s="9"/>
      <c r="BU43" s="15"/>
      <c r="BV43" s="9"/>
      <c r="BW43" s="15"/>
      <c r="BX43" s="9"/>
      <c r="BY43" s="15"/>
      <c r="BZ43" s="9"/>
      <c r="CA43" s="15"/>
      <c r="CB43" s="9"/>
      <c r="CC43" s="15"/>
      <c r="CD43" s="9"/>
      <c r="CE43" s="15"/>
      <c r="CF43" s="9"/>
      <c r="CG43" s="15"/>
      <c r="CH43" s="9"/>
      <c r="CI43" s="15"/>
      <c r="CJ43" s="9"/>
      <c r="CK43" s="15"/>
      <c r="CL43" s="9"/>
      <c r="CM43" s="15"/>
      <c r="CN43" s="9"/>
      <c r="CO43" s="15"/>
      <c r="CP43" s="9"/>
    </row>
    <row r="44" spans="1:94" x14ac:dyDescent="0.25">
      <c r="A44" s="41"/>
      <c r="B44" s="7"/>
      <c r="C44" s="26"/>
      <c r="D44" s="7"/>
      <c r="E44" s="26"/>
      <c r="F44" s="7"/>
      <c r="G44" s="26"/>
      <c r="H44" s="7"/>
      <c r="I44" s="26"/>
      <c r="J44" s="7"/>
      <c r="K44" s="26"/>
      <c r="L44" s="7"/>
      <c r="M44" s="26"/>
      <c r="N44" s="7"/>
      <c r="O44" s="26"/>
      <c r="P44" s="7"/>
      <c r="Q44" s="26"/>
      <c r="R44" s="7"/>
      <c r="S44" s="26"/>
      <c r="T44" s="7"/>
      <c r="U44" s="26"/>
      <c r="V44" s="7"/>
      <c r="W44" s="26"/>
      <c r="X44" s="7"/>
      <c r="Y44" s="26"/>
      <c r="Z44" s="7"/>
      <c r="AA44" s="26"/>
      <c r="AB44" s="7"/>
      <c r="AC44" s="26"/>
      <c r="AD44" s="7"/>
      <c r="AE44" s="26"/>
      <c r="AF44" s="7"/>
      <c r="AG44" s="26"/>
      <c r="AH44" s="7"/>
      <c r="AI44" s="26"/>
      <c r="AJ44" s="7"/>
      <c r="AK44" s="26"/>
      <c r="AL44" s="7"/>
      <c r="AM44" s="26"/>
      <c r="AN44" s="7"/>
      <c r="AO44" s="26"/>
      <c r="AP44" s="7"/>
      <c r="AQ44" s="26"/>
      <c r="AR44" s="7"/>
      <c r="AS44" s="26"/>
      <c r="AT44" s="7"/>
      <c r="AU44" s="26"/>
      <c r="AV44" s="7"/>
      <c r="AW44" s="26"/>
      <c r="AX44" s="7"/>
      <c r="AY44" s="26"/>
      <c r="AZ44" s="7"/>
      <c r="BA44" s="26"/>
      <c r="BB44" s="9"/>
      <c r="BC44" s="15"/>
      <c r="BD44" s="7"/>
      <c r="BE44" s="26"/>
      <c r="BF44" s="7"/>
      <c r="BG44" s="26"/>
      <c r="BH44" s="7"/>
      <c r="BI44" s="26"/>
      <c r="BJ44" s="9"/>
      <c r="BK44" s="15"/>
      <c r="BL44" s="9"/>
      <c r="BM44" s="15"/>
      <c r="BN44" s="9"/>
      <c r="BO44" s="15"/>
      <c r="BP44" s="9"/>
      <c r="BQ44" s="15"/>
      <c r="BR44" s="9"/>
      <c r="BS44" s="15"/>
      <c r="BT44" s="9"/>
      <c r="BU44" s="15"/>
      <c r="BV44" s="9"/>
      <c r="BW44" s="15"/>
      <c r="BX44" s="9"/>
      <c r="BY44" s="15"/>
      <c r="BZ44" s="9"/>
      <c r="CA44" s="15"/>
      <c r="CB44" s="9"/>
      <c r="CC44" s="15"/>
      <c r="CD44" s="9"/>
      <c r="CE44" s="15"/>
      <c r="CF44" s="9"/>
      <c r="CG44" s="15"/>
      <c r="CH44" s="9"/>
      <c r="CI44" s="15"/>
      <c r="CJ44" s="9"/>
      <c r="CK44" s="15"/>
      <c r="CL44" s="9"/>
      <c r="CM44" s="15"/>
      <c r="CN44" s="9"/>
      <c r="CO44" s="15"/>
      <c r="CP44" s="9"/>
    </row>
    <row r="45" spans="1:94" x14ac:dyDescent="0.25">
      <c r="A45" s="41"/>
      <c r="B45" s="7"/>
      <c r="C45" s="26"/>
      <c r="D45" s="7"/>
      <c r="E45" s="26"/>
      <c r="F45" s="7"/>
      <c r="G45" s="26"/>
      <c r="H45" s="7"/>
      <c r="I45" s="26"/>
      <c r="J45" s="7"/>
      <c r="K45" s="26"/>
      <c r="L45" s="7"/>
      <c r="M45" s="26"/>
      <c r="N45" s="7"/>
      <c r="O45" s="26"/>
      <c r="P45" s="7"/>
      <c r="Q45" s="26"/>
      <c r="R45" s="7"/>
      <c r="S45" s="26"/>
      <c r="T45" s="7"/>
      <c r="U45" s="26"/>
      <c r="V45" s="7"/>
      <c r="W45" s="26"/>
      <c r="X45" s="7"/>
      <c r="Y45" s="26"/>
      <c r="Z45" s="7"/>
      <c r="AA45" s="26"/>
      <c r="AB45" s="7"/>
      <c r="AC45" s="26"/>
      <c r="AD45" s="7"/>
      <c r="AE45" s="26"/>
      <c r="AF45" s="7"/>
      <c r="AG45" s="26"/>
      <c r="AH45" s="7"/>
      <c r="AI45" s="26"/>
      <c r="AJ45" s="7"/>
      <c r="AK45" s="26"/>
      <c r="AL45" s="7"/>
      <c r="AM45" s="26"/>
      <c r="AN45" s="7"/>
      <c r="AO45" s="26"/>
      <c r="AP45" s="7"/>
      <c r="AQ45" s="26"/>
      <c r="AR45" s="7"/>
      <c r="AS45" s="26"/>
      <c r="AT45" s="7"/>
      <c r="AU45" s="26"/>
      <c r="AV45" s="7"/>
      <c r="AW45" s="26"/>
      <c r="AX45" s="7"/>
      <c r="AY45" s="26"/>
      <c r="AZ45" s="7"/>
      <c r="BA45" s="26"/>
      <c r="BB45" s="9"/>
      <c r="BC45" s="15"/>
      <c r="BD45" s="7"/>
      <c r="BE45" s="26"/>
      <c r="BF45" s="7"/>
      <c r="BG45" s="26"/>
      <c r="BH45" s="7"/>
      <c r="BI45" s="26"/>
      <c r="BJ45" s="9"/>
      <c r="BK45" s="15"/>
      <c r="BL45" s="9"/>
      <c r="BM45" s="15"/>
      <c r="BN45" s="9"/>
      <c r="BO45" s="15"/>
      <c r="BP45" s="9"/>
      <c r="BQ45" s="15"/>
      <c r="BR45" s="9"/>
      <c r="BS45" s="15"/>
      <c r="BT45" s="9"/>
      <c r="BU45" s="15"/>
      <c r="BV45" s="9"/>
      <c r="BW45" s="15"/>
      <c r="BX45" s="9"/>
      <c r="BY45" s="15"/>
      <c r="BZ45" s="9"/>
      <c r="CA45" s="15"/>
      <c r="CB45" s="9"/>
      <c r="CC45" s="15"/>
      <c r="CD45" s="9"/>
      <c r="CE45" s="15"/>
      <c r="CF45" s="9"/>
      <c r="CG45" s="15"/>
      <c r="CH45" s="9"/>
      <c r="CI45" s="15"/>
      <c r="CJ45" s="9"/>
      <c r="CK45" s="15"/>
      <c r="CL45" s="9"/>
      <c r="CM45" s="15"/>
      <c r="CN45" s="9"/>
      <c r="CO45" s="15"/>
      <c r="CP45" s="9"/>
    </row>
    <row r="46" spans="1:94" x14ac:dyDescent="0.25">
      <c r="A46" s="41"/>
      <c r="B46" s="7"/>
      <c r="C46" s="26"/>
      <c r="D46" s="7"/>
      <c r="E46" s="26"/>
      <c r="F46" s="7"/>
      <c r="G46" s="26"/>
      <c r="H46" s="7"/>
      <c r="I46" s="26"/>
      <c r="J46" s="7"/>
      <c r="K46" s="26"/>
      <c r="L46" s="7"/>
      <c r="M46" s="26"/>
      <c r="N46" s="7"/>
      <c r="O46" s="26"/>
      <c r="P46" s="7"/>
      <c r="Q46" s="26"/>
      <c r="R46" s="7"/>
      <c r="S46" s="26"/>
      <c r="T46" s="7"/>
      <c r="U46" s="26"/>
      <c r="V46" s="7"/>
      <c r="W46" s="26"/>
      <c r="X46" s="7"/>
      <c r="Y46" s="26"/>
      <c r="Z46" s="7"/>
      <c r="AA46" s="26"/>
      <c r="AB46" s="7"/>
      <c r="AC46" s="26"/>
      <c r="AD46" s="7"/>
      <c r="AE46" s="26"/>
      <c r="AF46" s="7"/>
      <c r="AG46" s="26"/>
      <c r="AH46" s="7"/>
      <c r="AI46" s="26"/>
      <c r="AJ46" s="7"/>
      <c r="AK46" s="26"/>
      <c r="AL46" s="7"/>
      <c r="AM46" s="26"/>
      <c r="AN46" s="7"/>
      <c r="AO46" s="26"/>
      <c r="AP46" s="7"/>
      <c r="AQ46" s="26"/>
      <c r="AR46" s="7"/>
      <c r="AS46" s="26"/>
      <c r="AT46" s="7"/>
      <c r="AU46" s="26"/>
      <c r="AV46" s="7"/>
      <c r="AW46" s="26"/>
      <c r="AX46" s="7"/>
      <c r="AY46" s="26"/>
      <c r="AZ46" s="7"/>
      <c r="BA46" s="26"/>
      <c r="BB46" s="9"/>
      <c r="BC46" s="15"/>
      <c r="BD46" s="7"/>
      <c r="BE46" s="26"/>
      <c r="BF46" s="7"/>
      <c r="BG46" s="26"/>
      <c r="BH46" s="7"/>
      <c r="BI46" s="26"/>
      <c r="BJ46" s="9"/>
      <c r="BK46" s="15"/>
      <c r="BL46" s="9"/>
      <c r="BM46" s="15"/>
      <c r="BN46" s="9"/>
      <c r="BO46" s="15"/>
      <c r="BP46" s="9"/>
      <c r="BQ46" s="15"/>
      <c r="BR46" s="9"/>
      <c r="BS46" s="15"/>
      <c r="BT46" s="9"/>
      <c r="BU46" s="15"/>
      <c r="BV46" s="9"/>
      <c r="BW46" s="15"/>
      <c r="BX46" s="9"/>
      <c r="BY46" s="15"/>
      <c r="BZ46" s="9"/>
      <c r="CA46" s="15"/>
      <c r="CB46" s="9"/>
      <c r="CC46" s="15"/>
      <c r="CD46" s="9"/>
      <c r="CE46" s="15"/>
      <c r="CF46" s="9"/>
      <c r="CG46" s="15"/>
      <c r="CH46" s="9"/>
      <c r="CI46" s="15"/>
      <c r="CJ46" s="9"/>
      <c r="CK46" s="15"/>
      <c r="CL46" s="9"/>
      <c r="CM46" s="15"/>
      <c r="CN46" s="9"/>
      <c r="CO46" s="15"/>
      <c r="CP46" s="9"/>
    </row>
    <row r="47" spans="1:94" x14ac:dyDescent="0.25">
      <c r="A47" s="41"/>
      <c r="B47" s="7"/>
      <c r="C47" s="26"/>
      <c r="D47" s="7"/>
      <c r="E47" s="26"/>
      <c r="F47" s="7"/>
      <c r="G47" s="26"/>
      <c r="H47" s="7"/>
      <c r="I47" s="26"/>
      <c r="J47" s="7"/>
      <c r="K47" s="26"/>
      <c r="L47" s="7"/>
      <c r="M47" s="26"/>
      <c r="N47" s="7"/>
      <c r="O47" s="26"/>
      <c r="P47" s="7"/>
      <c r="Q47" s="26"/>
      <c r="R47" s="7"/>
      <c r="S47" s="26"/>
      <c r="T47" s="7"/>
      <c r="U47" s="26"/>
      <c r="V47" s="7"/>
      <c r="W47" s="26"/>
      <c r="X47" s="7"/>
      <c r="Y47" s="26"/>
      <c r="Z47" s="7"/>
      <c r="AA47" s="26"/>
      <c r="AB47" s="7"/>
      <c r="AC47" s="26"/>
      <c r="AD47" s="7"/>
      <c r="AE47" s="26"/>
      <c r="AF47" s="7"/>
      <c r="AG47" s="26"/>
      <c r="AH47" s="7"/>
      <c r="AI47" s="26"/>
      <c r="AJ47" s="7"/>
      <c r="AK47" s="26"/>
      <c r="AL47" s="7"/>
      <c r="AM47" s="26"/>
      <c r="AN47" s="7"/>
      <c r="AO47" s="26"/>
      <c r="AP47" s="7"/>
      <c r="AQ47" s="26"/>
      <c r="AR47" s="7"/>
      <c r="AS47" s="26"/>
      <c r="AT47" s="7"/>
      <c r="AU47" s="26"/>
      <c r="AV47" s="7"/>
      <c r="AW47" s="26"/>
      <c r="AX47" s="7"/>
      <c r="AY47" s="26"/>
      <c r="AZ47" s="7"/>
      <c r="BA47" s="26"/>
      <c r="BB47" s="9"/>
      <c r="BC47" s="15"/>
      <c r="BD47" s="7"/>
      <c r="BE47" s="26"/>
      <c r="BF47" s="7"/>
      <c r="BG47" s="26"/>
      <c r="BH47" s="7"/>
      <c r="BI47" s="26"/>
      <c r="BJ47" s="9"/>
      <c r="BK47" s="15"/>
      <c r="BL47" s="9"/>
      <c r="BM47" s="15"/>
      <c r="BN47" s="9"/>
      <c r="BO47" s="15"/>
      <c r="BP47" s="9"/>
      <c r="BQ47" s="15"/>
      <c r="BR47" s="9"/>
      <c r="BS47" s="15"/>
      <c r="BT47" s="9"/>
      <c r="BU47" s="15"/>
      <c r="BV47" s="9"/>
      <c r="BW47" s="15"/>
      <c r="BX47" s="9"/>
      <c r="BY47" s="15"/>
      <c r="BZ47" s="9"/>
      <c r="CA47" s="15"/>
      <c r="CB47" s="9"/>
      <c r="CC47" s="15"/>
      <c r="CD47" s="9"/>
      <c r="CE47" s="15"/>
      <c r="CF47" s="9"/>
      <c r="CG47" s="15"/>
      <c r="CH47" s="9"/>
      <c r="CI47" s="15"/>
      <c r="CJ47" s="9"/>
      <c r="CK47" s="15"/>
      <c r="CL47" s="9"/>
      <c r="CM47" s="15"/>
      <c r="CN47" s="9"/>
      <c r="CO47" s="15"/>
      <c r="CP47" s="9"/>
    </row>
    <row r="48" spans="1:94" x14ac:dyDescent="0.25">
      <c r="A48" s="41"/>
      <c r="B48" s="7"/>
      <c r="C48" s="26"/>
      <c r="D48" s="7"/>
      <c r="E48" s="26"/>
      <c r="F48" s="7"/>
      <c r="G48" s="26"/>
      <c r="H48" s="7"/>
      <c r="I48" s="26"/>
      <c r="J48" s="7"/>
      <c r="K48" s="26"/>
      <c r="L48" s="7"/>
      <c r="M48" s="26"/>
      <c r="N48" s="7"/>
      <c r="O48" s="26"/>
      <c r="P48" s="7"/>
      <c r="Q48" s="26"/>
      <c r="R48" s="7"/>
      <c r="S48" s="26"/>
      <c r="T48" s="7"/>
      <c r="U48" s="26"/>
      <c r="V48" s="7"/>
      <c r="W48" s="26"/>
      <c r="X48" s="7"/>
      <c r="Y48" s="26"/>
      <c r="Z48" s="7"/>
      <c r="AA48" s="26"/>
      <c r="AB48" s="7"/>
      <c r="AC48" s="26"/>
      <c r="AD48" s="7"/>
      <c r="AE48" s="26"/>
      <c r="AF48" s="7"/>
      <c r="AG48" s="26"/>
      <c r="AH48" s="7"/>
      <c r="AI48" s="26"/>
      <c r="AJ48" s="7"/>
      <c r="AK48" s="26"/>
      <c r="AL48" s="7"/>
      <c r="AM48" s="26"/>
      <c r="AN48" s="7"/>
      <c r="AO48" s="26"/>
      <c r="AP48" s="7"/>
      <c r="AQ48" s="26"/>
      <c r="AR48" s="7"/>
      <c r="AS48" s="26"/>
      <c r="AT48" s="7"/>
      <c r="AU48" s="26"/>
      <c r="AV48" s="7"/>
      <c r="AW48" s="26"/>
      <c r="AX48" s="7"/>
      <c r="AY48" s="26"/>
      <c r="AZ48" s="7"/>
      <c r="BA48" s="26"/>
      <c r="BB48" s="9"/>
      <c r="BC48" s="15"/>
      <c r="BD48" s="7"/>
      <c r="BE48" s="26"/>
      <c r="BF48" s="7"/>
      <c r="BG48" s="26"/>
      <c r="BH48" s="7"/>
      <c r="BI48" s="26"/>
      <c r="BJ48" s="9"/>
      <c r="BK48" s="15"/>
      <c r="BL48" s="9"/>
      <c r="BM48" s="15"/>
      <c r="BN48" s="9"/>
      <c r="BO48" s="15"/>
      <c r="BP48" s="9"/>
      <c r="BQ48" s="15"/>
      <c r="BR48" s="9"/>
      <c r="BS48" s="15"/>
      <c r="BT48" s="9"/>
      <c r="BU48" s="15"/>
      <c r="BV48" s="9"/>
      <c r="BW48" s="15"/>
      <c r="BX48" s="9"/>
      <c r="BY48" s="15"/>
      <c r="BZ48" s="9"/>
      <c r="CA48" s="15"/>
      <c r="CB48" s="9"/>
      <c r="CC48" s="15"/>
      <c r="CD48" s="9"/>
      <c r="CE48" s="15"/>
      <c r="CF48" s="9"/>
      <c r="CG48" s="15"/>
      <c r="CH48" s="9"/>
      <c r="CI48" s="15"/>
      <c r="CJ48" s="9"/>
      <c r="CK48" s="15"/>
      <c r="CL48" s="9"/>
      <c r="CM48" s="15"/>
      <c r="CN48" s="9"/>
      <c r="CO48" s="15"/>
      <c r="CP48" s="9"/>
    </row>
    <row r="49" spans="1:94" x14ac:dyDescent="0.25">
      <c r="A49" s="41"/>
      <c r="B49" s="7"/>
      <c r="C49" s="26"/>
      <c r="D49" s="7"/>
      <c r="E49" s="26"/>
      <c r="F49" s="7"/>
      <c r="G49" s="26"/>
      <c r="H49" s="7"/>
      <c r="I49" s="26"/>
      <c r="J49" s="7"/>
      <c r="K49" s="26"/>
      <c r="L49" s="7"/>
      <c r="M49" s="26"/>
      <c r="N49" s="7"/>
      <c r="O49" s="26"/>
      <c r="P49" s="7"/>
      <c r="Q49" s="26"/>
      <c r="R49" s="7"/>
      <c r="S49" s="26"/>
      <c r="T49" s="7"/>
      <c r="U49" s="26"/>
      <c r="V49" s="7"/>
      <c r="W49" s="26"/>
      <c r="X49" s="7"/>
      <c r="Y49" s="26"/>
      <c r="Z49" s="7"/>
      <c r="AA49" s="26"/>
      <c r="AB49" s="7"/>
      <c r="AC49" s="26"/>
      <c r="AD49" s="7"/>
      <c r="AE49" s="26"/>
      <c r="AF49" s="7"/>
      <c r="AG49" s="26"/>
      <c r="AH49" s="7"/>
      <c r="AI49" s="26"/>
      <c r="AJ49" s="7"/>
      <c r="AK49" s="26"/>
      <c r="AL49" s="7"/>
      <c r="AM49" s="26"/>
      <c r="AN49" s="7"/>
      <c r="AO49" s="26"/>
      <c r="AP49" s="7"/>
      <c r="AQ49" s="26"/>
      <c r="AR49" s="7"/>
      <c r="AS49" s="26"/>
      <c r="AT49" s="7"/>
      <c r="AU49" s="26"/>
      <c r="AV49" s="7"/>
      <c r="AW49" s="26"/>
      <c r="AX49" s="7"/>
      <c r="AY49" s="26"/>
      <c r="AZ49" s="7"/>
      <c r="BA49" s="26"/>
      <c r="BB49" s="9"/>
      <c r="BC49" s="15"/>
      <c r="BD49" s="7"/>
      <c r="BE49" s="26"/>
      <c r="BF49" s="7"/>
      <c r="BG49" s="26"/>
      <c r="BH49" s="7"/>
      <c r="BI49" s="26"/>
      <c r="BJ49" s="9"/>
      <c r="BK49" s="15"/>
      <c r="BL49" s="9"/>
      <c r="BM49" s="15"/>
      <c r="BN49" s="9"/>
      <c r="BO49" s="15"/>
      <c r="BP49" s="9"/>
      <c r="BQ49" s="15"/>
      <c r="BR49" s="9"/>
      <c r="BS49" s="15"/>
      <c r="BT49" s="9"/>
      <c r="BU49" s="15"/>
      <c r="BV49" s="9"/>
      <c r="BW49" s="15"/>
      <c r="BX49" s="9"/>
      <c r="BY49" s="15"/>
      <c r="BZ49" s="9"/>
      <c r="CA49" s="15"/>
      <c r="CB49" s="9"/>
      <c r="CC49" s="15"/>
      <c r="CD49" s="9"/>
      <c r="CE49" s="15"/>
      <c r="CF49" s="9"/>
      <c r="CG49" s="15"/>
      <c r="CH49" s="9"/>
      <c r="CI49" s="15"/>
      <c r="CJ49" s="9"/>
      <c r="CK49" s="15"/>
      <c r="CL49" s="9"/>
      <c r="CM49" s="15"/>
      <c r="CN49" s="9"/>
      <c r="CO49" s="15"/>
      <c r="CP49" s="9"/>
    </row>
    <row r="50" spans="1:94" x14ac:dyDescent="0.25">
      <c r="A50" s="41"/>
      <c r="B50" s="7"/>
      <c r="C50" s="26"/>
      <c r="D50" s="7"/>
      <c r="E50" s="26"/>
      <c r="F50" s="7"/>
      <c r="G50" s="26"/>
      <c r="H50" s="7"/>
      <c r="I50" s="26"/>
      <c r="J50" s="7"/>
      <c r="K50" s="26"/>
      <c r="L50" s="7"/>
      <c r="M50" s="26"/>
      <c r="N50" s="7"/>
      <c r="O50" s="26"/>
      <c r="P50" s="7"/>
      <c r="Q50" s="26"/>
      <c r="R50" s="7"/>
      <c r="S50" s="26"/>
      <c r="T50" s="7"/>
      <c r="U50" s="26"/>
      <c r="V50" s="7"/>
      <c r="W50" s="26"/>
      <c r="X50" s="7"/>
      <c r="Y50" s="26"/>
      <c r="Z50" s="7"/>
      <c r="AA50" s="26"/>
      <c r="AB50" s="7"/>
      <c r="AC50" s="26"/>
      <c r="AD50" s="7"/>
      <c r="AE50" s="26"/>
      <c r="AF50" s="7"/>
      <c r="AG50" s="26"/>
      <c r="AH50" s="7"/>
      <c r="AI50" s="26"/>
      <c r="AJ50" s="7"/>
      <c r="AK50" s="26"/>
      <c r="AL50" s="7"/>
      <c r="AM50" s="26"/>
      <c r="AN50" s="7"/>
      <c r="AO50" s="26"/>
      <c r="AP50" s="7"/>
      <c r="AQ50" s="26"/>
      <c r="AR50" s="7"/>
      <c r="AS50" s="26"/>
      <c r="AT50" s="7"/>
      <c r="AU50" s="26"/>
      <c r="AV50" s="7"/>
      <c r="AW50" s="26"/>
      <c r="AX50" s="7"/>
      <c r="AY50" s="26"/>
      <c r="AZ50" s="7"/>
      <c r="BA50" s="26"/>
      <c r="BB50" s="9"/>
      <c r="BC50" s="15"/>
      <c r="BD50" s="7"/>
      <c r="BE50" s="26"/>
      <c r="BF50" s="7"/>
      <c r="BG50" s="26"/>
      <c r="BH50" s="7"/>
      <c r="BI50" s="26"/>
      <c r="BJ50" s="9"/>
      <c r="BK50" s="15"/>
      <c r="BL50" s="9"/>
      <c r="BM50" s="15"/>
      <c r="BN50" s="9"/>
      <c r="BO50" s="15"/>
      <c r="BP50" s="9"/>
      <c r="BQ50" s="15"/>
      <c r="BR50" s="9"/>
      <c r="BS50" s="15"/>
      <c r="BT50" s="9"/>
      <c r="BU50" s="15"/>
      <c r="BV50" s="9"/>
      <c r="BW50" s="15"/>
      <c r="BX50" s="9"/>
      <c r="BY50" s="15"/>
      <c r="BZ50" s="9"/>
      <c r="CA50" s="15"/>
      <c r="CB50" s="9"/>
      <c r="CC50" s="15"/>
      <c r="CD50" s="9"/>
      <c r="CE50" s="15"/>
      <c r="CF50" s="9"/>
      <c r="CG50" s="15"/>
      <c r="CH50" s="9"/>
      <c r="CI50" s="15"/>
      <c r="CJ50" s="9"/>
      <c r="CK50" s="15"/>
      <c r="CL50" s="9"/>
      <c r="CM50" s="15"/>
      <c r="CN50" s="9"/>
      <c r="CO50" s="15"/>
      <c r="CP50" s="9"/>
    </row>
    <row r="51" spans="1:94" x14ac:dyDescent="0.25">
      <c r="A51" s="39" t="s">
        <v>1</v>
      </c>
      <c r="B51" s="7">
        <f>+B3+B4</f>
        <v>74661.39</v>
      </c>
      <c r="C51" s="26"/>
      <c r="D51" s="7">
        <f>+D3+D4</f>
        <v>121985.41</v>
      </c>
      <c r="E51" s="26"/>
      <c r="F51" s="7">
        <f>+F3+F4</f>
        <v>252520.19</v>
      </c>
      <c r="G51" s="26"/>
      <c r="H51" s="7">
        <f>+H3+H4</f>
        <v>24966.77</v>
      </c>
      <c r="I51" s="26"/>
      <c r="J51" s="7">
        <f>+J3+J4</f>
        <v>292365.80000000005</v>
      </c>
      <c r="K51" s="26"/>
      <c r="L51" s="7">
        <f>+L3+L4</f>
        <v>141430.99</v>
      </c>
      <c r="M51" s="26"/>
      <c r="N51" s="7">
        <f>+N3+N4</f>
        <v>113475.7</v>
      </c>
      <c r="O51" s="26"/>
      <c r="P51" s="7">
        <f>+P3+P4</f>
        <v>17891.169999999998</v>
      </c>
      <c r="Q51" s="26"/>
      <c r="R51" s="7">
        <f>+R3+R4</f>
        <v>0</v>
      </c>
      <c r="S51" s="26"/>
      <c r="T51" s="7">
        <f>+T3+T4</f>
        <v>29474.39</v>
      </c>
      <c r="U51" s="26"/>
      <c r="V51" s="7">
        <f>+V3+V4</f>
        <v>397355.42</v>
      </c>
      <c r="W51" s="26"/>
      <c r="X51" s="7">
        <f>+X3+X4</f>
        <v>48914.400000000001</v>
      </c>
      <c r="Y51" s="26"/>
      <c r="Z51" s="7">
        <f>+Z3+Z4</f>
        <v>91358.38</v>
      </c>
      <c r="AA51" s="26"/>
      <c r="AB51" s="7">
        <f>+AB3+AB4</f>
        <v>27819.809999999998</v>
      </c>
      <c r="AC51" s="26"/>
      <c r="AD51" s="7">
        <f>+AD3+AD4</f>
        <v>6000</v>
      </c>
      <c r="AE51" s="26"/>
      <c r="AF51" s="7">
        <f>+AF3+AF4</f>
        <v>39734.07</v>
      </c>
      <c r="AG51" s="26"/>
      <c r="AH51" s="7">
        <f>+AH3+AH4</f>
        <v>53645.799999999996</v>
      </c>
      <c r="AI51" s="26"/>
      <c r="AJ51" s="7">
        <f>+AJ3+AJ4</f>
        <v>183102.48</v>
      </c>
      <c r="AK51" s="26"/>
      <c r="AL51" s="7">
        <f>+AL3+AL4</f>
        <v>53218.509999999995</v>
      </c>
      <c r="AM51" s="26"/>
      <c r="AN51" s="7">
        <f>+AN3+AN4</f>
        <v>152640.58000000002</v>
      </c>
      <c r="AO51" s="26"/>
      <c r="AP51" s="7">
        <f>+AP3+AP4</f>
        <v>69155.520000000004</v>
      </c>
      <c r="AQ51" s="26"/>
      <c r="AR51" s="7">
        <f>+AR3+AR4</f>
        <v>10000</v>
      </c>
      <c r="AS51" s="26"/>
      <c r="AT51" s="7">
        <f>+AT3+AT4</f>
        <v>263642.13</v>
      </c>
      <c r="AU51" s="26"/>
      <c r="AV51" s="7">
        <f>+AV3+AV4</f>
        <v>63329.299999999996</v>
      </c>
      <c r="AW51" s="26"/>
      <c r="AX51" s="7">
        <f>+AX3+AX4</f>
        <v>25576.080000000002</v>
      </c>
      <c r="AY51" s="26"/>
      <c r="AZ51" s="7">
        <f>+AZ3+AZ4</f>
        <v>254428.12000000002</v>
      </c>
      <c r="BA51" s="26"/>
      <c r="BB51" s="7">
        <f>+BB3+BB4</f>
        <v>344773.56</v>
      </c>
      <c r="BC51" s="15"/>
      <c r="BD51" s="7">
        <f>+BD3+BD4</f>
        <v>37796.339999999997</v>
      </c>
      <c r="BE51" s="26"/>
      <c r="BF51" s="7"/>
      <c r="BG51" s="26"/>
      <c r="BH51" s="7"/>
      <c r="BI51" s="26"/>
      <c r="BJ51" s="9"/>
      <c r="BK51" s="15"/>
      <c r="BL51" s="9"/>
      <c r="BM51" s="15"/>
      <c r="BN51" s="9"/>
      <c r="BO51" s="15"/>
      <c r="BP51" s="9"/>
      <c r="BQ51" s="15"/>
      <c r="BR51" s="9"/>
      <c r="BS51" s="15"/>
      <c r="BT51" s="9"/>
      <c r="BU51" s="15"/>
      <c r="BV51" s="9"/>
      <c r="BW51" s="15"/>
      <c r="BX51" s="9"/>
      <c r="BY51" s="15"/>
      <c r="BZ51" s="9"/>
      <c r="CA51" s="15"/>
      <c r="CB51" s="9"/>
      <c r="CC51" s="15"/>
      <c r="CD51" s="9"/>
      <c r="CE51" s="15"/>
      <c r="CF51" s="66"/>
      <c r="CG51" s="60"/>
      <c r="CH51" s="66"/>
      <c r="CI51" s="60"/>
      <c r="CJ51" s="66"/>
      <c r="CK51" s="60"/>
      <c r="CL51" s="66"/>
      <c r="CM51" s="60"/>
      <c r="CN51" s="66"/>
      <c r="CO51" s="60"/>
      <c r="CP51" s="66"/>
    </row>
    <row r="52" spans="1:94" x14ac:dyDescent="0.25">
      <c r="A52" s="39" t="s">
        <v>2</v>
      </c>
      <c r="B52" s="26">
        <f>+SUM(B5:B48)</f>
        <v>74661.56</v>
      </c>
      <c r="C52" s="26"/>
      <c r="D52" s="26">
        <f>+SUM(D5:D48)</f>
        <v>121985.41</v>
      </c>
      <c r="E52" s="26"/>
      <c r="F52" s="26">
        <f>+SUM(F5:F48)</f>
        <v>252520.19</v>
      </c>
      <c r="G52" s="26"/>
      <c r="H52" s="26">
        <f>+SUM(H5:H48)</f>
        <v>24966.769999999997</v>
      </c>
      <c r="I52" s="26"/>
      <c r="J52" s="26">
        <f>+SUM(J5:J48)</f>
        <v>292365.80000000005</v>
      </c>
      <c r="K52" s="26"/>
      <c r="L52" s="26">
        <f>+SUM(L5:L48)</f>
        <v>141431.74</v>
      </c>
      <c r="M52" s="26"/>
      <c r="N52" s="26">
        <f>+SUM(N5:N48)</f>
        <v>112982.11000000002</v>
      </c>
      <c r="O52" s="26"/>
      <c r="P52" s="26">
        <f>+SUM(P5:P48)</f>
        <v>17901.150000000001</v>
      </c>
      <c r="Q52" s="26"/>
      <c r="R52" s="26">
        <f>+SUM(R5:R48)</f>
        <v>0</v>
      </c>
      <c r="S52" s="26"/>
      <c r="T52" s="26">
        <f>+SUM(T5:T48)</f>
        <v>30474.479999999996</v>
      </c>
      <c r="U52" s="26"/>
      <c r="V52" s="26">
        <f>+SUM(V5:V48)</f>
        <v>397355.42</v>
      </c>
      <c r="W52" s="26"/>
      <c r="X52" s="26">
        <f>+SUM(X5:X48)</f>
        <v>48914.400000000001</v>
      </c>
      <c r="Y52" s="26"/>
      <c r="Z52" s="26">
        <f>+SUM(Z5:Z48)</f>
        <v>91358.38</v>
      </c>
      <c r="AA52" s="26"/>
      <c r="AB52" s="26">
        <f>+SUM(AB5:AB48)</f>
        <v>27819.840000000004</v>
      </c>
      <c r="AC52" s="26"/>
      <c r="AD52" s="26">
        <f>+SUM(AD5:AD48)</f>
        <v>6000</v>
      </c>
      <c r="AE52" s="26"/>
      <c r="AF52" s="26">
        <f>+SUM(AF5:AF48)</f>
        <v>39735.07</v>
      </c>
      <c r="AG52" s="26"/>
      <c r="AH52" s="26">
        <f>+SUM(AH5:AH48)</f>
        <v>53645.7</v>
      </c>
      <c r="AI52" s="26"/>
      <c r="AJ52" s="26">
        <f>+SUM(AJ5:AJ48)</f>
        <v>183102.48</v>
      </c>
      <c r="AK52" s="26"/>
      <c r="AL52" s="26">
        <f>+SUM(AL5:AL48)</f>
        <v>53218.51</v>
      </c>
      <c r="AM52" s="26"/>
      <c r="AN52" s="26">
        <f>+SUM(AN5:AN48)</f>
        <v>152640.57999999999</v>
      </c>
      <c r="AO52" s="26"/>
      <c r="AP52" s="26">
        <f>+SUM(AP5:AP48)</f>
        <v>69155.520000000004</v>
      </c>
      <c r="AQ52" s="26"/>
      <c r="AR52" s="26">
        <f>+SUM(AR5:AR48)</f>
        <v>10000</v>
      </c>
      <c r="AS52" s="26"/>
      <c r="AT52" s="26">
        <f>+SUM(AT5:AT48)</f>
        <v>263642.13</v>
      </c>
      <c r="AU52" s="26"/>
      <c r="AV52" s="26">
        <f>+SUM(AV5:AV48)</f>
        <v>63329.30000000001</v>
      </c>
      <c r="AW52" s="26"/>
      <c r="AX52" s="26">
        <f>+SUM(AX5:AX48)</f>
        <v>25575.579999999994</v>
      </c>
      <c r="AY52" s="26"/>
      <c r="AZ52" s="26">
        <f>+SUM(AZ5:AZ48)</f>
        <v>254428.12000000005</v>
      </c>
      <c r="BA52" s="26"/>
      <c r="BB52" s="26">
        <f>+SUM(BB5:BB48)</f>
        <v>344773.56000000006</v>
      </c>
      <c r="BC52" s="15"/>
      <c r="BD52" s="26">
        <f>+SUM(BD5:BD48)</f>
        <v>37796.339999999997</v>
      </c>
      <c r="BE52" s="26"/>
      <c r="BF52" s="26"/>
      <c r="BG52" s="26"/>
      <c r="BH52" s="26"/>
      <c r="BI52" s="26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</row>
    <row r="53" spans="1:94" x14ac:dyDescent="0.25">
      <c r="A53" s="39" t="s">
        <v>3</v>
      </c>
      <c r="B53" s="117">
        <f>+B51-B52</f>
        <v>-0.16999999999825377</v>
      </c>
      <c r="C53" s="117"/>
      <c r="D53" s="117">
        <f>+D51-D52</f>
        <v>0</v>
      </c>
      <c r="E53" s="117"/>
      <c r="F53" s="117">
        <f>+F51-F52</f>
        <v>0</v>
      </c>
      <c r="G53" s="117"/>
      <c r="H53" s="117">
        <f>+H51-H52</f>
        <v>0</v>
      </c>
      <c r="I53" s="117"/>
      <c r="J53" s="117">
        <f>+J51-J52</f>
        <v>0</v>
      </c>
      <c r="K53" s="117"/>
      <c r="L53" s="117">
        <f>+L51-L52</f>
        <v>-0.75</v>
      </c>
      <c r="M53" s="117"/>
      <c r="N53" s="117">
        <f>+N51-N52</f>
        <v>493.58999999998196</v>
      </c>
      <c r="O53" s="117"/>
      <c r="P53" s="117">
        <f>+P51-P52</f>
        <v>-9.9800000000032014</v>
      </c>
      <c r="Q53" s="117"/>
      <c r="R53" s="117">
        <f>+R51-R52</f>
        <v>0</v>
      </c>
      <c r="S53" s="117"/>
      <c r="T53" s="117">
        <f>+T51-T52</f>
        <v>-1000.0899999999965</v>
      </c>
      <c r="U53" s="117"/>
      <c r="V53" s="117">
        <f>+V51-V52</f>
        <v>0</v>
      </c>
      <c r="W53" s="117"/>
      <c r="X53" s="117">
        <f>+X51-X52</f>
        <v>0</v>
      </c>
      <c r="Y53" s="117"/>
      <c r="Z53" s="117">
        <f>+Z51-Z52</f>
        <v>0</v>
      </c>
      <c r="AA53" s="117"/>
      <c r="AB53" s="117">
        <f>+AB51-AB52</f>
        <v>-3.0000000006111804E-2</v>
      </c>
      <c r="AC53" s="117"/>
      <c r="AD53" s="117">
        <f>+AD51-AD52</f>
        <v>0</v>
      </c>
      <c r="AE53" s="117"/>
      <c r="AF53" s="117">
        <f>+AF51-AF52</f>
        <v>-1</v>
      </c>
      <c r="AG53" s="117"/>
      <c r="AH53" s="117">
        <f>+AH51-AH52</f>
        <v>9.9999999998544808E-2</v>
      </c>
      <c r="AI53" s="117"/>
      <c r="AJ53" s="117">
        <f>+AJ51-AJ52</f>
        <v>0</v>
      </c>
      <c r="AK53" s="117"/>
      <c r="AL53" s="117">
        <f>+AL51-AL52</f>
        <v>0</v>
      </c>
      <c r="AM53" s="117"/>
      <c r="AN53" s="117">
        <f>+AN51-AN52</f>
        <v>0</v>
      </c>
      <c r="AO53" s="117"/>
      <c r="AP53" s="117">
        <f>+AP51-AP52</f>
        <v>0</v>
      </c>
      <c r="AQ53" s="117"/>
      <c r="AR53" s="117">
        <f>+AR51-AR52</f>
        <v>0</v>
      </c>
      <c r="AS53" s="117"/>
      <c r="AT53" s="117">
        <f>+AT51-AT52</f>
        <v>0</v>
      </c>
      <c r="AU53" s="117"/>
      <c r="AV53" s="117">
        <f>+AV51-AV52</f>
        <v>0</v>
      </c>
      <c r="AW53" s="117"/>
      <c r="AX53" s="117">
        <f>+AX51-AX52</f>
        <v>0.50000000000727596</v>
      </c>
      <c r="AY53" s="117"/>
      <c r="AZ53" s="117">
        <f>+AZ51-AZ52</f>
        <v>0</v>
      </c>
      <c r="BA53" s="117"/>
      <c r="BB53" s="117">
        <f>+BB51-BB52</f>
        <v>0</v>
      </c>
      <c r="BC53" s="134"/>
      <c r="BD53" s="117">
        <f>+BD51-BD52</f>
        <v>0</v>
      </c>
      <c r="BE53" s="117"/>
      <c r="BF53" s="117"/>
      <c r="BG53" s="117"/>
      <c r="BH53" s="117"/>
      <c r="BI53" s="117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</row>
    <row r="54" spans="1:94" x14ac:dyDescent="0.25">
      <c r="A54" s="48"/>
      <c r="B54" s="18"/>
      <c r="C54" s="59"/>
      <c r="D54" s="18"/>
      <c r="E54" s="59"/>
      <c r="F54" s="18"/>
      <c r="G54" s="59"/>
      <c r="H54" s="18"/>
      <c r="I54" s="59"/>
      <c r="J54" s="18"/>
      <c r="K54" s="59"/>
      <c r="L54" s="18"/>
      <c r="M54" s="59"/>
      <c r="N54" s="18"/>
      <c r="O54" s="59"/>
      <c r="P54" s="18"/>
      <c r="Q54" s="59"/>
      <c r="R54" s="18"/>
      <c r="S54" s="59"/>
      <c r="T54" s="18"/>
      <c r="U54" s="59"/>
      <c r="V54" s="18"/>
      <c r="W54" s="59"/>
      <c r="X54" s="18"/>
      <c r="Y54" s="59"/>
      <c r="Z54" s="18"/>
      <c r="AA54" s="59"/>
      <c r="AB54" s="18"/>
      <c r="AC54" s="59"/>
      <c r="AD54" s="18"/>
      <c r="AE54" s="59"/>
      <c r="AF54" s="18"/>
      <c r="AG54" s="59"/>
      <c r="AH54" s="18"/>
      <c r="AI54" s="59"/>
      <c r="AJ54" s="117"/>
      <c r="AK54" s="59"/>
      <c r="AL54" s="18"/>
      <c r="AM54" s="59"/>
      <c r="AN54" s="18"/>
      <c r="AO54" s="59"/>
      <c r="AP54" s="18"/>
      <c r="AQ54" s="59"/>
      <c r="AR54" s="18"/>
      <c r="AS54" s="59"/>
      <c r="AT54" s="18"/>
      <c r="AU54" s="59"/>
      <c r="AV54" s="18"/>
      <c r="AW54" s="59"/>
      <c r="AX54" s="18"/>
      <c r="AY54" s="59"/>
      <c r="AZ54" s="18"/>
      <c r="BA54" s="59"/>
      <c r="BB54" s="18"/>
      <c r="BC54" s="25"/>
      <c r="BD54" s="18"/>
      <c r="BE54" s="59"/>
      <c r="BF54" s="18"/>
      <c r="BG54" s="59"/>
      <c r="BH54" s="18"/>
      <c r="BI54" s="59"/>
      <c r="BJ54" s="75"/>
      <c r="BK54" s="25"/>
      <c r="BL54" s="75"/>
      <c r="BM54" s="25"/>
      <c r="BN54" s="75"/>
      <c r="BO54" s="25"/>
      <c r="BP54" s="75"/>
      <c r="BQ54" s="25"/>
      <c r="BR54" s="75"/>
      <c r="BS54" s="25"/>
      <c r="BT54" s="75"/>
      <c r="BU54" s="25"/>
      <c r="BV54" s="75"/>
      <c r="BW54" s="25"/>
      <c r="BX54" s="75"/>
      <c r="BY54" s="25"/>
      <c r="BZ54" s="75"/>
      <c r="CA54" s="25"/>
      <c r="CB54" s="75"/>
      <c r="CC54" s="25"/>
      <c r="CD54" s="75"/>
      <c r="CE54" s="25"/>
      <c r="CF54" s="76"/>
      <c r="CG54" s="234"/>
      <c r="CH54" s="76"/>
      <c r="CI54" s="234"/>
      <c r="CJ54" s="76"/>
      <c r="CK54" s="234"/>
      <c r="CL54" s="76"/>
      <c r="CM54" s="234"/>
      <c r="CN54" s="76"/>
      <c r="CO54" s="234"/>
      <c r="CP54" s="76"/>
    </row>
    <row r="55" spans="1:94" x14ac:dyDescent="0.25">
      <c r="A55" s="48"/>
      <c r="B55" s="163"/>
      <c r="C55" s="59"/>
      <c r="D55" s="163"/>
      <c r="E55" s="59"/>
      <c r="F55" s="163"/>
      <c r="G55" s="59"/>
      <c r="H55" s="163"/>
      <c r="I55" s="59"/>
      <c r="J55" s="163"/>
      <c r="K55" s="59"/>
      <c r="L55" s="163"/>
      <c r="M55" s="59"/>
      <c r="N55" s="163"/>
      <c r="O55" s="59"/>
      <c r="P55" s="163"/>
      <c r="Q55" s="59"/>
      <c r="R55" s="18"/>
      <c r="S55" s="59"/>
      <c r="T55" s="141"/>
      <c r="U55" s="59"/>
      <c r="V55" s="141"/>
      <c r="W55" s="59"/>
      <c r="X55" s="141"/>
      <c r="Y55" s="59"/>
      <c r="Z55" s="163"/>
      <c r="AA55" s="59"/>
      <c r="AB55" s="18"/>
      <c r="AC55" s="59"/>
      <c r="AD55" s="18"/>
      <c r="AE55" s="59"/>
      <c r="AF55" s="18"/>
      <c r="AG55" s="59"/>
      <c r="AH55" s="18"/>
      <c r="AI55" s="59"/>
      <c r="AJ55" s="18"/>
      <c r="AK55" s="59"/>
      <c r="AL55" s="18"/>
      <c r="AM55" s="59"/>
      <c r="AN55" s="18"/>
      <c r="AO55" s="59"/>
      <c r="AP55" s="18"/>
      <c r="AQ55" s="59"/>
      <c r="AR55" s="18"/>
      <c r="AS55" s="59"/>
      <c r="AT55" s="18"/>
      <c r="AU55" s="59"/>
      <c r="AV55" s="18"/>
      <c r="AW55" s="59"/>
      <c r="AX55" s="18"/>
      <c r="AY55" s="59"/>
      <c r="AZ55" s="18"/>
      <c r="BA55" s="59"/>
      <c r="BB55" s="75"/>
      <c r="BC55" s="25"/>
      <c r="BD55" s="18"/>
      <c r="BE55" s="59"/>
      <c r="BF55" s="18"/>
      <c r="BG55" s="59"/>
      <c r="BH55" s="18"/>
      <c r="BI55" s="59"/>
      <c r="BJ55" s="75"/>
      <c r="BK55" s="25"/>
      <c r="BL55" s="75"/>
      <c r="BM55" s="25"/>
      <c r="BN55" s="75"/>
      <c r="BO55" s="25"/>
      <c r="BP55" s="75"/>
      <c r="BQ55" s="25"/>
      <c r="BR55" s="75"/>
      <c r="BS55" s="25"/>
      <c r="BT55" s="75"/>
      <c r="BU55" s="25"/>
      <c r="BV55" s="75"/>
      <c r="BW55" s="25"/>
      <c r="BX55" s="75"/>
      <c r="BY55" s="25"/>
      <c r="BZ55" s="75"/>
      <c r="CA55" s="25"/>
      <c r="CB55" s="75"/>
      <c r="CC55" s="25"/>
      <c r="CD55" s="75"/>
      <c r="CE55" s="25"/>
      <c r="CF55" s="76"/>
      <c r="CG55" s="234"/>
      <c r="CH55" s="76"/>
      <c r="CI55" s="234"/>
      <c r="CJ55" s="76"/>
      <c r="CK55" s="234"/>
      <c r="CL55" s="76"/>
      <c r="CM55" s="234"/>
      <c r="CN55" s="76"/>
      <c r="CO55" s="234"/>
      <c r="CP55" s="76"/>
    </row>
    <row r="56" spans="1:94" x14ac:dyDescent="0.25">
      <c r="A56" s="43"/>
      <c r="B56" s="10"/>
      <c r="C56" s="12"/>
      <c r="D56" s="10"/>
      <c r="E56" s="12"/>
      <c r="F56" s="10"/>
      <c r="G56" s="12"/>
      <c r="H56" s="10"/>
      <c r="I56" s="12"/>
      <c r="J56" s="10"/>
      <c r="K56" s="12"/>
      <c r="L56" s="10"/>
      <c r="M56" s="12"/>
      <c r="N56" s="10"/>
      <c r="O56" s="12"/>
      <c r="P56" s="10"/>
      <c r="Q56" s="12"/>
      <c r="R56" s="10"/>
      <c r="S56" s="12"/>
      <c r="T56" s="10"/>
      <c r="U56" s="12"/>
      <c r="V56" s="10"/>
      <c r="W56" s="12"/>
      <c r="X56" s="10"/>
      <c r="Y56" s="12"/>
      <c r="Z56" s="10"/>
      <c r="AA56" s="12"/>
      <c r="AB56" s="10"/>
      <c r="AC56" s="12"/>
      <c r="AD56" s="10"/>
      <c r="AE56" s="12"/>
      <c r="AF56" s="10"/>
      <c r="AG56" s="12"/>
      <c r="AH56" s="10"/>
      <c r="AI56" s="12"/>
      <c r="AJ56" s="10"/>
      <c r="AK56" s="12"/>
      <c r="AL56" s="10"/>
      <c r="AM56" s="12"/>
      <c r="AN56" s="10"/>
      <c r="AO56" s="12"/>
      <c r="AP56" s="10"/>
      <c r="AQ56" s="12"/>
      <c r="AR56" s="10"/>
      <c r="AS56" s="12"/>
      <c r="AT56" s="10"/>
      <c r="AU56" s="12"/>
      <c r="AV56" s="10"/>
      <c r="AW56" s="12"/>
      <c r="AX56" s="10"/>
      <c r="AY56" s="12"/>
      <c r="AZ56" s="10"/>
      <c r="BA56" s="12"/>
      <c r="BB56" s="11"/>
      <c r="BC56" s="13"/>
      <c r="BD56" s="10"/>
      <c r="BE56" s="12"/>
      <c r="BF56" s="10"/>
      <c r="BG56" s="12"/>
      <c r="BH56" s="10"/>
      <c r="BI56" s="12"/>
      <c r="BJ56" s="11"/>
      <c r="BK56" s="13"/>
      <c r="BL56" s="11"/>
      <c r="BM56" s="13"/>
      <c r="BN56" s="11"/>
      <c r="BO56" s="13"/>
      <c r="BP56" s="11"/>
      <c r="BQ56" s="13"/>
      <c r="BR56" s="11"/>
      <c r="BS56" s="13"/>
      <c r="BT56" s="11"/>
      <c r="BU56" s="13"/>
      <c r="BV56" s="11"/>
      <c r="BW56" s="13"/>
      <c r="BX56" s="11"/>
      <c r="BY56" s="13"/>
      <c r="BZ56" s="11"/>
      <c r="CA56" s="13"/>
      <c r="CB56" s="11"/>
      <c r="CC56" s="13"/>
      <c r="CD56" s="11"/>
      <c r="CE56" s="13"/>
      <c r="CF56" s="11"/>
      <c r="CG56" s="13"/>
      <c r="CH56" s="11"/>
      <c r="CI56" s="13"/>
      <c r="CJ56" s="11"/>
      <c r="CK56" s="13"/>
      <c r="CL56" s="11"/>
      <c r="CM56" s="13"/>
      <c r="CN56" s="11"/>
      <c r="CO56" s="13"/>
      <c r="CP56" s="11"/>
    </row>
    <row r="57" spans="1:94" x14ac:dyDescent="0.25">
      <c r="A57" s="40" t="s">
        <v>4</v>
      </c>
      <c r="B57" s="20">
        <v>42979</v>
      </c>
      <c r="C57" s="20"/>
      <c r="D57" s="20">
        <v>42980</v>
      </c>
      <c r="E57" s="20"/>
      <c r="F57" s="20">
        <v>42982</v>
      </c>
      <c r="G57" s="20"/>
      <c r="H57" s="20">
        <v>42983</v>
      </c>
      <c r="I57" s="20"/>
      <c r="J57" s="20">
        <v>42984</v>
      </c>
      <c r="K57" s="20"/>
      <c r="L57" s="20">
        <v>42985</v>
      </c>
      <c r="M57" s="20"/>
      <c r="N57" s="20">
        <v>42986</v>
      </c>
      <c r="O57" s="20"/>
      <c r="P57" s="20">
        <v>42956</v>
      </c>
      <c r="Q57" s="20"/>
      <c r="R57" s="20">
        <v>42988</v>
      </c>
      <c r="S57" s="20"/>
      <c r="T57" s="20">
        <v>42989</v>
      </c>
      <c r="U57" s="20"/>
      <c r="V57" s="20">
        <v>42990</v>
      </c>
      <c r="W57" s="20"/>
      <c r="X57" s="20">
        <v>42991</v>
      </c>
      <c r="Y57" s="20"/>
      <c r="Z57" s="20">
        <v>42992</v>
      </c>
      <c r="AA57" s="20"/>
      <c r="AB57" s="20">
        <v>42993</v>
      </c>
      <c r="AC57" s="20"/>
      <c r="AD57" s="20">
        <v>42994</v>
      </c>
      <c r="AE57" s="20"/>
      <c r="AF57" s="20">
        <v>42996</v>
      </c>
      <c r="AG57" s="20"/>
      <c r="AH57" s="20">
        <v>42997</v>
      </c>
      <c r="AI57" s="20"/>
      <c r="AJ57" s="20">
        <v>42998</v>
      </c>
      <c r="AK57" s="20"/>
      <c r="AL57" s="20">
        <v>42999</v>
      </c>
      <c r="AM57" s="20"/>
      <c r="AN57" s="20">
        <v>43000</v>
      </c>
      <c r="AO57" s="20"/>
      <c r="AP57" s="20">
        <v>43001</v>
      </c>
      <c r="AQ57" s="20"/>
      <c r="AR57" s="20">
        <v>43002</v>
      </c>
      <c r="AS57" s="20"/>
      <c r="AT57" s="20">
        <v>43003</v>
      </c>
      <c r="AU57" s="20"/>
      <c r="AV57" s="20">
        <v>43004</v>
      </c>
      <c r="AW57" s="20"/>
      <c r="AX57" s="20">
        <v>43005</v>
      </c>
      <c r="AY57" s="20"/>
      <c r="AZ57" s="20">
        <v>43006</v>
      </c>
      <c r="BA57" s="20"/>
      <c r="BB57" s="20">
        <v>43007</v>
      </c>
      <c r="BC57" s="20"/>
      <c r="BD57" s="20">
        <v>43008</v>
      </c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</row>
    <row r="58" spans="1:94" x14ac:dyDescent="0.25">
      <c r="A58" s="49"/>
      <c r="B58" s="19"/>
      <c r="C58" s="21"/>
      <c r="D58" s="19"/>
      <c r="E58" s="21"/>
      <c r="F58" s="19"/>
      <c r="G58" s="21"/>
      <c r="H58" s="68"/>
      <c r="I58" s="21"/>
      <c r="J58" s="19"/>
      <c r="K58" s="21"/>
      <c r="L58" s="19"/>
      <c r="M58" s="21"/>
      <c r="N58" s="19"/>
      <c r="O58" s="21"/>
      <c r="P58" s="19"/>
      <c r="Q58" s="21"/>
      <c r="R58" s="19"/>
      <c r="S58" s="21"/>
      <c r="T58" s="19"/>
      <c r="U58" s="21"/>
      <c r="V58" s="19"/>
      <c r="W58" s="21"/>
      <c r="X58" s="68"/>
      <c r="Y58" s="21"/>
      <c r="Z58" s="68"/>
      <c r="AA58" s="21"/>
      <c r="AB58" s="19"/>
      <c r="AC58" s="21"/>
      <c r="AD58" s="19"/>
      <c r="AE58" s="21"/>
      <c r="AF58" s="19"/>
      <c r="AG58" s="21"/>
      <c r="AH58" s="19"/>
      <c r="AI58" s="21"/>
      <c r="AJ58" s="19"/>
      <c r="AK58" s="21"/>
      <c r="AL58" s="19"/>
      <c r="AM58" s="21"/>
      <c r="AN58" s="19"/>
      <c r="AO58" s="21"/>
      <c r="AP58" s="19"/>
      <c r="AQ58" s="21"/>
      <c r="AR58" s="19"/>
      <c r="AS58" s="21"/>
      <c r="AT58" s="19"/>
      <c r="AU58" s="21"/>
      <c r="AV58" s="19"/>
      <c r="AW58" s="21"/>
      <c r="AX58" s="19"/>
      <c r="AY58" s="21"/>
      <c r="AZ58" s="19"/>
      <c r="BA58" s="21"/>
      <c r="BB58" s="68"/>
      <c r="BC58" s="135"/>
      <c r="BD58" s="19"/>
      <c r="BE58" s="21"/>
      <c r="BF58" s="19"/>
      <c r="BG58" s="21"/>
      <c r="BH58" s="19"/>
      <c r="BI58" s="21"/>
      <c r="BJ58" s="68"/>
      <c r="BK58" s="135"/>
      <c r="BL58" s="68"/>
      <c r="BM58" s="135"/>
      <c r="BN58" s="68"/>
      <c r="BO58" s="135"/>
      <c r="BP58" s="68"/>
      <c r="BQ58" s="135"/>
      <c r="BR58" s="68"/>
      <c r="BS58" s="135"/>
      <c r="BT58" s="68"/>
      <c r="BU58" s="135"/>
      <c r="BV58" s="68"/>
      <c r="BW58" s="135"/>
      <c r="BX58" s="68"/>
      <c r="BY58" s="135"/>
      <c r="BZ58" s="68"/>
      <c r="CA58" s="135"/>
      <c r="CB58" s="68"/>
      <c r="CC58" s="135"/>
      <c r="CD58" s="68"/>
      <c r="CE58" s="135"/>
      <c r="CF58" s="68"/>
      <c r="CG58" s="135"/>
      <c r="CH58" s="68"/>
      <c r="CI58" s="135"/>
      <c r="CJ58" s="68"/>
      <c r="CK58" s="135"/>
      <c r="CL58" s="68"/>
      <c r="CM58" s="135"/>
      <c r="CN58" s="68"/>
      <c r="CO58" s="135"/>
      <c r="CP58" s="68"/>
    </row>
    <row r="59" spans="1:94" x14ac:dyDescent="0.25">
      <c r="A59" s="41" t="s">
        <v>5</v>
      </c>
      <c r="B59" s="9">
        <v>4395.1099999999997</v>
      </c>
      <c r="C59" s="15" t="s">
        <v>10505</v>
      </c>
      <c r="D59" s="9">
        <v>1065.46</v>
      </c>
      <c r="E59" s="15" t="s">
        <v>10544</v>
      </c>
      <c r="F59" s="9">
        <v>1034.1199999999999</v>
      </c>
      <c r="G59" s="15" t="s">
        <v>10586</v>
      </c>
      <c r="H59" s="9">
        <v>1759.88</v>
      </c>
      <c r="I59" s="15" t="s">
        <v>10630</v>
      </c>
      <c r="J59" s="9">
        <v>638.32000000000005</v>
      </c>
      <c r="K59" s="15" t="s">
        <v>10645</v>
      </c>
      <c r="L59" s="9">
        <v>1169</v>
      </c>
      <c r="M59" s="15" t="s">
        <v>10693</v>
      </c>
      <c r="N59" s="112">
        <v>1000</v>
      </c>
      <c r="O59" s="15" t="s">
        <v>10776</v>
      </c>
      <c r="P59" s="9">
        <v>12914.6</v>
      </c>
      <c r="Q59" s="15" t="s">
        <v>10844</v>
      </c>
      <c r="R59" s="9"/>
      <c r="S59" s="15"/>
      <c r="T59" s="9">
        <v>500</v>
      </c>
      <c r="U59" s="15" t="s">
        <v>10876</v>
      </c>
      <c r="V59" s="9">
        <v>44.02</v>
      </c>
      <c r="W59" s="15" t="s">
        <v>10925</v>
      </c>
      <c r="X59" s="9">
        <v>4871.49</v>
      </c>
      <c r="Y59" s="15" t="s">
        <v>10941</v>
      </c>
      <c r="Z59" s="9">
        <v>7000</v>
      </c>
      <c r="AA59" s="15" t="s">
        <v>10960</v>
      </c>
      <c r="AB59" s="9">
        <v>1970</v>
      </c>
      <c r="AC59" s="15" t="s">
        <v>11109</v>
      </c>
      <c r="AD59" s="9"/>
      <c r="AE59" s="15"/>
      <c r="AF59" s="9">
        <v>2250.0100000000002</v>
      </c>
      <c r="AG59" s="15" t="s">
        <v>11145</v>
      </c>
      <c r="AH59" s="112">
        <v>8014.37</v>
      </c>
      <c r="AI59" s="15" t="s">
        <v>11157</v>
      </c>
      <c r="AJ59" s="9">
        <v>1903.5</v>
      </c>
      <c r="AK59" s="15" t="s">
        <v>11257</v>
      </c>
      <c r="AL59" s="9">
        <v>175</v>
      </c>
      <c r="AM59" s="15" t="s">
        <v>11213</v>
      </c>
      <c r="AN59" s="9">
        <v>1619.21</v>
      </c>
      <c r="AO59" s="15" t="s">
        <v>11331</v>
      </c>
      <c r="AP59" s="9">
        <v>6974.42</v>
      </c>
      <c r="AQ59" s="9" t="s">
        <v>11471</v>
      </c>
      <c r="AR59" s="9"/>
      <c r="AS59" s="15"/>
      <c r="AT59" s="9">
        <v>20000</v>
      </c>
      <c r="AU59" s="15" t="s">
        <v>11378</v>
      </c>
      <c r="AV59" s="9">
        <v>2040</v>
      </c>
      <c r="AW59" s="15" t="s">
        <v>11454</v>
      </c>
      <c r="AX59" s="9">
        <v>198000</v>
      </c>
      <c r="AY59" s="15" t="s">
        <v>11527</v>
      </c>
      <c r="AZ59" s="9">
        <v>683.15</v>
      </c>
      <c r="BA59" s="15" t="s">
        <v>11578</v>
      </c>
      <c r="BB59" s="10">
        <v>2096.4699999999998</v>
      </c>
      <c r="BC59" s="12" t="s">
        <v>11647</v>
      </c>
      <c r="BD59" s="9">
        <v>100000</v>
      </c>
      <c r="BE59" s="15" t="s">
        <v>11707</v>
      </c>
      <c r="BF59" s="9"/>
      <c r="BG59" s="15"/>
      <c r="BH59" s="120"/>
      <c r="BI59" s="120"/>
      <c r="BJ59" s="9"/>
      <c r="BK59" s="9"/>
      <c r="BL59" s="9"/>
      <c r="BM59" s="15"/>
      <c r="BN59" s="9"/>
      <c r="BO59" s="15"/>
      <c r="BP59" s="9"/>
      <c r="BQ59" s="15"/>
      <c r="BR59" s="9"/>
      <c r="BS59" s="15"/>
      <c r="BT59" s="9"/>
      <c r="BU59" s="15"/>
      <c r="BV59" s="9"/>
      <c r="BW59" s="15"/>
      <c r="BX59" s="9"/>
      <c r="BY59" s="15"/>
      <c r="BZ59" s="9"/>
      <c r="CA59" s="15"/>
      <c r="CB59" s="9"/>
      <c r="CC59" s="15"/>
      <c r="CD59" s="9"/>
      <c r="CE59" s="15"/>
      <c r="CF59" s="9"/>
      <c r="CG59" s="15"/>
      <c r="CH59" s="9"/>
      <c r="CI59" s="15"/>
      <c r="CJ59" s="9"/>
      <c r="CK59" s="15"/>
      <c r="CL59" s="9"/>
      <c r="CM59" s="15"/>
      <c r="CN59" s="9"/>
      <c r="CO59" s="15"/>
      <c r="CP59" s="9"/>
    </row>
    <row r="60" spans="1:94" x14ac:dyDescent="0.25">
      <c r="A60" s="41"/>
      <c r="B60" s="9">
        <v>4860.01</v>
      </c>
      <c r="C60" s="15" t="s">
        <v>10516</v>
      </c>
      <c r="D60" s="9">
        <v>4924.79</v>
      </c>
      <c r="E60" s="15" t="s">
        <v>10545</v>
      </c>
      <c r="F60" s="9">
        <v>4165.4399999999996</v>
      </c>
      <c r="G60" s="15" t="s">
        <v>10589</v>
      </c>
      <c r="H60" s="11">
        <v>1970.02</v>
      </c>
      <c r="I60" s="13" t="s">
        <v>10635</v>
      </c>
      <c r="J60" s="72">
        <v>2040</v>
      </c>
      <c r="K60" s="24" t="s">
        <v>10647</v>
      </c>
      <c r="L60" s="9">
        <v>358.75</v>
      </c>
      <c r="M60" s="15" t="s">
        <v>10698</v>
      </c>
      <c r="N60" s="112">
        <v>3400</v>
      </c>
      <c r="O60" s="15" t="s">
        <v>10778</v>
      </c>
      <c r="P60" s="9">
        <v>1363</v>
      </c>
      <c r="Q60" s="15" t="s">
        <v>10850</v>
      </c>
      <c r="R60" s="9"/>
      <c r="S60" s="15"/>
      <c r="T60" s="9">
        <v>774.29</v>
      </c>
      <c r="U60" s="15" t="s">
        <v>10879</v>
      </c>
      <c r="V60" s="9">
        <v>460.03</v>
      </c>
      <c r="W60" s="15" t="s">
        <v>10928</v>
      </c>
      <c r="X60" s="11">
        <v>1169</v>
      </c>
      <c r="Y60" s="12" t="s">
        <v>10954</v>
      </c>
      <c r="Z60" s="9">
        <v>351.98</v>
      </c>
      <c r="AA60" s="15" t="s">
        <v>10968</v>
      </c>
      <c r="AB60" s="9">
        <v>1169</v>
      </c>
      <c r="AC60" s="15" t="s">
        <v>11111</v>
      </c>
      <c r="AD60" s="72"/>
      <c r="AE60" s="15"/>
      <c r="AF60" s="72">
        <v>2040</v>
      </c>
      <c r="AG60" s="26" t="s">
        <v>11146</v>
      </c>
      <c r="AH60" s="112">
        <v>1972.59</v>
      </c>
      <c r="AI60" s="15" t="s">
        <v>11159</v>
      </c>
      <c r="AJ60" s="72">
        <v>7150.77</v>
      </c>
      <c r="AK60" s="15" t="s">
        <v>11258</v>
      </c>
      <c r="AL60" s="9">
        <v>3169</v>
      </c>
      <c r="AM60" s="15" t="s">
        <v>11216</v>
      </c>
      <c r="AN60" s="9">
        <v>4395</v>
      </c>
      <c r="AO60" s="15" t="s">
        <v>11337</v>
      </c>
      <c r="AP60" s="9">
        <v>560</v>
      </c>
      <c r="AQ60" s="15" t="s">
        <v>11473</v>
      </c>
      <c r="AR60" s="9"/>
      <c r="AS60" s="15"/>
      <c r="AT60" s="9">
        <v>2500</v>
      </c>
      <c r="AU60" s="15" t="s">
        <v>11381</v>
      </c>
      <c r="AV60" s="9">
        <v>1970</v>
      </c>
      <c r="AW60" s="15" t="s">
        <v>11455</v>
      </c>
      <c r="AX60" s="9">
        <v>253.33</v>
      </c>
      <c r="AY60" s="15" t="s">
        <v>11532</v>
      </c>
      <c r="AZ60" s="11">
        <v>1099</v>
      </c>
      <c r="BA60" s="12" t="s">
        <v>11596</v>
      </c>
      <c r="BB60" s="7">
        <v>1224.96</v>
      </c>
      <c r="BC60" s="26" t="s">
        <v>11660</v>
      </c>
      <c r="BD60" s="72">
        <v>100000</v>
      </c>
      <c r="BE60" s="24" t="s">
        <v>11708</v>
      </c>
      <c r="BF60" s="72"/>
      <c r="BG60" s="24"/>
      <c r="BH60" s="120"/>
      <c r="BI60" s="120"/>
      <c r="BJ60" s="9"/>
      <c r="BK60" s="15"/>
      <c r="BL60" s="9"/>
      <c r="BM60" s="15"/>
      <c r="BN60" s="9"/>
      <c r="BO60" s="15"/>
      <c r="BP60" s="9"/>
      <c r="BQ60" s="15"/>
      <c r="BR60" s="9"/>
      <c r="BS60" s="15"/>
      <c r="BT60" s="9"/>
      <c r="BU60" s="15"/>
      <c r="BV60" s="9"/>
      <c r="BW60" s="15"/>
      <c r="BX60" s="9"/>
      <c r="BY60" s="15"/>
      <c r="BZ60" s="9"/>
      <c r="CA60" s="15"/>
      <c r="CB60" s="9"/>
      <c r="CC60" s="15"/>
      <c r="CD60" s="9"/>
      <c r="CE60" s="15"/>
      <c r="CF60" s="9"/>
      <c r="CG60" s="15"/>
      <c r="CH60" s="9"/>
      <c r="CI60" s="15"/>
      <c r="CJ60" s="9"/>
      <c r="CK60" s="15"/>
      <c r="CL60" s="9"/>
      <c r="CM60" s="15"/>
      <c r="CN60" s="9"/>
      <c r="CO60" s="15"/>
      <c r="CP60" s="9"/>
    </row>
    <row r="61" spans="1:94" x14ac:dyDescent="0.25">
      <c r="A61" s="43"/>
      <c r="B61" s="9">
        <v>3319.99</v>
      </c>
      <c r="C61" s="15" t="s">
        <v>10517</v>
      </c>
      <c r="D61" s="9">
        <v>1169</v>
      </c>
      <c r="E61" s="15" t="s">
        <v>10558</v>
      </c>
      <c r="F61" s="192">
        <v>5842.12</v>
      </c>
      <c r="G61" s="12" t="s">
        <v>10591</v>
      </c>
      <c r="H61" s="9">
        <v>1169</v>
      </c>
      <c r="I61" s="15" t="s">
        <v>10640</v>
      </c>
      <c r="J61" s="72">
        <v>3357.99</v>
      </c>
      <c r="K61" s="24" t="s">
        <v>10651</v>
      </c>
      <c r="L61" s="11">
        <v>3319.99</v>
      </c>
      <c r="M61" s="12" t="s">
        <v>10701</v>
      </c>
      <c r="N61" s="113">
        <f>83700-75500</f>
        <v>8200</v>
      </c>
      <c r="O61" s="12" t="s">
        <v>10779</v>
      </c>
      <c r="P61" s="11">
        <v>5500</v>
      </c>
      <c r="Q61" s="12" t="s">
        <v>10852</v>
      </c>
      <c r="R61" s="23"/>
      <c r="S61" s="12"/>
      <c r="T61" s="9">
        <v>1168.99</v>
      </c>
      <c r="U61" s="15" t="s">
        <v>10889</v>
      </c>
      <c r="V61" s="10">
        <v>1099</v>
      </c>
      <c r="W61" s="12" t="s">
        <v>10933</v>
      </c>
      <c r="X61" s="9">
        <v>1169</v>
      </c>
      <c r="Y61" s="15" t="s">
        <v>10955</v>
      </c>
      <c r="Z61" s="15">
        <v>16191</v>
      </c>
      <c r="AA61" s="15" t="s">
        <v>10969</v>
      </c>
      <c r="AB61" s="11">
        <v>2040</v>
      </c>
      <c r="AC61" s="12" t="s">
        <v>11114</v>
      </c>
      <c r="AD61" s="127"/>
      <c r="AE61" s="120"/>
      <c r="AF61" s="111">
        <f>+AF59+AF60</f>
        <v>4290.01</v>
      </c>
      <c r="AG61" s="12"/>
      <c r="AH61" s="112">
        <v>2065</v>
      </c>
      <c r="AI61" s="15" t="s">
        <v>11162</v>
      </c>
      <c r="AJ61" s="87">
        <v>3000</v>
      </c>
      <c r="AK61" s="12" t="s">
        <v>11260</v>
      </c>
      <c r="AL61" s="9">
        <v>1169</v>
      </c>
      <c r="AM61" s="15" t="s">
        <v>11219</v>
      </c>
      <c r="AN61" s="9">
        <v>1204.98</v>
      </c>
      <c r="AO61" s="15" t="s">
        <v>11340</v>
      </c>
      <c r="AP61" s="9">
        <v>60000</v>
      </c>
      <c r="AQ61" s="15" t="s">
        <v>11298</v>
      </c>
      <c r="AR61" s="10"/>
      <c r="AS61" s="12"/>
      <c r="AT61" s="7">
        <v>2622.11</v>
      </c>
      <c r="AU61" s="26" t="s">
        <v>11388</v>
      </c>
      <c r="AV61" s="14">
        <v>3233.22</v>
      </c>
      <c r="AW61" s="12" t="s">
        <v>11456</v>
      </c>
      <c r="AX61" s="9">
        <v>3320</v>
      </c>
      <c r="AY61" s="15" t="s">
        <v>11537</v>
      </c>
      <c r="AZ61" s="95">
        <f>+AZ60+AZ59</f>
        <v>1782.15</v>
      </c>
      <c r="BA61" s="26"/>
      <c r="BB61" s="9">
        <v>1970</v>
      </c>
      <c r="BC61" s="15" t="s">
        <v>11666</v>
      </c>
      <c r="BD61" s="10">
        <v>304.92</v>
      </c>
      <c r="BE61" s="12" t="s">
        <v>11714</v>
      </c>
      <c r="BF61" s="10"/>
      <c r="BG61" s="12"/>
      <c r="BH61" s="15"/>
      <c r="BI61" s="15"/>
      <c r="BJ61" s="11"/>
      <c r="BK61" s="13"/>
      <c r="BL61" s="23"/>
      <c r="BM61" s="13"/>
      <c r="BN61" s="11"/>
      <c r="BO61" s="13"/>
      <c r="BP61" s="11"/>
      <c r="BQ61" s="13"/>
      <c r="BR61" s="11"/>
      <c r="BS61" s="13"/>
      <c r="BT61" s="11"/>
      <c r="BU61" s="13"/>
      <c r="BV61" s="11"/>
      <c r="BW61" s="13"/>
      <c r="BX61" s="11"/>
      <c r="BY61" s="13"/>
      <c r="BZ61" s="11"/>
      <c r="CA61" s="13"/>
      <c r="CB61" s="11"/>
      <c r="CC61" s="13"/>
      <c r="CD61" s="11"/>
      <c r="CE61" s="13"/>
      <c r="CF61" s="11"/>
      <c r="CG61" s="13"/>
      <c r="CH61" s="11"/>
      <c r="CI61" s="13"/>
      <c r="CJ61" s="11"/>
      <c r="CK61" s="13"/>
      <c r="CL61" s="11"/>
      <c r="CM61" s="13"/>
      <c r="CN61" s="11"/>
      <c r="CO61" s="13"/>
      <c r="CP61" s="11"/>
    </row>
    <row r="62" spans="1:94" x14ac:dyDescent="0.25">
      <c r="A62" s="41"/>
      <c r="B62" s="137">
        <v>1169</v>
      </c>
      <c r="C62" s="15" t="s">
        <v>10519</v>
      </c>
      <c r="D62" s="10">
        <v>1888.97</v>
      </c>
      <c r="E62" s="12" t="s">
        <v>10559</v>
      </c>
      <c r="F62" s="9">
        <v>2040</v>
      </c>
      <c r="G62" s="15" t="s">
        <v>10593</v>
      </c>
      <c r="H62" s="95">
        <f>+H59+H60+H61</f>
        <v>4898.8999999999996</v>
      </c>
      <c r="I62" s="15"/>
      <c r="J62" s="95">
        <f>+SUM(J59:J61)</f>
        <v>6036.3099999999995</v>
      </c>
      <c r="K62" s="15"/>
      <c r="L62" s="9">
        <v>1006</v>
      </c>
      <c r="M62" s="15" t="s">
        <v>10703</v>
      </c>
      <c r="N62" s="112">
        <v>1984.02</v>
      </c>
      <c r="O62" s="26" t="s">
        <v>10786</v>
      </c>
      <c r="P62" s="15">
        <v>928.7</v>
      </c>
      <c r="Q62" s="15" t="s">
        <v>10856</v>
      </c>
      <c r="R62" s="9"/>
      <c r="S62" s="26"/>
      <c r="T62" s="15">
        <v>3320</v>
      </c>
      <c r="U62" s="26" t="s">
        <v>10890</v>
      </c>
      <c r="V62" s="9">
        <v>1995</v>
      </c>
      <c r="W62" s="15" t="s">
        <v>10935</v>
      </c>
      <c r="X62" s="9">
        <v>1000</v>
      </c>
      <c r="Y62" s="15" t="s">
        <v>10957</v>
      </c>
      <c r="Z62" s="9">
        <v>1564.76</v>
      </c>
      <c r="AA62" s="15" t="s">
        <v>10972</v>
      </c>
      <c r="AB62" s="9">
        <v>1748</v>
      </c>
      <c r="AC62" s="26" t="s">
        <v>11115</v>
      </c>
      <c r="AD62" s="24"/>
      <c r="AE62" s="15"/>
      <c r="AF62" s="9"/>
      <c r="AG62" s="15"/>
      <c r="AH62" s="112">
        <v>1169</v>
      </c>
      <c r="AI62" s="15" t="s">
        <v>11163</v>
      </c>
      <c r="AJ62" s="72">
        <v>3000</v>
      </c>
      <c r="AK62" s="15" t="s">
        <v>11261</v>
      </c>
      <c r="AL62" s="9">
        <v>1099.01</v>
      </c>
      <c r="AM62" s="15" t="s">
        <v>11220</v>
      </c>
      <c r="AN62" s="11">
        <v>765.99</v>
      </c>
      <c r="AO62" s="13" t="s">
        <v>11342</v>
      </c>
      <c r="AP62" s="9">
        <v>232</v>
      </c>
      <c r="AQ62" s="15" t="s">
        <v>11485</v>
      </c>
      <c r="AR62" s="9"/>
      <c r="AS62" s="15"/>
      <c r="AT62" s="9">
        <v>2451.0100000000002</v>
      </c>
      <c r="AU62" s="15" t="s">
        <v>11401</v>
      </c>
      <c r="AV62" s="9">
        <v>2039.99</v>
      </c>
      <c r="AW62" s="15" t="s">
        <v>11468</v>
      </c>
      <c r="AX62" s="11">
        <v>4395.01</v>
      </c>
      <c r="AY62" s="13" t="s">
        <v>11539</v>
      </c>
      <c r="AZ62" s="15"/>
      <c r="BA62" s="26"/>
      <c r="BB62" s="95">
        <f>+BB61+BB60+BB59</f>
        <v>5291.43</v>
      </c>
      <c r="BC62" s="15"/>
      <c r="BD62" s="9">
        <v>1423.33</v>
      </c>
      <c r="BE62" s="15" t="s">
        <v>11715</v>
      </c>
      <c r="BF62" s="9"/>
      <c r="BG62" s="15"/>
      <c r="BH62" s="7"/>
      <c r="BI62" s="26"/>
      <c r="BJ62" s="9"/>
      <c r="BK62" s="15"/>
      <c r="BL62" s="9"/>
      <c r="BM62" s="15"/>
      <c r="BN62" s="9"/>
      <c r="BO62" s="15"/>
      <c r="BP62" s="9"/>
      <c r="BQ62" s="15"/>
      <c r="BR62" s="9"/>
      <c r="BS62" s="15"/>
      <c r="BT62" s="9"/>
      <c r="BU62" s="15"/>
      <c r="BV62" s="9"/>
      <c r="BW62" s="15"/>
      <c r="BX62" s="9"/>
      <c r="BY62" s="15"/>
      <c r="BZ62" s="9"/>
      <c r="CA62" s="15"/>
      <c r="CB62" s="9"/>
      <c r="CC62" s="15"/>
      <c r="CD62" s="9"/>
      <c r="CE62" s="15"/>
      <c r="CF62" s="9"/>
      <c r="CG62" s="15"/>
      <c r="CH62" s="9"/>
      <c r="CI62" s="15"/>
      <c r="CJ62" s="9"/>
      <c r="CK62" s="15"/>
      <c r="CL62" s="9"/>
      <c r="CM62" s="15"/>
      <c r="CN62" s="9"/>
      <c r="CO62" s="15"/>
      <c r="CP62" s="9"/>
    </row>
    <row r="63" spans="1:94" x14ac:dyDescent="0.25">
      <c r="A63" s="41"/>
      <c r="B63" s="9">
        <v>3250.01</v>
      </c>
      <c r="C63" s="15" t="s">
        <v>10520</v>
      </c>
      <c r="D63" s="121">
        <v>4464.99</v>
      </c>
      <c r="E63" s="15" t="s">
        <v>10560</v>
      </c>
      <c r="F63" s="147">
        <f>+SUM(F59:F62)</f>
        <v>13081.68</v>
      </c>
      <c r="G63" s="26"/>
      <c r="H63" s="9"/>
      <c r="I63" s="15"/>
      <c r="J63" s="9"/>
      <c r="K63" s="26"/>
      <c r="L63" s="95">
        <f>+SUM(L59:L62)</f>
        <v>5853.74</v>
      </c>
      <c r="M63" s="26"/>
      <c r="N63" s="112">
        <v>3239</v>
      </c>
      <c r="O63" s="15" t="s">
        <v>10797</v>
      </c>
      <c r="P63" s="9">
        <v>561.20000000000005</v>
      </c>
      <c r="Q63" s="15" t="s">
        <v>10857</v>
      </c>
      <c r="R63" s="9"/>
      <c r="S63" s="26"/>
      <c r="T63" s="9">
        <v>2329</v>
      </c>
      <c r="U63" s="15" t="s">
        <v>10892</v>
      </c>
      <c r="V63" s="9">
        <v>1169</v>
      </c>
      <c r="W63" s="15" t="s">
        <v>10938</v>
      </c>
      <c r="X63" s="9">
        <v>457.32</v>
      </c>
      <c r="Y63" s="15" t="s">
        <v>10946</v>
      </c>
      <c r="Z63" s="9">
        <v>1931.77</v>
      </c>
      <c r="AA63" s="15" t="s">
        <v>10974</v>
      </c>
      <c r="AB63" s="9">
        <v>3250.01</v>
      </c>
      <c r="AC63" s="26" t="s">
        <v>11116</v>
      </c>
      <c r="AD63" s="72"/>
      <c r="AE63" s="26"/>
      <c r="AF63" s="9">
        <v>626.72</v>
      </c>
      <c r="AG63" s="26" t="s">
        <v>11181</v>
      </c>
      <c r="AH63" s="112">
        <v>1169</v>
      </c>
      <c r="AI63" s="15" t="s">
        <v>11164</v>
      </c>
      <c r="AJ63" s="87">
        <v>18763</v>
      </c>
      <c r="AK63" s="26" t="s">
        <v>11264</v>
      </c>
      <c r="AL63" s="7">
        <v>1583.01</v>
      </c>
      <c r="AM63" s="26" t="s">
        <v>11221</v>
      </c>
      <c r="AN63" s="95">
        <f>+SUM(AN59:AN62)</f>
        <v>7985.18</v>
      </c>
      <c r="AO63" s="26"/>
      <c r="AP63" s="9">
        <v>628.51</v>
      </c>
      <c r="AQ63" s="15" t="s">
        <v>11488</v>
      </c>
      <c r="AR63" s="7"/>
      <c r="AS63" s="26"/>
      <c r="AT63" s="15">
        <v>1970</v>
      </c>
      <c r="AU63" s="15" t="s">
        <v>11411</v>
      </c>
      <c r="AV63" s="11">
        <v>1169</v>
      </c>
      <c r="AW63" s="13" t="s">
        <v>11470</v>
      </c>
      <c r="AX63" s="95">
        <f>+SUM(AX58:AX62)</f>
        <v>205968.34</v>
      </c>
      <c r="AY63" s="26"/>
      <c r="AZ63" s="9">
        <v>40000</v>
      </c>
      <c r="BA63" s="15" t="s">
        <v>11604</v>
      </c>
      <c r="BB63" s="9"/>
      <c r="BC63" s="15"/>
      <c r="BD63" s="7">
        <v>3250</v>
      </c>
      <c r="BE63" s="26" t="s">
        <v>11716</v>
      </c>
      <c r="BF63" s="7"/>
      <c r="BG63" s="26"/>
      <c r="BH63" s="9"/>
      <c r="BI63" s="15"/>
      <c r="BJ63" s="15"/>
      <c r="BK63" s="15"/>
      <c r="BL63" s="9"/>
      <c r="BM63" s="15"/>
      <c r="BN63" s="9"/>
      <c r="BO63" s="15"/>
      <c r="BP63" s="9"/>
      <c r="BQ63" s="15"/>
      <c r="BR63" s="9"/>
      <c r="BS63" s="15"/>
      <c r="BT63" s="9"/>
      <c r="BU63" s="15"/>
      <c r="BV63" s="9"/>
      <c r="BW63" s="15"/>
      <c r="BX63" s="9"/>
      <c r="BY63" s="15"/>
      <c r="BZ63" s="9"/>
      <c r="CA63" s="15"/>
      <c r="CB63" s="9"/>
      <c r="CC63" s="15"/>
      <c r="CD63" s="9"/>
      <c r="CE63" s="15"/>
      <c r="CF63" s="9"/>
      <c r="CG63" s="15"/>
      <c r="CH63" s="9"/>
      <c r="CI63" s="15"/>
      <c r="CJ63" s="9"/>
      <c r="CK63" s="15"/>
      <c r="CL63" s="9"/>
      <c r="CM63" s="15"/>
      <c r="CN63" s="9"/>
      <c r="CO63" s="15"/>
      <c r="CP63" s="9"/>
    </row>
    <row r="64" spans="1:94" x14ac:dyDescent="0.25">
      <c r="A64" s="41"/>
      <c r="B64" s="9">
        <v>1169</v>
      </c>
      <c r="C64" s="15" t="s">
        <v>10521</v>
      </c>
      <c r="D64" s="7">
        <v>1970</v>
      </c>
      <c r="E64" s="26" t="s">
        <v>10561</v>
      </c>
      <c r="F64" s="9"/>
      <c r="G64" s="15"/>
      <c r="H64" s="9">
        <v>5000</v>
      </c>
      <c r="I64" s="15" t="s">
        <v>10658</v>
      </c>
      <c r="J64" s="9">
        <v>46500</v>
      </c>
      <c r="K64" s="15" t="s">
        <v>10716</v>
      </c>
      <c r="L64" s="9"/>
      <c r="M64" s="15"/>
      <c r="N64" s="195">
        <v>1168.99</v>
      </c>
      <c r="O64" s="13" t="s">
        <v>10799</v>
      </c>
      <c r="P64" s="9">
        <v>2040</v>
      </c>
      <c r="Q64" s="15" t="s">
        <v>10860</v>
      </c>
      <c r="R64" s="9"/>
      <c r="S64" s="15"/>
      <c r="T64" s="95">
        <f>+SUM(T58:T63)</f>
        <v>8092.28</v>
      </c>
      <c r="U64" s="15"/>
      <c r="V64" s="51">
        <f>+SUM(V59:V63)</f>
        <v>4767.05</v>
      </c>
      <c r="W64" s="15"/>
      <c r="X64" s="95">
        <f>+SUM(X58:X63)</f>
        <v>8666.81</v>
      </c>
      <c r="Y64" s="26"/>
      <c r="Z64" s="9">
        <v>1169</v>
      </c>
      <c r="AA64" s="15" t="s">
        <v>10977</v>
      </c>
      <c r="AB64" s="9">
        <v>3250</v>
      </c>
      <c r="AC64" s="15" t="s">
        <v>11117</v>
      </c>
      <c r="AD64" s="72"/>
      <c r="AE64" s="15"/>
      <c r="AF64" s="9">
        <v>1099.01</v>
      </c>
      <c r="AG64" s="15" t="s">
        <v>11184</v>
      </c>
      <c r="AH64" s="112">
        <v>1099.02</v>
      </c>
      <c r="AI64" s="15" t="s">
        <v>11165</v>
      </c>
      <c r="AJ64" s="72">
        <v>321.95999999999998</v>
      </c>
      <c r="AK64" s="15" t="s">
        <v>11265</v>
      </c>
      <c r="AL64" s="9">
        <v>322.76</v>
      </c>
      <c r="AM64" s="9" t="s">
        <v>11224</v>
      </c>
      <c r="AN64" s="9"/>
      <c r="AO64" s="15"/>
      <c r="AP64" s="9">
        <v>3250</v>
      </c>
      <c r="AQ64" s="15" t="s">
        <v>11489</v>
      </c>
      <c r="AR64" s="9"/>
      <c r="AS64" s="15"/>
      <c r="AT64" s="193">
        <v>3080.75</v>
      </c>
      <c r="AU64" s="15" t="s">
        <v>11412</v>
      </c>
      <c r="AV64" s="95">
        <f>+SUM(AV59:AV63)</f>
        <v>10452.209999999999</v>
      </c>
      <c r="AW64" s="26"/>
      <c r="AX64" s="9"/>
      <c r="AY64" s="26"/>
      <c r="AZ64" s="9">
        <v>11169.22</v>
      </c>
      <c r="BA64" s="15" t="s">
        <v>11612</v>
      </c>
      <c r="BB64" s="11">
        <v>20000</v>
      </c>
      <c r="BC64" s="13" t="s">
        <v>11669</v>
      </c>
      <c r="BD64" s="9">
        <v>4395</v>
      </c>
      <c r="BE64" s="15" t="s">
        <v>11717</v>
      </c>
      <c r="BF64" s="15"/>
      <c r="BG64" s="15"/>
      <c r="BH64" s="15"/>
      <c r="BI64" s="15"/>
      <c r="BJ64" s="9"/>
      <c r="BK64" s="15"/>
      <c r="BL64" s="9"/>
      <c r="BM64" s="15"/>
      <c r="BN64" s="15"/>
      <c r="BO64" s="15"/>
      <c r="BP64" s="9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</row>
    <row r="65" spans="1:94" x14ac:dyDescent="0.25">
      <c r="A65" s="41"/>
      <c r="B65" s="9">
        <v>928</v>
      </c>
      <c r="C65" s="15" t="s">
        <v>10522</v>
      </c>
      <c r="D65" s="9">
        <v>1168.99</v>
      </c>
      <c r="E65" s="15" t="s">
        <v>10565</v>
      </c>
      <c r="F65" s="9">
        <v>20000</v>
      </c>
      <c r="G65" s="15" t="s">
        <v>10603</v>
      </c>
      <c r="H65" s="11">
        <v>1169</v>
      </c>
      <c r="I65" s="13" t="s">
        <v>10669</v>
      </c>
      <c r="J65" s="72">
        <v>1970</v>
      </c>
      <c r="K65" s="24" t="s">
        <v>10729</v>
      </c>
      <c r="L65" s="9">
        <v>1167.5899999999999</v>
      </c>
      <c r="M65" s="15" t="s">
        <v>10752</v>
      </c>
      <c r="N65" s="112">
        <v>3390</v>
      </c>
      <c r="O65" s="26" t="s">
        <v>10804</v>
      </c>
      <c r="P65" s="11">
        <v>464</v>
      </c>
      <c r="Q65" s="13" t="s">
        <v>10862</v>
      </c>
      <c r="R65" s="9"/>
      <c r="S65" s="15"/>
      <c r="T65" s="9"/>
      <c r="U65" s="15"/>
      <c r="V65" s="7"/>
      <c r="W65" s="26"/>
      <c r="X65" s="9"/>
      <c r="Y65" s="26"/>
      <c r="Z65" s="9">
        <v>52.2</v>
      </c>
      <c r="AA65" s="15" t="s">
        <v>10978</v>
      </c>
      <c r="AB65" s="95">
        <f>+SUM(AB59:AB64)</f>
        <v>13427.01</v>
      </c>
      <c r="AC65" s="26"/>
      <c r="AD65" s="24"/>
      <c r="AE65" s="15"/>
      <c r="AF65" s="9">
        <v>4464.99</v>
      </c>
      <c r="AG65" s="15" t="s">
        <v>11187</v>
      </c>
      <c r="AH65" s="112">
        <v>4239</v>
      </c>
      <c r="AI65" s="15" t="s">
        <v>11167</v>
      </c>
      <c r="AJ65" s="72">
        <v>11237.11</v>
      </c>
      <c r="AK65" s="15" t="s">
        <v>11269</v>
      </c>
      <c r="AL65" s="95">
        <f>+SUM(AL59:AL64)</f>
        <v>7517.7800000000007</v>
      </c>
      <c r="AM65" s="15"/>
      <c r="AN65" s="9">
        <v>3320</v>
      </c>
      <c r="AO65" s="15" t="s">
        <v>11345</v>
      </c>
      <c r="AP65" s="9">
        <v>4319.49</v>
      </c>
      <c r="AQ65" s="15" t="s">
        <v>11492</v>
      </c>
      <c r="AR65" s="9"/>
      <c r="AS65" s="15"/>
      <c r="AT65" s="95">
        <f>+SUM(AT59:AT64)</f>
        <v>32623.870000000003</v>
      </c>
      <c r="AU65" s="15"/>
      <c r="AV65" s="9"/>
      <c r="AW65" s="26"/>
      <c r="AX65" s="9">
        <v>550</v>
      </c>
      <c r="AY65" s="26" t="s">
        <v>11540</v>
      </c>
      <c r="AZ65" s="9">
        <v>1453.94</v>
      </c>
      <c r="BA65" s="26" t="s">
        <v>11618</v>
      </c>
      <c r="BB65" s="11">
        <v>20000</v>
      </c>
      <c r="BC65" s="13" t="s">
        <v>11670</v>
      </c>
      <c r="BD65" s="9">
        <v>1169</v>
      </c>
      <c r="BE65" s="15" t="s">
        <v>11720</v>
      </c>
      <c r="BF65" s="9"/>
      <c r="BG65" s="15"/>
      <c r="BH65" s="9"/>
      <c r="BI65" s="15"/>
      <c r="BJ65" s="9"/>
      <c r="BK65" s="15"/>
      <c r="BL65" s="9"/>
      <c r="BM65" s="15"/>
      <c r="BN65" s="15"/>
      <c r="BO65" s="15"/>
      <c r="BP65" s="9"/>
      <c r="BQ65" s="15"/>
      <c r="BR65" s="9"/>
      <c r="BS65" s="15"/>
      <c r="BT65" s="9"/>
      <c r="BU65" s="15"/>
      <c r="BV65" s="9"/>
      <c r="BW65" s="15"/>
      <c r="BX65" s="9"/>
      <c r="BY65" s="15"/>
      <c r="BZ65" s="9"/>
      <c r="CA65" s="15"/>
      <c r="CB65" s="9"/>
      <c r="CC65" s="15"/>
      <c r="CD65" s="9"/>
      <c r="CE65" s="15"/>
      <c r="CF65" s="9"/>
      <c r="CG65" s="15"/>
      <c r="CH65" s="9"/>
      <c r="CI65" s="15"/>
      <c r="CJ65" s="9"/>
      <c r="CK65" s="15"/>
      <c r="CL65" s="9"/>
      <c r="CM65" s="15"/>
      <c r="CN65" s="9"/>
      <c r="CO65" s="15"/>
      <c r="CP65" s="9"/>
    </row>
    <row r="66" spans="1:94" x14ac:dyDescent="0.25">
      <c r="A66" s="41"/>
      <c r="B66" s="9">
        <v>1169</v>
      </c>
      <c r="C66" s="15" t="s">
        <v>10528</v>
      </c>
      <c r="D66" s="9">
        <v>1579</v>
      </c>
      <c r="E66" s="15" t="s">
        <v>10567</v>
      </c>
      <c r="F66" s="9">
        <v>1547.58</v>
      </c>
      <c r="G66" s="15" t="s">
        <v>10604</v>
      </c>
      <c r="H66" s="9">
        <v>1169</v>
      </c>
      <c r="I66" s="15" t="s">
        <v>10673</v>
      </c>
      <c r="J66" s="9">
        <v>2040</v>
      </c>
      <c r="K66" s="15" t="s">
        <v>10731</v>
      </c>
      <c r="L66" s="23">
        <v>93.02</v>
      </c>
      <c r="M66" s="13" t="s">
        <v>10753</v>
      </c>
      <c r="N66" s="112">
        <v>2040</v>
      </c>
      <c r="O66" s="15" t="s">
        <v>10801</v>
      </c>
      <c r="P66" s="9">
        <v>3783.99</v>
      </c>
      <c r="Q66" s="15" t="s">
        <v>10873</v>
      </c>
      <c r="R66" s="193"/>
      <c r="S66" s="15"/>
      <c r="T66" s="9">
        <v>3902.75</v>
      </c>
      <c r="U66" s="15" t="s">
        <v>10899</v>
      </c>
      <c r="V66" s="9">
        <v>1000</v>
      </c>
      <c r="W66" s="15" t="s">
        <v>10988</v>
      </c>
      <c r="X66" s="9">
        <v>8233</v>
      </c>
      <c r="Y66" s="15" t="s">
        <v>11033</v>
      </c>
      <c r="Z66" s="9">
        <v>3319.99</v>
      </c>
      <c r="AA66" s="15" t="s">
        <v>10987</v>
      </c>
      <c r="AB66" s="15"/>
      <c r="AC66" s="26"/>
      <c r="AD66" s="72"/>
      <c r="AE66" s="15"/>
      <c r="AF66" s="9">
        <v>8500</v>
      </c>
      <c r="AG66" s="15" t="s">
        <v>11188</v>
      </c>
      <c r="AH66" s="112">
        <v>2579.4499999999998</v>
      </c>
      <c r="AI66" s="15" t="s">
        <v>11169</v>
      </c>
      <c r="AJ66" s="72">
        <v>1016.3</v>
      </c>
      <c r="AK66" s="15" t="s">
        <v>11270</v>
      </c>
      <c r="AL66" s="9"/>
      <c r="AM66" s="15"/>
      <c r="AN66" s="9">
        <v>3319.99</v>
      </c>
      <c r="AO66" s="15" t="s">
        <v>11363</v>
      </c>
      <c r="AP66" s="9">
        <v>1513.01</v>
      </c>
      <c r="AQ66" s="15" t="s">
        <v>11494</v>
      </c>
      <c r="AR66" s="9"/>
      <c r="AS66" s="15"/>
      <c r="AT66" s="15"/>
      <c r="AU66" s="15"/>
      <c r="AV66" s="9">
        <v>721.35</v>
      </c>
      <c r="AW66" s="15" t="s">
        <v>11512</v>
      </c>
      <c r="AX66" s="9">
        <v>3154.05</v>
      </c>
      <c r="AY66" s="15" t="s">
        <v>11545</v>
      </c>
      <c r="AZ66" s="9">
        <v>3250</v>
      </c>
      <c r="BA66" s="15" t="s">
        <v>11622</v>
      </c>
      <c r="BB66" s="9">
        <v>3390</v>
      </c>
      <c r="BC66" s="15" t="s">
        <v>11678</v>
      </c>
      <c r="BD66" s="9">
        <v>2065.0100000000002</v>
      </c>
      <c r="BE66" s="15" t="s">
        <v>11722</v>
      </c>
      <c r="BF66" s="14"/>
      <c r="BG66" s="13"/>
      <c r="BH66" s="15"/>
      <c r="BI66" s="13"/>
      <c r="BJ66" s="11"/>
      <c r="BK66" s="13"/>
      <c r="BL66" s="9"/>
      <c r="BM66" s="15"/>
      <c r="BN66" s="9"/>
      <c r="BO66" s="15"/>
      <c r="BP66" s="9"/>
      <c r="BQ66" s="15"/>
      <c r="BR66" s="9"/>
      <c r="BS66" s="15"/>
      <c r="BT66" s="9"/>
      <c r="BU66" s="15"/>
      <c r="BV66" s="9"/>
      <c r="BW66" s="15"/>
      <c r="BX66" s="9"/>
      <c r="BY66" s="15"/>
      <c r="BZ66" s="9"/>
      <c r="CA66" s="15"/>
      <c r="CB66" s="9"/>
      <c r="CC66" s="15"/>
      <c r="CD66" s="9"/>
      <c r="CE66" s="15"/>
      <c r="CF66" s="9"/>
      <c r="CG66" s="15"/>
      <c r="CH66" s="9"/>
      <c r="CI66" s="15"/>
      <c r="CJ66" s="9"/>
      <c r="CK66" s="15"/>
      <c r="CL66" s="9"/>
      <c r="CM66" s="15"/>
      <c r="CN66" s="9"/>
      <c r="CO66" s="15"/>
      <c r="CP66" s="9"/>
    </row>
    <row r="67" spans="1:94" x14ac:dyDescent="0.25">
      <c r="A67" s="43"/>
      <c r="B67" s="9">
        <v>3316</v>
      </c>
      <c r="C67" s="15" t="s">
        <v>10530</v>
      </c>
      <c r="D67" s="11">
        <v>3529</v>
      </c>
      <c r="E67" s="13" t="s">
        <v>10568</v>
      </c>
      <c r="F67" s="11">
        <v>19621.169999999998</v>
      </c>
      <c r="G67" s="13" t="s">
        <v>10614</v>
      </c>
      <c r="H67" s="15">
        <v>1169</v>
      </c>
      <c r="I67" s="15" t="s">
        <v>10674</v>
      </c>
      <c r="J67" s="9">
        <v>1099.01</v>
      </c>
      <c r="K67" s="13" t="s">
        <v>10732</v>
      </c>
      <c r="L67" s="9">
        <v>52.2</v>
      </c>
      <c r="M67" s="26" t="s">
        <v>10758</v>
      </c>
      <c r="N67" s="95">
        <f>+SUM(N58:N66)</f>
        <v>24422.010000000002</v>
      </c>
      <c r="O67" s="15"/>
      <c r="P67" s="72">
        <v>1169</v>
      </c>
      <c r="Q67" s="15" t="s">
        <v>10875</v>
      </c>
      <c r="R67" s="11"/>
      <c r="S67" s="13"/>
      <c r="T67" s="11">
        <v>2765</v>
      </c>
      <c r="U67" s="13" t="s">
        <v>10914</v>
      </c>
      <c r="V67" s="9">
        <v>11475.3</v>
      </c>
      <c r="W67" s="15" t="s">
        <v>10990</v>
      </c>
      <c r="X67" s="9">
        <v>249.72</v>
      </c>
      <c r="Y67" s="15" t="s">
        <v>11037</v>
      </c>
      <c r="Z67" s="95">
        <f>+SUM(Z59:Z66)</f>
        <v>31580.699999999997</v>
      </c>
      <c r="AA67" s="15"/>
      <c r="AB67" s="11">
        <v>15124.76</v>
      </c>
      <c r="AC67" s="13" t="s">
        <v>11126</v>
      </c>
      <c r="AD67" s="72"/>
      <c r="AE67" s="13"/>
      <c r="AF67" s="72">
        <v>2445</v>
      </c>
      <c r="AG67" s="13" t="s">
        <v>11193</v>
      </c>
      <c r="AH67" s="111">
        <f>+SUM(AH58:AH66)</f>
        <v>22307.43</v>
      </c>
      <c r="AI67" s="15"/>
      <c r="AJ67" s="72">
        <v>2039.99</v>
      </c>
      <c r="AK67" s="13" t="s">
        <v>11277</v>
      </c>
      <c r="AL67" s="11">
        <v>2206.91</v>
      </c>
      <c r="AM67" s="13" t="s">
        <v>11299</v>
      </c>
      <c r="AN67" s="9">
        <v>2040</v>
      </c>
      <c r="AO67" s="15" t="s">
        <v>11372</v>
      </c>
      <c r="AP67" s="14">
        <v>1168.99</v>
      </c>
      <c r="AQ67" s="13" t="s">
        <v>11495</v>
      </c>
      <c r="AR67" s="9"/>
      <c r="AS67" s="15"/>
      <c r="AT67" s="11">
        <v>607.82000000000005</v>
      </c>
      <c r="AU67" s="13" t="s">
        <v>11426</v>
      </c>
      <c r="AV67" s="72">
        <v>1168.99</v>
      </c>
      <c r="AW67" s="15" t="s">
        <v>11520</v>
      </c>
      <c r="AX67" s="9">
        <v>72000</v>
      </c>
      <c r="AY67" s="15" t="s">
        <v>11548</v>
      </c>
      <c r="AZ67" s="9">
        <v>4395</v>
      </c>
      <c r="BA67" s="15" t="s">
        <v>11623</v>
      </c>
      <c r="BB67" s="9">
        <v>464</v>
      </c>
      <c r="BC67" s="15" t="s">
        <v>11692</v>
      </c>
      <c r="BD67" s="11">
        <v>1954.58</v>
      </c>
      <c r="BE67" s="13" t="s">
        <v>11733</v>
      </c>
      <c r="BF67" s="7"/>
      <c r="BG67" s="26"/>
      <c r="BH67" s="9"/>
      <c r="BI67" s="26"/>
      <c r="BJ67" s="9"/>
      <c r="BK67" s="15"/>
      <c r="BL67" s="9"/>
      <c r="BM67" s="15"/>
      <c r="BN67" s="11"/>
      <c r="BO67" s="13"/>
      <c r="BP67" s="11"/>
      <c r="BQ67" s="13"/>
      <c r="BR67" s="11"/>
      <c r="BS67" s="13"/>
      <c r="BT67" s="11"/>
      <c r="BU67" s="13"/>
      <c r="BV67" s="11"/>
      <c r="BW67" s="13"/>
      <c r="BX67" s="11"/>
      <c r="BY67" s="13"/>
      <c r="BZ67" s="11"/>
      <c r="CA67" s="13"/>
      <c r="CB67" s="11"/>
      <c r="CC67" s="13"/>
      <c r="CD67" s="11"/>
      <c r="CE67" s="13"/>
      <c r="CF67" s="11"/>
      <c r="CG67" s="13"/>
      <c r="CH67" s="11"/>
      <c r="CI67" s="13"/>
      <c r="CJ67" s="11"/>
      <c r="CK67" s="13"/>
      <c r="CL67" s="11"/>
      <c r="CM67" s="13"/>
      <c r="CN67" s="11"/>
      <c r="CO67" s="13"/>
      <c r="CP67" s="11"/>
    </row>
    <row r="68" spans="1:94" x14ac:dyDescent="0.25">
      <c r="A68" s="41"/>
      <c r="B68" s="9">
        <v>2040</v>
      </c>
      <c r="C68" s="15" t="s">
        <v>10533</v>
      </c>
      <c r="D68" s="72">
        <v>1118.76</v>
      </c>
      <c r="E68" s="15" t="s">
        <v>10570</v>
      </c>
      <c r="F68" s="9">
        <v>1856</v>
      </c>
      <c r="G68" s="26" t="s">
        <v>10621</v>
      </c>
      <c r="H68" s="9">
        <v>2040</v>
      </c>
      <c r="I68" s="15" t="s">
        <v>10675</v>
      </c>
      <c r="J68" s="9">
        <v>1169</v>
      </c>
      <c r="K68" s="15" t="s">
        <v>10738</v>
      </c>
      <c r="L68" s="9">
        <v>1099.01</v>
      </c>
      <c r="M68" s="15" t="s">
        <v>10762</v>
      </c>
      <c r="N68" s="9"/>
      <c r="O68" s="15"/>
      <c r="P68" s="99">
        <f>+SUM(P58:P67)</f>
        <v>28724.489999999998</v>
      </c>
      <c r="Q68" s="15"/>
      <c r="R68" s="9"/>
      <c r="S68" s="26"/>
      <c r="T68" s="95">
        <f>+T66+T67</f>
        <v>6667.75</v>
      </c>
      <c r="U68" s="26"/>
      <c r="V68" s="9">
        <v>9728.4699999999993</v>
      </c>
      <c r="W68" s="15" t="s">
        <v>11003</v>
      </c>
      <c r="X68" s="9">
        <v>364.18</v>
      </c>
      <c r="Y68" s="15" t="s">
        <v>11038</v>
      </c>
      <c r="Z68" s="15"/>
      <c r="AA68" s="15"/>
      <c r="AB68" s="9">
        <v>4534.95</v>
      </c>
      <c r="AC68" s="26" t="s">
        <v>11130</v>
      </c>
      <c r="AD68" s="72"/>
      <c r="AE68" s="26"/>
      <c r="AF68" s="95">
        <f>+SUM(AF63:AF67)</f>
        <v>17135.72</v>
      </c>
      <c r="AG68" s="26"/>
      <c r="AH68" s="23"/>
      <c r="AI68" s="13"/>
      <c r="AJ68" s="72">
        <v>2040</v>
      </c>
      <c r="AK68" s="85" t="s">
        <v>11278</v>
      </c>
      <c r="AL68" s="9">
        <v>8081.2</v>
      </c>
      <c r="AM68" s="26" t="s">
        <v>11300</v>
      </c>
      <c r="AN68" s="95">
        <f>+SUM(AN64:AN67)</f>
        <v>8679.99</v>
      </c>
      <c r="AO68" s="15"/>
      <c r="AP68" s="9">
        <v>3319.99</v>
      </c>
      <c r="AQ68" s="26" t="s">
        <v>11498</v>
      </c>
      <c r="AR68" s="26"/>
      <c r="AS68" s="26"/>
      <c r="AT68" s="9">
        <v>1169</v>
      </c>
      <c r="AU68" s="15" t="s">
        <v>11432</v>
      </c>
      <c r="AV68" s="95">
        <f>+AV66+AV67</f>
        <v>1890.3400000000001</v>
      </c>
      <c r="AW68" s="15"/>
      <c r="AX68" s="9">
        <v>1169</v>
      </c>
      <c r="AY68" s="15" t="s">
        <v>11560</v>
      </c>
      <c r="AZ68" s="15">
        <v>3250</v>
      </c>
      <c r="BA68" s="15" t="s">
        <v>11632</v>
      </c>
      <c r="BB68" s="9">
        <v>3624</v>
      </c>
      <c r="BC68" s="15" t="s">
        <v>11701</v>
      </c>
      <c r="BD68" s="7">
        <v>1949.99</v>
      </c>
      <c r="BE68" s="26" t="s">
        <v>11735</v>
      </c>
      <c r="BF68" s="9"/>
      <c r="BG68" s="15"/>
      <c r="BH68" s="9"/>
      <c r="BI68" s="15"/>
      <c r="BJ68" s="9"/>
      <c r="BK68" s="15"/>
      <c r="BL68" s="9"/>
      <c r="BM68" s="15"/>
      <c r="BN68" s="9"/>
      <c r="BO68" s="15"/>
      <c r="BP68" s="9"/>
      <c r="BQ68" s="15"/>
      <c r="BR68" s="9"/>
      <c r="BS68" s="15"/>
      <c r="BT68" s="9"/>
      <c r="BU68" s="15"/>
      <c r="BV68" s="9"/>
      <c r="BW68" s="15"/>
      <c r="BX68" s="9"/>
      <c r="BY68" s="15"/>
      <c r="BZ68" s="9"/>
      <c r="CA68" s="15"/>
      <c r="CB68" s="9"/>
      <c r="CC68" s="15"/>
      <c r="CD68" s="9"/>
      <c r="CE68" s="15"/>
      <c r="CF68" s="9"/>
      <c r="CG68" s="15"/>
      <c r="CH68" s="9"/>
      <c r="CI68" s="15"/>
      <c r="CJ68" s="9"/>
      <c r="CK68" s="15"/>
      <c r="CL68" s="9"/>
      <c r="CM68" s="15"/>
      <c r="CN68" s="9"/>
      <c r="CO68" s="15"/>
      <c r="CP68" s="9"/>
    </row>
    <row r="69" spans="1:94" x14ac:dyDescent="0.25">
      <c r="A69" s="41"/>
      <c r="B69" s="9">
        <v>2040</v>
      </c>
      <c r="C69" s="15" t="s">
        <v>10536</v>
      </c>
      <c r="D69" s="9">
        <v>1440.33</v>
      </c>
      <c r="E69" s="15" t="s">
        <v>10571</v>
      </c>
      <c r="F69" s="9">
        <v>1169</v>
      </c>
      <c r="G69" s="15" t="s">
        <v>10622</v>
      </c>
      <c r="H69" s="9">
        <v>6779.99</v>
      </c>
      <c r="I69" s="15" t="s">
        <v>10677</v>
      </c>
      <c r="J69" s="9">
        <v>478.99</v>
      </c>
      <c r="K69" s="15" t="s">
        <v>10745</v>
      </c>
      <c r="L69" s="9">
        <v>3169</v>
      </c>
      <c r="M69" s="15" t="s">
        <v>10765</v>
      </c>
      <c r="N69" s="9"/>
      <c r="O69" s="15"/>
      <c r="P69" s="72"/>
      <c r="Q69" s="15"/>
      <c r="R69" s="9"/>
      <c r="S69" s="26"/>
      <c r="T69" s="9"/>
      <c r="U69" s="15"/>
      <c r="V69" s="9">
        <v>1169.01</v>
      </c>
      <c r="W69" s="15" t="s">
        <v>11005</v>
      </c>
      <c r="X69" s="9">
        <v>7797.58</v>
      </c>
      <c r="Y69" s="15" t="s">
        <v>11040</v>
      </c>
      <c r="Z69" s="9">
        <v>5000</v>
      </c>
      <c r="AA69" s="15" t="s">
        <v>11059</v>
      </c>
      <c r="AB69" s="9">
        <v>3320</v>
      </c>
      <c r="AC69" s="15" t="s">
        <v>11134</v>
      </c>
      <c r="AD69" s="72"/>
      <c r="AE69" s="15"/>
      <c r="AF69" s="9"/>
      <c r="AG69" s="15"/>
      <c r="AH69" s="9">
        <v>20000</v>
      </c>
      <c r="AI69" s="15" t="s">
        <v>11227</v>
      </c>
      <c r="AJ69" s="9">
        <v>920</v>
      </c>
      <c r="AK69" s="15" t="s">
        <v>11283</v>
      </c>
      <c r="AL69" s="9">
        <v>1000</v>
      </c>
      <c r="AM69" s="15" t="s">
        <v>11304</v>
      </c>
      <c r="AN69" s="95"/>
      <c r="AO69" s="15"/>
      <c r="AP69" s="9">
        <v>2866</v>
      </c>
      <c r="AQ69" s="15" t="s">
        <v>11499</v>
      </c>
      <c r="AR69" s="9"/>
      <c r="AS69" s="15"/>
      <c r="AT69" s="9">
        <v>2884.99</v>
      </c>
      <c r="AU69" s="15" t="s">
        <v>11433</v>
      </c>
      <c r="AV69" s="72"/>
      <c r="AW69" s="15"/>
      <c r="AX69" s="72">
        <v>1169</v>
      </c>
      <c r="AY69" s="15" t="s">
        <v>11561</v>
      </c>
      <c r="AZ69" s="9">
        <v>1970</v>
      </c>
      <c r="BA69" s="15" t="s">
        <v>11638</v>
      </c>
      <c r="BB69" s="9">
        <v>254.92</v>
      </c>
      <c r="BC69" s="15" t="s">
        <v>11705</v>
      </c>
      <c r="BD69" s="95">
        <f>+SUM(BD59:BD68)</f>
        <v>216511.83</v>
      </c>
      <c r="BE69" s="15"/>
      <c r="BF69" s="9"/>
      <c r="BG69" s="15"/>
      <c r="BH69" s="9"/>
      <c r="BI69" s="15"/>
      <c r="BJ69" s="9"/>
      <c r="BK69" s="15"/>
      <c r="BL69" s="9"/>
      <c r="BM69" s="15"/>
      <c r="BN69" s="15"/>
      <c r="BO69" s="15"/>
      <c r="BP69" s="9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</row>
    <row r="70" spans="1:94" x14ac:dyDescent="0.25">
      <c r="A70" s="41"/>
      <c r="B70" s="9">
        <v>760</v>
      </c>
      <c r="C70" s="15" t="s">
        <v>10537</v>
      </c>
      <c r="D70" s="95">
        <f>+SUM(D59:D69)</f>
        <v>24319.29</v>
      </c>
      <c r="E70" s="15"/>
      <c r="F70" s="9">
        <v>4169.01</v>
      </c>
      <c r="G70" s="15" t="s">
        <v>10623</v>
      </c>
      <c r="H70" s="9">
        <v>1169</v>
      </c>
      <c r="I70" s="15" t="s">
        <v>10679</v>
      </c>
      <c r="J70" s="72">
        <v>1395</v>
      </c>
      <c r="K70" s="24" t="s">
        <v>10715</v>
      </c>
      <c r="L70" s="9">
        <v>2444.9899999999998</v>
      </c>
      <c r="M70" s="15" t="s">
        <v>10769</v>
      </c>
      <c r="N70" s="72"/>
      <c r="O70" s="15"/>
      <c r="P70" s="9"/>
      <c r="Q70" s="15"/>
      <c r="R70" s="9"/>
      <c r="S70" s="26"/>
      <c r="T70" s="9"/>
      <c r="U70" s="15"/>
      <c r="V70" s="9">
        <v>3239</v>
      </c>
      <c r="W70" s="15" t="s">
        <v>11007</v>
      </c>
      <c r="X70" s="9">
        <v>2039.99</v>
      </c>
      <c r="Y70" s="15" t="s">
        <v>11042</v>
      </c>
      <c r="Z70" s="9">
        <v>25647.84</v>
      </c>
      <c r="AA70" s="15" t="s">
        <v>11066</v>
      </c>
      <c r="AB70" s="95">
        <f>+SUM(AB67:AB69)</f>
        <v>22979.71</v>
      </c>
      <c r="AC70" s="15"/>
      <c r="AD70" s="72"/>
      <c r="AE70" s="85"/>
      <c r="AF70" s="9"/>
      <c r="AG70" s="15"/>
      <c r="AH70" s="9">
        <v>2600</v>
      </c>
      <c r="AI70" s="15" t="s">
        <v>11229</v>
      </c>
      <c r="AJ70" s="72">
        <v>3250.01</v>
      </c>
      <c r="AK70" s="15" t="s">
        <v>11284</v>
      </c>
      <c r="AL70" s="9">
        <v>3250</v>
      </c>
      <c r="AM70" s="15" t="s">
        <v>11310</v>
      </c>
      <c r="AN70" s="9"/>
      <c r="AO70" s="15"/>
      <c r="AP70" s="9">
        <v>1169</v>
      </c>
      <c r="AQ70" s="15" t="s">
        <v>11504</v>
      </c>
      <c r="AR70" s="7"/>
      <c r="AS70" s="26"/>
      <c r="AT70" s="9">
        <v>3320</v>
      </c>
      <c r="AU70" s="15" t="s">
        <v>11436</v>
      </c>
      <c r="AV70" s="9"/>
      <c r="AW70" s="15"/>
      <c r="AX70" s="9">
        <v>3630.01</v>
      </c>
      <c r="AY70" s="15" t="s">
        <v>11563</v>
      </c>
      <c r="AZ70" s="9">
        <v>590.85</v>
      </c>
      <c r="BA70" s="15" t="s">
        <v>11639</v>
      </c>
      <c r="BB70" s="95">
        <f>+SUM(BB64:BB69)</f>
        <v>47732.92</v>
      </c>
      <c r="BC70" s="15"/>
      <c r="BD70" s="9"/>
      <c r="BE70" s="15"/>
      <c r="BF70" s="9"/>
      <c r="BG70" s="15"/>
      <c r="BH70" s="72"/>
      <c r="BI70" s="15"/>
      <c r="BJ70" s="9"/>
      <c r="BK70" s="15"/>
      <c r="BL70" s="9"/>
      <c r="BM70" s="15"/>
      <c r="BN70" s="9"/>
      <c r="BO70" s="15"/>
      <c r="BP70" s="9"/>
      <c r="BQ70" s="15"/>
      <c r="BR70" s="9"/>
      <c r="BS70" s="15"/>
      <c r="BT70" s="9"/>
      <c r="BU70" s="15"/>
      <c r="BV70" s="9"/>
      <c r="BW70" s="15"/>
      <c r="BX70" s="9"/>
      <c r="BY70" s="15"/>
      <c r="BZ70" s="9"/>
      <c r="CA70" s="15"/>
      <c r="CB70" s="9"/>
      <c r="CC70" s="15"/>
      <c r="CD70" s="9"/>
      <c r="CE70" s="15"/>
      <c r="CF70" s="9"/>
      <c r="CG70" s="15"/>
      <c r="CH70" s="9"/>
      <c r="CI70" s="15"/>
      <c r="CJ70" s="9"/>
      <c r="CK70" s="15"/>
      <c r="CL70" s="9"/>
      <c r="CM70" s="15"/>
      <c r="CN70" s="9"/>
      <c r="CO70" s="15"/>
      <c r="CP70" s="9"/>
    </row>
    <row r="71" spans="1:94" x14ac:dyDescent="0.25">
      <c r="A71" s="41"/>
      <c r="B71" s="95">
        <f>+SUM(B59:B70)</f>
        <v>28416.12</v>
      </c>
      <c r="C71" s="15"/>
      <c r="D71" s="9"/>
      <c r="E71" s="15"/>
      <c r="F71" s="9">
        <v>2360.0100000000002</v>
      </c>
      <c r="G71" s="15" t="s">
        <v>10624</v>
      </c>
      <c r="H71" s="9">
        <v>4464.99</v>
      </c>
      <c r="I71" s="15" t="s">
        <v>10681</v>
      </c>
      <c r="J71" s="95">
        <f>+SUM(J64:J70)</f>
        <v>54652</v>
      </c>
      <c r="K71" s="15"/>
      <c r="L71" s="72">
        <v>1169</v>
      </c>
      <c r="M71" s="15" t="s">
        <v>10773</v>
      </c>
      <c r="N71" s="72"/>
      <c r="O71" s="15"/>
      <c r="P71" s="9"/>
      <c r="Q71" s="15"/>
      <c r="R71" s="9"/>
      <c r="S71" s="15"/>
      <c r="T71" s="9"/>
      <c r="U71" s="15"/>
      <c r="V71" s="9">
        <v>2279.9899999999998</v>
      </c>
      <c r="W71" s="15" t="s">
        <v>11008</v>
      </c>
      <c r="X71" s="15">
        <v>2040</v>
      </c>
      <c r="Y71" s="15" t="s">
        <v>11043</v>
      </c>
      <c r="Z71" s="9">
        <v>5519.76</v>
      </c>
      <c r="AA71" s="15" t="s">
        <v>11068</v>
      </c>
      <c r="AB71" s="9"/>
      <c r="AC71" s="15"/>
      <c r="AD71" s="72"/>
      <c r="AE71" s="15"/>
      <c r="AF71" s="9"/>
      <c r="AG71" s="15"/>
      <c r="AH71" s="72">
        <f>39694.25-24694.25</f>
        <v>15000</v>
      </c>
      <c r="AI71" s="24" t="s">
        <v>11230</v>
      </c>
      <c r="AJ71" s="72">
        <v>4146.0600000000004</v>
      </c>
      <c r="AK71" s="15" t="s">
        <v>11285</v>
      </c>
      <c r="AL71" s="9">
        <v>1169</v>
      </c>
      <c r="AM71" s="15" t="s">
        <v>11313</v>
      </c>
      <c r="AN71" s="72"/>
      <c r="AO71" s="15"/>
      <c r="AP71" s="9">
        <v>4975.99</v>
      </c>
      <c r="AQ71" s="15" t="s">
        <v>11508</v>
      </c>
      <c r="AR71" s="9"/>
      <c r="AS71" s="15"/>
      <c r="AT71" s="95">
        <f>+SUM(AT67:AT70)</f>
        <v>7981.8099999999995</v>
      </c>
      <c r="AU71" s="15"/>
      <c r="AV71" s="9"/>
      <c r="AW71" s="15"/>
      <c r="AX71" s="9">
        <v>4010</v>
      </c>
      <c r="AY71" s="15" t="s">
        <v>11564</v>
      </c>
      <c r="AZ71" s="9">
        <v>406.41</v>
      </c>
      <c r="BA71" s="15" t="s">
        <v>11640</v>
      </c>
      <c r="BB71" s="15"/>
      <c r="BC71" s="15"/>
      <c r="BD71" s="137"/>
      <c r="BE71" s="15"/>
      <c r="BF71" s="9"/>
      <c r="BG71" s="15"/>
      <c r="BH71" s="72"/>
      <c r="BI71" s="15"/>
      <c r="BJ71" s="9"/>
      <c r="BK71" s="15"/>
      <c r="BL71" s="9"/>
      <c r="BM71" s="15"/>
      <c r="BN71" s="9"/>
      <c r="BO71" s="15"/>
      <c r="BP71" s="9"/>
      <c r="BQ71" s="15"/>
      <c r="BR71" s="9"/>
      <c r="BS71" s="15"/>
      <c r="BT71" s="9"/>
      <c r="BU71" s="15"/>
      <c r="BV71" s="9"/>
      <c r="BW71" s="15"/>
      <c r="BX71" s="9"/>
      <c r="BY71" s="15"/>
      <c r="BZ71" s="9"/>
      <c r="CA71" s="15"/>
      <c r="CB71" s="9"/>
      <c r="CC71" s="15"/>
      <c r="CD71" s="9"/>
      <c r="CE71" s="15"/>
      <c r="CF71" s="9"/>
      <c r="CG71" s="15"/>
      <c r="CH71" s="9"/>
      <c r="CI71" s="15"/>
      <c r="CJ71" s="9"/>
      <c r="CK71" s="15"/>
      <c r="CL71" s="9"/>
      <c r="CM71" s="15"/>
      <c r="CN71" s="9"/>
      <c r="CO71" s="15"/>
      <c r="CP71" s="9"/>
    </row>
    <row r="72" spans="1:94" x14ac:dyDescent="0.25">
      <c r="A72" s="41"/>
      <c r="B72" s="15"/>
      <c r="C72" s="120"/>
      <c r="D72" s="15"/>
      <c r="E72" s="15"/>
      <c r="F72" s="9">
        <v>3250.01</v>
      </c>
      <c r="G72" s="15" t="s">
        <v>10619</v>
      </c>
      <c r="H72" s="9">
        <v>1169</v>
      </c>
      <c r="I72" s="15" t="s">
        <v>10686</v>
      </c>
      <c r="J72" s="9"/>
      <c r="K72" s="15"/>
      <c r="L72" s="95">
        <f>+SUM(L65:L71)</f>
        <v>9194.81</v>
      </c>
      <c r="M72" s="15"/>
      <c r="N72" s="72"/>
      <c r="O72" s="15"/>
      <c r="P72" s="9"/>
      <c r="Q72" s="15"/>
      <c r="R72" s="9"/>
      <c r="S72" s="15"/>
      <c r="T72" s="9"/>
      <c r="U72" s="15"/>
      <c r="V72" s="9">
        <v>1589</v>
      </c>
      <c r="W72" s="15" t="s">
        <v>11009</v>
      </c>
      <c r="X72" s="9">
        <v>3319.99</v>
      </c>
      <c r="Y72" s="15" t="s">
        <v>11044</v>
      </c>
      <c r="Z72" s="9">
        <v>2170.08</v>
      </c>
      <c r="AA72" s="15" t="s">
        <v>11071</v>
      </c>
      <c r="AB72" s="9"/>
      <c r="AC72" s="15"/>
      <c r="AD72" s="9"/>
      <c r="AE72" s="15"/>
      <c r="AF72" s="9"/>
      <c r="AG72" s="15"/>
      <c r="AH72" s="9">
        <v>717.55</v>
      </c>
      <c r="AI72" s="15" t="s">
        <v>11234</v>
      </c>
      <c r="AJ72" s="9">
        <v>1099.01</v>
      </c>
      <c r="AK72" s="15" t="s">
        <v>11289</v>
      </c>
      <c r="AL72" s="9">
        <f>2040-1340</f>
        <v>700</v>
      </c>
      <c r="AM72" s="15" t="s">
        <v>11321</v>
      </c>
      <c r="AN72" s="9"/>
      <c r="AO72" s="15"/>
      <c r="AP72" s="95">
        <f>+SUM(AP59:AP71)</f>
        <v>90977.400000000009</v>
      </c>
      <c r="AQ72" s="15"/>
      <c r="AR72" s="15"/>
      <c r="AS72" s="15"/>
      <c r="AT72" s="9"/>
      <c r="AU72" s="15"/>
      <c r="AV72" s="14"/>
      <c r="AW72" s="13"/>
      <c r="AX72" s="9">
        <v>1099.01</v>
      </c>
      <c r="AY72" s="15" t="s">
        <v>11567</v>
      </c>
      <c r="AZ72" s="15">
        <v>1301.45</v>
      </c>
      <c r="BA72" s="15" t="s">
        <v>11641</v>
      </c>
      <c r="BB72" s="9"/>
      <c r="BC72" s="15"/>
      <c r="BD72" s="137"/>
      <c r="BE72" s="15"/>
      <c r="BF72" s="9"/>
      <c r="BG72" s="15"/>
      <c r="BH72" s="9"/>
      <c r="BI72" s="15"/>
      <c r="BJ72" s="9"/>
      <c r="BK72" s="15"/>
      <c r="BL72" s="9"/>
      <c r="BM72" s="15"/>
      <c r="BN72" s="15"/>
      <c r="BO72" s="15"/>
      <c r="BP72" s="9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</row>
    <row r="73" spans="1:94" x14ac:dyDescent="0.25">
      <c r="A73" s="41"/>
      <c r="B73" s="149">
        <v>2669.82</v>
      </c>
      <c r="C73" s="15" t="s">
        <v>10576</v>
      </c>
      <c r="D73" s="9"/>
      <c r="E73" s="15"/>
      <c r="F73" s="9">
        <v>10214.07</v>
      </c>
      <c r="G73" s="15" t="s">
        <v>10615</v>
      </c>
      <c r="H73" s="95">
        <f>+SUM(H64:H72)</f>
        <v>24129.979999999996</v>
      </c>
      <c r="I73" s="15"/>
      <c r="J73" s="9"/>
      <c r="K73" s="15"/>
      <c r="L73" s="9"/>
      <c r="M73" s="15"/>
      <c r="N73" s="15"/>
      <c r="O73" s="15"/>
      <c r="P73" s="9"/>
      <c r="Q73" s="15"/>
      <c r="R73" s="9"/>
      <c r="S73" s="15"/>
      <c r="T73" s="9"/>
      <c r="U73" s="15"/>
      <c r="V73" s="9">
        <v>1970</v>
      </c>
      <c r="W73" s="15" t="s">
        <v>11011</v>
      </c>
      <c r="X73" s="9">
        <v>1099</v>
      </c>
      <c r="Y73" s="15" t="s">
        <v>11046</v>
      </c>
      <c r="Z73" s="9">
        <v>3580.35</v>
      </c>
      <c r="AA73" s="15" t="s">
        <v>11076</v>
      </c>
      <c r="AB73" s="9"/>
      <c r="AC73" s="15"/>
      <c r="AD73" s="9"/>
      <c r="AE73" s="15"/>
      <c r="AF73" s="15"/>
      <c r="AG73" s="15"/>
      <c r="AH73" s="9">
        <v>1099.01</v>
      </c>
      <c r="AI73" s="15" t="s">
        <v>11238</v>
      </c>
      <c r="AJ73" s="72">
        <v>2040</v>
      </c>
      <c r="AK73" s="15" t="s">
        <v>11291</v>
      </c>
      <c r="AL73" s="95">
        <f>+SUM(AL67:AL72)</f>
        <v>16407.11</v>
      </c>
      <c r="AM73" s="15"/>
      <c r="AN73" s="15"/>
      <c r="AO73" s="15"/>
      <c r="AP73" s="9"/>
      <c r="AQ73" s="15"/>
      <c r="AR73" s="9"/>
      <c r="AS73" s="15"/>
      <c r="AT73" s="9"/>
      <c r="AU73" s="15"/>
      <c r="AV73" s="15"/>
      <c r="AW73" s="15"/>
      <c r="AX73" s="9">
        <v>1169</v>
      </c>
      <c r="AY73" s="15" t="s">
        <v>11568</v>
      </c>
      <c r="AZ73" s="95">
        <f>+SUM(AZ63:AZ72)</f>
        <v>67786.87000000001</v>
      </c>
      <c r="BA73" s="15"/>
      <c r="BB73" s="9"/>
      <c r="BC73" s="15"/>
      <c r="BD73" s="9"/>
      <c r="BE73" s="15"/>
      <c r="BF73" s="9"/>
      <c r="BG73" s="15"/>
      <c r="BH73" s="9"/>
      <c r="BI73" s="15"/>
      <c r="BJ73" s="9"/>
      <c r="BK73" s="15"/>
      <c r="BL73" s="9"/>
      <c r="BM73" s="15"/>
      <c r="BN73" s="9"/>
      <c r="BO73" s="15"/>
      <c r="BP73" s="9"/>
      <c r="BQ73" s="15"/>
      <c r="BR73" s="9"/>
      <c r="BS73" s="15"/>
      <c r="BT73" s="9"/>
      <c r="BU73" s="15"/>
      <c r="BV73" s="9"/>
      <c r="BW73" s="15"/>
      <c r="BX73" s="9"/>
      <c r="BY73" s="15"/>
      <c r="BZ73" s="9"/>
      <c r="CA73" s="15"/>
      <c r="CB73" s="9"/>
      <c r="CC73" s="15"/>
      <c r="CD73" s="9"/>
      <c r="CE73" s="15"/>
      <c r="CF73" s="9"/>
      <c r="CG73" s="15"/>
      <c r="CH73" s="9"/>
      <c r="CI73" s="15"/>
      <c r="CJ73" s="9"/>
      <c r="CK73" s="15"/>
      <c r="CL73" s="9"/>
      <c r="CM73" s="15"/>
      <c r="CN73" s="9"/>
      <c r="CO73" s="15"/>
      <c r="CP73" s="9"/>
    </row>
    <row r="74" spans="1:94" x14ac:dyDescent="0.25">
      <c r="A74" s="41"/>
      <c r="B74" s="15"/>
      <c r="C74" s="15"/>
      <c r="D74" s="9"/>
      <c r="E74" s="15"/>
      <c r="F74" s="95">
        <f>+SUM(F65:F73)</f>
        <v>64186.850000000006</v>
      </c>
      <c r="G74" s="15"/>
      <c r="H74" s="15"/>
      <c r="I74" s="15"/>
      <c r="J74" s="9"/>
      <c r="K74" s="15"/>
      <c r="L74" s="9"/>
      <c r="M74" s="15"/>
      <c r="N74" s="9"/>
      <c r="O74" s="15"/>
      <c r="P74" s="15"/>
      <c r="Q74" s="15"/>
      <c r="R74" s="15"/>
      <c r="S74" s="15"/>
      <c r="T74" s="9"/>
      <c r="U74" s="15"/>
      <c r="V74" s="9">
        <v>4395.01</v>
      </c>
      <c r="W74" s="15" t="s">
        <v>11012</v>
      </c>
      <c r="X74" s="9">
        <v>1970</v>
      </c>
      <c r="Y74" s="15" t="s">
        <v>11047</v>
      </c>
      <c r="Z74" s="15">
        <v>232</v>
      </c>
      <c r="AA74" s="15" t="s">
        <v>11077</v>
      </c>
      <c r="AB74" s="9"/>
      <c r="AC74" s="15"/>
      <c r="AD74" s="15"/>
      <c r="AE74" s="15"/>
      <c r="AF74" s="9"/>
      <c r="AG74" s="15"/>
      <c r="AH74" s="9">
        <v>1865</v>
      </c>
      <c r="AI74" s="15" t="s">
        <v>11240</v>
      </c>
      <c r="AJ74" s="72">
        <v>2031.01</v>
      </c>
      <c r="AK74" s="15" t="s">
        <v>11293</v>
      </c>
      <c r="AL74" s="9"/>
      <c r="AM74" s="15"/>
      <c r="AN74" s="9"/>
      <c r="AO74" s="15"/>
      <c r="AP74" s="9"/>
      <c r="AQ74" s="15"/>
      <c r="AR74" s="9"/>
      <c r="AS74" s="15"/>
      <c r="AT74" s="9"/>
      <c r="AU74" s="15"/>
      <c r="AV74" s="15"/>
      <c r="AW74" s="15"/>
      <c r="AX74" s="15">
        <v>1169.01</v>
      </c>
      <c r="AY74" s="15" t="s">
        <v>11569</v>
      </c>
      <c r="AZ74" s="9"/>
      <c r="BA74" s="15"/>
      <c r="BB74" s="9"/>
      <c r="BC74" s="15"/>
      <c r="BD74" s="9"/>
      <c r="BE74" s="15"/>
      <c r="BF74" s="15"/>
      <c r="BG74" s="15"/>
      <c r="BH74" s="9"/>
      <c r="BI74" s="15"/>
      <c r="BJ74" s="9"/>
      <c r="BK74" s="15"/>
      <c r="BL74" s="9"/>
      <c r="BM74" s="15"/>
      <c r="BN74" s="9"/>
      <c r="BO74" s="15"/>
      <c r="BP74" s="15"/>
      <c r="BQ74" s="15"/>
      <c r="BR74" s="9"/>
      <c r="BS74" s="15"/>
      <c r="BT74" s="9"/>
      <c r="BU74" s="15"/>
      <c r="BV74" s="9"/>
      <c r="BW74" s="15"/>
      <c r="BX74" s="9"/>
      <c r="BY74" s="15"/>
      <c r="BZ74" s="9"/>
      <c r="CA74" s="15"/>
      <c r="CB74" s="9"/>
      <c r="CC74" s="15"/>
      <c r="CD74" s="9"/>
      <c r="CE74" s="15"/>
      <c r="CF74" s="9"/>
      <c r="CG74" s="15"/>
      <c r="CH74" s="9"/>
      <c r="CI74" s="15"/>
      <c r="CJ74" s="9"/>
      <c r="CK74" s="15"/>
      <c r="CL74" s="9"/>
      <c r="CM74" s="15"/>
      <c r="CN74" s="9"/>
      <c r="CO74" s="15"/>
      <c r="CP74" s="9"/>
    </row>
    <row r="75" spans="1:94" x14ac:dyDescent="0.25">
      <c r="A75" s="41"/>
      <c r="B75" s="9"/>
      <c r="C75" s="15"/>
      <c r="D75" s="9"/>
      <c r="E75" s="15"/>
      <c r="F75" s="9"/>
      <c r="G75" s="15"/>
      <c r="H75" s="9"/>
      <c r="I75" s="15"/>
      <c r="J75" s="9"/>
      <c r="K75" s="15"/>
      <c r="L75" s="9"/>
      <c r="M75" s="15"/>
      <c r="N75" s="9"/>
      <c r="O75" s="15"/>
      <c r="P75" s="9"/>
      <c r="Q75" s="15"/>
      <c r="R75" s="15"/>
      <c r="S75" s="15"/>
      <c r="T75" s="9"/>
      <c r="U75" s="15"/>
      <c r="V75" s="252">
        <v>1099.01</v>
      </c>
      <c r="W75" s="15" t="s">
        <v>11013</v>
      </c>
      <c r="X75" s="137">
        <v>4134.9799999999996</v>
      </c>
      <c r="Y75" s="15" t="s">
        <v>11048</v>
      </c>
      <c r="Z75" s="9">
        <v>3319.99</v>
      </c>
      <c r="AA75" s="9" t="s">
        <v>11078</v>
      </c>
      <c r="AB75" s="15"/>
      <c r="AC75" s="15"/>
      <c r="AD75" s="9"/>
      <c r="AE75" s="15"/>
      <c r="AF75" s="9"/>
      <c r="AG75" s="15"/>
      <c r="AH75" s="9">
        <v>3669.8</v>
      </c>
      <c r="AI75" s="15" t="s">
        <v>11242</v>
      </c>
      <c r="AJ75" s="72">
        <v>4169.01</v>
      </c>
      <c r="AK75" s="15" t="s">
        <v>11294</v>
      </c>
      <c r="AL75" s="7"/>
      <c r="AM75" s="26"/>
      <c r="AN75" s="9"/>
      <c r="AO75" s="15"/>
      <c r="AP75" s="15"/>
      <c r="AQ75" s="15"/>
      <c r="AR75" s="72"/>
      <c r="AS75" s="15"/>
      <c r="AT75" s="9"/>
      <c r="AU75" s="15"/>
      <c r="AV75" s="9"/>
      <c r="AW75" s="15"/>
      <c r="AX75" s="15">
        <v>1169</v>
      </c>
      <c r="AY75" s="15" t="s">
        <v>11570</v>
      </c>
      <c r="AZ75" s="15"/>
      <c r="BA75" s="15"/>
      <c r="BB75" s="9"/>
      <c r="BC75" s="15"/>
      <c r="BD75" s="9"/>
      <c r="BE75" s="15"/>
      <c r="BF75" s="7"/>
      <c r="BG75" s="26"/>
      <c r="BH75" s="9"/>
      <c r="BI75" s="15"/>
      <c r="BJ75" s="9"/>
      <c r="BK75" s="15"/>
      <c r="BL75" s="9"/>
      <c r="BM75" s="15"/>
      <c r="BN75" s="9"/>
      <c r="BO75" s="15"/>
      <c r="BP75" s="15"/>
      <c r="BQ75" s="15"/>
      <c r="BR75" s="9"/>
      <c r="BS75" s="15"/>
      <c r="BT75" s="9"/>
      <c r="BU75" s="15"/>
      <c r="BV75" s="9"/>
      <c r="BW75" s="15"/>
      <c r="BX75" s="9"/>
      <c r="BY75" s="15"/>
      <c r="BZ75" s="9"/>
      <c r="CA75" s="15"/>
      <c r="CB75" s="9"/>
      <c r="CC75" s="15"/>
      <c r="CD75" s="9"/>
      <c r="CE75" s="15"/>
      <c r="CF75" s="9"/>
      <c r="CG75" s="15"/>
      <c r="CH75" s="9"/>
      <c r="CI75" s="15"/>
      <c r="CJ75" s="9"/>
      <c r="CK75" s="15"/>
      <c r="CL75" s="9"/>
      <c r="CM75" s="15"/>
      <c r="CN75" s="9"/>
      <c r="CO75" s="15"/>
      <c r="CP75" s="9"/>
    </row>
    <row r="76" spans="1:94" x14ac:dyDescent="0.25">
      <c r="A76" s="41"/>
      <c r="B76" s="9"/>
      <c r="C76" s="15"/>
      <c r="D76" s="9"/>
      <c r="E76" s="15"/>
      <c r="F76" s="15"/>
      <c r="G76" s="15"/>
      <c r="H76" s="15"/>
      <c r="I76" s="15"/>
      <c r="J76" s="9"/>
      <c r="K76" s="9"/>
      <c r="L76" s="9"/>
      <c r="M76" s="15"/>
      <c r="N76" s="15"/>
      <c r="O76" s="15"/>
      <c r="P76" s="9"/>
      <c r="Q76" s="15"/>
      <c r="R76" s="9"/>
      <c r="S76" s="15"/>
      <c r="T76" s="9"/>
      <c r="U76" s="15"/>
      <c r="V76" s="137">
        <v>505.01</v>
      </c>
      <c r="W76" s="15" t="s">
        <v>11018</v>
      </c>
      <c r="X76" s="137">
        <v>2984</v>
      </c>
      <c r="Y76" s="15" t="s">
        <v>11052</v>
      </c>
      <c r="Z76" s="9">
        <v>2725</v>
      </c>
      <c r="AA76" s="15" t="s">
        <v>11079</v>
      </c>
      <c r="AB76" s="9"/>
      <c r="AC76" s="15"/>
      <c r="AD76" s="9"/>
      <c r="AE76" s="15"/>
      <c r="AF76" s="9"/>
      <c r="AG76" s="15"/>
      <c r="AH76" s="9">
        <v>1099.02</v>
      </c>
      <c r="AI76" s="15" t="s">
        <v>11243</v>
      </c>
      <c r="AJ76" s="99">
        <f>+SUM(AJ59:AJ75)</f>
        <v>68127.73000000001</v>
      </c>
      <c r="AK76" s="15"/>
      <c r="AL76" s="72"/>
      <c r="AM76" s="15"/>
      <c r="AN76" s="9"/>
      <c r="AO76" s="15"/>
      <c r="AP76" s="15"/>
      <c r="AQ76" s="15"/>
      <c r="AR76" s="15"/>
      <c r="AS76" s="15"/>
      <c r="AT76" s="15"/>
      <c r="AU76" s="15"/>
      <c r="AV76" s="9"/>
      <c r="AW76" s="15"/>
      <c r="AX76" s="9">
        <v>1169</v>
      </c>
      <c r="AY76" s="15" t="s">
        <v>11571</v>
      </c>
      <c r="AZ76" s="9"/>
      <c r="BA76" s="15"/>
      <c r="BB76" s="9"/>
      <c r="BC76" s="26"/>
      <c r="BD76" s="9"/>
      <c r="BE76" s="15"/>
      <c r="BF76" s="72"/>
      <c r="BG76" s="15"/>
      <c r="BH76" s="9"/>
      <c r="BI76" s="15"/>
      <c r="BJ76" s="9"/>
      <c r="BK76" s="15"/>
      <c r="BL76" s="15"/>
      <c r="BM76" s="15"/>
      <c r="BN76" s="9"/>
      <c r="BO76" s="15"/>
      <c r="BP76" s="9"/>
      <c r="BQ76" s="15"/>
      <c r="BR76" s="9"/>
      <c r="BS76" s="15"/>
      <c r="BT76" s="9"/>
      <c r="BU76" s="15"/>
      <c r="BV76" s="9"/>
      <c r="BW76" s="15"/>
      <c r="BX76" s="9"/>
      <c r="BY76" s="15"/>
      <c r="BZ76" s="9"/>
      <c r="CA76" s="15"/>
      <c r="CB76" s="9"/>
      <c r="CC76" s="15"/>
      <c r="CD76" s="9"/>
      <c r="CE76" s="15"/>
      <c r="CF76" s="9"/>
      <c r="CG76" s="15"/>
      <c r="CH76" s="9"/>
      <c r="CI76" s="15"/>
      <c r="CJ76" s="9"/>
      <c r="CK76" s="15"/>
      <c r="CL76" s="9"/>
      <c r="CM76" s="15"/>
      <c r="CN76" s="9"/>
      <c r="CO76" s="15"/>
      <c r="CP76" s="9"/>
    </row>
    <row r="77" spans="1:94" x14ac:dyDescent="0.25">
      <c r="A77" s="41"/>
      <c r="B77" s="9"/>
      <c r="C77" s="15"/>
      <c r="D77" s="9"/>
      <c r="E77" s="15"/>
      <c r="F77" s="15"/>
      <c r="G77" s="15"/>
      <c r="H77" s="9"/>
      <c r="I77" s="15"/>
      <c r="J77" s="15"/>
      <c r="K77" s="9"/>
      <c r="L77" s="9"/>
      <c r="M77" s="15"/>
      <c r="N77" s="9"/>
      <c r="O77" s="15"/>
      <c r="P77" s="9"/>
      <c r="Q77" s="15"/>
      <c r="R77" s="9"/>
      <c r="S77" s="15"/>
      <c r="T77" s="9"/>
      <c r="U77" s="15"/>
      <c r="V77" s="9">
        <v>1168.99</v>
      </c>
      <c r="W77" s="15" t="s">
        <v>11019</v>
      </c>
      <c r="X77" s="9">
        <v>489.76</v>
      </c>
      <c r="Y77" s="15" t="s">
        <v>11054</v>
      </c>
      <c r="Z77" s="9">
        <v>2040</v>
      </c>
      <c r="AA77" s="15" t="s">
        <v>11080</v>
      </c>
      <c r="AB77" s="15"/>
      <c r="AC77" s="15"/>
      <c r="AD77" s="15"/>
      <c r="AE77" s="15"/>
      <c r="AF77" s="15"/>
      <c r="AG77" s="15"/>
      <c r="AH77" s="9">
        <v>1168.99</v>
      </c>
      <c r="AI77" s="15" t="s">
        <v>11248</v>
      </c>
      <c r="AJ77" s="72"/>
      <c r="AK77" s="15"/>
      <c r="AL77" s="9"/>
      <c r="AM77" s="15"/>
      <c r="AN77" s="9"/>
      <c r="AO77" s="15"/>
      <c r="AP77" s="9"/>
      <c r="AQ77" s="15"/>
      <c r="AR77" s="9"/>
      <c r="AS77" s="15"/>
      <c r="AT77" s="24"/>
      <c r="AU77" s="15"/>
      <c r="AV77" s="9"/>
      <c r="AW77" s="15"/>
      <c r="AX77" s="9">
        <v>449.02</v>
      </c>
      <c r="AY77" s="15" t="s">
        <v>11573</v>
      </c>
      <c r="AZ77" s="9"/>
      <c r="BA77" s="15"/>
      <c r="BB77" s="9"/>
      <c r="BC77" s="15"/>
      <c r="BD77" s="9"/>
      <c r="BE77" s="15"/>
      <c r="BF77" s="72"/>
      <c r="BG77" s="15"/>
      <c r="BH77" s="9"/>
      <c r="BI77" s="15"/>
      <c r="BJ77" s="9"/>
      <c r="BK77" s="15"/>
      <c r="BL77" s="9"/>
      <c r="BM77" s="15"/>
      <c r="BN77" s="9"/>
      <c r="BO77" s="15"/>
      <c r="BP77" s="9"/>
      <c r="BQ77" s="15"/>
      <c r="BR77" s="9"/>
      <c r="BS77" s="15"/>
      <c r="BT77" s="9"/>
      <c r="BU77" s="15"/>
      <c r="BV77" s="9"/>
      <c r="BW77" s="15"/>
      <c r="BX77" s="9"/>
      <c r="BY77" s="15"/>
      <c r="BZ77" s="9"/>
      <c r="CA77" s="15"/>
      <c r="CB77" s="9"/>
      <c r="CC77" s="15"/>
      <c r="CD77" s="9"/>
      <c r="CE77" s="15"/>
      <c r="CF77" s="9"/>
      <c r="CG77" s="15"/>
      <c r="CH77" s="9"/>
      <c r="CI77" s="15"/>
      <c r="CJ77" s="9"/>
      <c r="CK77" s="15"/>
      <c r="CL77" s="9"/>
      <c r="CM77" s="15"/>
      <c r="CN77" s="9"/>
      <c r="CO77" s="15"/>
      <c r="CP77" s="9"/>
    </row>
    <row r="78" spans="1:94" x14ac:dyDescent="0.25">
      <c r="A78" s="41"/>
      <c r="B78" s="9"/>
      <c r="C78" s="15"/>
      <c r="D78" s="9"/>
      <c r="E78" s="15"/>
      <c r="F78" s="9"/>
      <c r="G78" s="15"/>
      <c r="H78" s="9"/>
      <c r="I78" s="15"/>
      <c r="J78" s="9"/>
      <c r="K78" s="15"/>
      <c r="L78" s="9"/>
      <c r="M78" s="15"/>
      <c r="N78" s="72"/>
      <c r="O78" s="15"/>
      <c r="P78" s="9"/>
      <c r="Q78" s="15"/>
      <c r="R78" s="9"/>
      <c r="S78" s="15"/>
      <c r="T78" s="15"/>
      <c r="U78" s="15"/>
      <c r="V78" s="9">
        <v>2040</v>
      </c>
      <c r="W78" s="15" t="s">
        <v>11021</v>
      </c>
      <c r="X78" s="91">
        <v>1000</v>
      </c>
      <c r="Y78" s="15" t="s">
        <v>11058</v>
      </c>
      <c r="Z78" s="9">
        <f>3978.09-3400</f>
        <v>578.09000000000015</v>
      </c>
      <c r="AA78" s="15" t="s">
        <v>11084</v>
      </c>
      <c r="AB78" s="9"/>
      <c r="AC78" s="15"/>
      <c r="AD78" s="9"/>
      <c r="AE78" s="15"/>
      <c r="AF78" s="9"/>
      <c r="AG78" s="15"/>
      <c r="AH78" s="9">
        <v>1169</v>
      </c>
      <c r="AI78" s="15" t="s">
        <v>11252</v>
      </c>
      <c r="AJ78" s="72"/>
      <c r="AK78" s="15"/>
      <c r="AL78" s="15"/>
      <c r="AM78" s="15"/>
      <c r="AN78" s="9"/>
      <c r="AO78" s="15"/>
      <c r="AP78" s="15"/>
      <c r="AQ78" s="15"/>
      <c r="AR78" s="9"/>
      <c r="AS78" s="15"/>
      <c r="AT78" s="9"/>
      <c r="AU78" s="15"/>
      <c r="AV78" s="229"/>
      <c r="AW78" s="15"/>
      <c r="AX78" s="132">
        <f>+SUM(AX65:AX77)</f>
        <v>91906.099999999991</v>
      </c>
      <c r="AY78" s="15"/>
      <c r="AZ78" s="9"/>
      <c r="BA78" s="15"/>
      <c r="BB78" s="137"/>
      <c r="BC78" s="15"/>
      <c r="BD78" s="15"/>
      <c r="BE78" s="15"/>
      <c r="BF78" s="9"/>
      <c r="BG78" s="15"/>
      <c r="BH78" s="15"/>
      <c r="BI78" s="15"/>
      <c r="BJ78" s="9"/>
      <c r="BK78" s="15"/>
      <c r="BL78" s="9"/>
      <c r="BM78" s="15"/>
      <c r="BN78" s="9"/>
      <c r="BO78" s="15"/>
      <c r="BP78" s="9"/>
      <c r="BQ78" s="15"/>
      <c r="BR78" s="9"/>
      <c r="BS78" s="15"/>
      <c r="BT78" s="9"/>
      <c r="BU78" s="15"/>
      <c r="BV78" s="9"/>
      <c r="BW78" s="15"/>
      <c r="BX78" s="9"/>
      <c r="BY78" s="15"/>
      <c r="BZ78" s="9"/>
      <c r="CA78" s="15"/>
      <c r="CB78" s="9"/>
      <c r="CC78" s="15"/>
      <c r="CD78" s="9"/>
      <c r="CE78" s="15"/>
      <c r="CF78" s="9"/>
      <c r="CG78" s="15"/>
      <c r="CH78" s="9"/>
      <c r="CI78" s="15"/>
      <c r="CJ78" s="9"/>
      <c r="CK78" s="15"/>
      <c r="CL78" s="9"/>
      <c r="CM78" s="15"/>
      <c r="CN78" s="9"/>
      <c r="CO78" s="15"/>
      <c r="CP78" s="9"/>
    </row>
    <row r="79" spans="1:94" x14ac:dyDescent="0.25">
      <c r="A79" s="41"/>
      <c r="B79" s="9"/>
      <c r="C79" s="15"/>
      <c r="D79" s="9"/>
      <c r="E79" s="15"/>
      <c r="F79" s="9"/>
      <c r="G79" s="15"/>
      <c r="H79" s="9"/>
      <c r="I79" s="15"/>
      <c r="J79" s="9"/>
      <c r="K79" s="15"/>
      <c r="L79" s="9"/>
      <c r="M79" s="15"/>
      <c r="N79" s="15"/>
      <c r="O79" s="15"/>
      <c r="P79" s="9"/>
      <c r="Q79" s="15"/>
      <c r="R79" s="9"/>
      <c r="S79" s="15"/>
      <c r="T79" s="9"/>
      <c r="U79" s="15"/>
      <c r="V79" s="9">
        <v>3319.99</v>
      </c>
      <c r="W79" s="15" t="s">
        <v>11022</v>
      </c>
      <c r="X79" s="15">
        <f>+SUM(X66:X78)</f>
        <v>35722.200000000004</v>
      </c>
      <c r="Y79" s="15"/>
      <c r="Z79" s="9">
        <v>3658.99</v>
      </c>
      <c r="AA79" s="15" t="s">
        <v>11086</v>
      </c>
      <c r="AB79" s="9"/>
      <c r="AC79" s="15"/>
      <c r="AD79" s="9"/>
      <c r="AE79" s="15"/>
      <c r="AF79" s="9"/>
      <c r="AG79" s="15"/>
      <c r="AH79" s="9">
        <v>4395.01</v>
      </c>
      <c r="AI79" s="15" t="s">
        <v>11253</v>
      </c>
      <c r="AJ79" s="72"/>
      <c r="AK79" s="15"/>
      <c r="AL79" s="15"/>
      <c r="AM79" s="15"/>
      <c r="AN79" s="9"/>
      <c r="AO79" s="15"/>
      <c r="AP79" s="9"/>
      <c r="AQ79" s="15"/>
      <c r="AR79" s="9"/>
      <c r="AS79" s="15"/>
      <c r="AT79" s="120"/>
      <c r="AU79" s="15"/>
      <c r="AV79" s="9"/>
      <c r="AW79" s="15"/>
      <c r="AX79" s="9"/>
      <c r="AY79" s="15"/>
      <c r="AZ79" s="9"/>
      <c r="BA79" s="15"/>
      <c r="BB79" s="72"/>
      <c r="BC79" s="15"/>
      <c r="BD79" s="9"/>
      <c r="BE79" s="15"/>
      <c r="BF79" s="9"/>
      <c r="BG79" s="15"/>
      <c r="BH79" s="15"/>
      <c r="BI79" s="15"/>
      <c r="BJ79" s="9"/>
      <c r="BK79" s="15"/>
      <c r="BL79" s="9"/>
      <c r="BM79" s="15"/>
      <c r="BN79" s="9"/>
      <c r="BO79" s="15"/>
      <c r="BP79" s="9"/>
      <c r="BQ79" s="15"/>
      <c r="BR79" s="9"/>
      <c r="BS79" s="15"/>
      <c r="BT79" s="9"/>
      <c r="BU79" s="15"/>
      <c r="BV79" s="9"/>
      <c r="BW79" s="15"/>
      <c r="BX79" s="9"/>
      <c r="BY79" s="15"/>
      <c r="BZ79" s="9"/>
      <c r="CA79" s="15"/>
      <c r="CB79" s="9"/>
      <c r="CC79" s="15"/>
      <c r="CD79" s="9"/>
      <c r="CE79" s="15"/>
      <c r="CF79" s="9"/>
      <c r="CG79" s="15"/>
      <c r="CH79" s="9"/>
      <c r="CI79" s="15"/>
      <c r="CJ79" s="9"/>
      <c r="CK79" s="15"/>
      <c r="CL79" s="9"/>
      <c r="CM79" s="15"/>
      <c r="CN79" s="9"/>
      <c r="CO79" s="15"/>
      <c r="CP79" s="9"/>
    </row>
    <row r="80" spans="1:94" x14ac:dyDescent="0.25">
      <c r="A80" s="41"/>
      <c r="B80" s="9"/>
      <c r="C80" s="15"/>
      <c r="D80" s="9"/>
      <c r="E80" s="15"/>
      <c r="F80" s="24"/>
      <c r="G80" s="15"/>
      <c r="H80" s="9"/>
      <c r="I80" s="15"/>
      <c r="J80" s="9"/>
      <c r="K80" s="15"/>
      <c r="L80" s="9"/>
      <c r="M80" s="15"/>
      <c r="N80" s="9"/>
      <c r="O80" s="15"/>
      <c r="P80" s="9"/>
      <c r="Q80" s="15"/>
      <c r="R80" s="9"/>
      <c r="S80" s="15"/>
      <c r="T80" s="9"/>
      <c r="U80" s="15"/>
      <c r="V80" s="9">
        <v>2552.9899999999998</v>
      </c>
      <c r="W80" s="15" t="s">
        <v>11024</v>
      </c>
      <c r="X80" s="9"/>
      <c r="Y80" s="15"/>
      <c r="Z80" s="9">
        <f>1595.08-1363.08</f>
        <v>232</v>
      </c>
      <c r="AA80" s="15" t="s">
        <v>11094</v>
      </c>
      <c r="AB80" s="9"/>
      <c r="AC80" s="15"/>
      <c r="AD80" s="15"/>
      <c r="AE80" s="15"/>
      <c r="AF80" s="9"/>
      <c r="AG80" s="15"/>
      <c r="AH80" s="132">
        <f>+SUM(AH69:AH79)</f>
        <v>52783.380000000005</v>
      </c>
      <c r="AI80" s="15"/>
      <c r="AJ80" s="72"/>
      <c r="AK80" s="15"/>
      <c r="AL80" s="15"/>
      <c r="AM80" s="15"/>
      <c r="AN80" s="9"/>
      <c r="AO80" s="15"/>
      <c r="AP80" s="9"/>
      <c r="AQ80" s="15"/>
      <c r="AR80" s="9"/>
      <c r="AS80" s="15"/>
      <c r="AT80" s="9"/>
      <c r="AU80" s="15"/>
      <c r="AV80" s="133"/>
      <c r="AW80" s="15"/>
      <c r="AX80" s="133"/>
      <c r="AY80" s="15"/>
      <c r="AZ80" s="9"/>
      <c r="BA80" s="15"/>
      <c r="BB80" s="9"/>
      <c r="BC80" s="9"/>
      <c r="BD80" s="9"/>
      <c r="BE80" s="15"/>
      <c r="BF80" s="9"/>
      <c r="BG80" s="15"/>
      <c r="BH80" s="9"/>
      <c r="BI80" s="15"/>
      <c r="BJ80" s="9"/>
      <c r="BK80" s="15"/>
      <c r="BL80" s="9"/>
      <c r="BM80" s="15"/>
      <c r="BN80" s="9"/>
      <c r="BO80" s="15"/>
      <c r="BP80" s="15"/>
      <c r="BQ80" s="15"/>
      <c r="BR80" s="9"/>
      <c r="BS80" s="15"/>
      <c r="BT80" s="9"/>
      <c r="BU80" s="15"/>
      <c r="BV80" s="9"/>
      <c r="BW80" s="15"/>
      <c r="BX80" s="9"/>
      <c r="BY80" s="15"/>
      <c r="BZ80" s="9"/>
      <c r="CA80" s="15"/>
      <c r="CB80" s="9"/>
      <c r="CC80" s="15"/>
      <c r="CD80" s="9"/>
      <c r="CE80" s="15"/>
      <c r="CF80" s="9"/>
      <c r="CG80" s="15"/>
      <c r="CH80" s="9"/>
      <c r="CI80" s="15"/>
      <c r="CJ80" s="9"/>
      <c r="CK80" s="15"/>
      <c r="CL80" s="9"/>
      <c r="CM80" s="15"/>
      <c r="CN80" s="9"/>
      <c r="CO80" s="15"/>
      <c r="CP80" s="9"/>
    </row>
    <row r="81" spans="1:94" x14ac:dyDescent="0.25">
      <c r="A81" s="41"/>
      <c r="B81" s="9"/>
      <c r="C81" s="15"/>
      <c r="D81" s="9"/>
      <c r="E81" s="15"/>
      <c r="F81" s="9"/>
      <c r="G81" s="15"/>
      <c r="H81" s="9"/>
      <c r="I81" s="15"/>
      <c r="J81" s="9"/>
      <c r="K81" s="15"/>
      <c r="L81" s="9"/>
      <c r="M81" s="15"/>
      <c r="N81" s="9"/>
      <c r="O81" s="15"/>
      <c r="P81" s="9"/>
      <c r="Q81" s="15"/>
      <c r="R81" s="9"/>
      <c r="S81" s="15"/>
      <c r="T81" s="9"/>
      <c r="U81" s="15"/>
      <c r="V81" s="95">
        <f>+SUM(V66:V80)</f>
        <v>47531.77</v>
      </c>
      <c r="W81" s="15"/>
      <c r="X81" s="9"/>
      <c r="Y81" s="15"/>
      <c r="Z81" s="95">
        <f>+SUM(Z69:Z80)</f>
        <v>54704.1</v>
      </c>
      <c r="AA81" s="15"/>
      <c r="AB81" s="9"/>
      <c r="AC81" s="15"/>
      <c r="AD81" s="9"/>
      <c r="AE81" s="15"/>
      <c r="AF81" s="15"/>
      <c r="AG81" s="15"/>
      <c r="AH81" s="9"/>
      <c r="AI81" s="15"/>
      <c r="AJ81" s="72"/>
      <c r="AK81" s="15"/>
      <c r="AL81" s="9"/>
      <c r="AM81" s="15"/>
      <c r="AN81" s="9"/>
      <c r="AO81" s="15"/>
      <c r="AP81" s="9"/>
      <c r="AQ81" s="15"/>
      <c r="AR81" s="9"/>
      <c r="AS81" s="15"/>
      <c r="AT81" s="15"/>
      <c r="AU81" s="15"/>
      <c r="AV81" s="9"/>
      <c r="AW81" s="15"/>
      <c r="AX81" s="9"/>
      <c r="AY81" s="15"/>
      <c r="AZ81" s="9"/>
      <c r="BA81" s="15"/>
      <c r="BB81" s="15"/>
      <c r="BC81" s="15"/>
      <c r="BD81" s="9"/>
      <c r="BE81" s="15"/>
      <c r="BF81" s="9"/>
      <c r="BG81" s="15"/>
      <c r="BH81" s="9"/>
      <c r="BI81" s="15"/>
      <c r="BJ81" s="15"/>
      <c r="BK81" s="15"/>
      <c r="BL81" s="9"/>
      <c r="BM81" s="15"/>
      <c r="BN81" s="9"/>
      <c r="BO81" s="15"/>
      <c r="BP81" s="9"/>
      <c r="BQ81" s="15"/>
      <c r="BR81" s="9"/>
      <c r="BS81" s="15"/>
      <c r="BT81" s="9"/>
      <c r="BU81" s="15"/>
      <c r="BV81" s="9"/>
      <c r="BW81" s="15"/>
      <c r="BX81" s="9"/>
      <c r="BY81" s="15"/>
      <c r="BZ81" s="9"/>
      <c r="CA81" s="15"/>
      <c r="CB81" s="9"/>
      <c r="CC81" s="15"/>
      <c r="CD81" s="9"/>
      <c r="CE81" s="15"/>
      <c r="CF81" s="9"/>
      <c r="CG81" s="15"/>
      <c r="CH81" s="9"/>
      <c r="CI81" s="15"/>
      <c r="CJ81" s="9"/>
      <c r="CK81" s="15"/>
      <c r="CL81" s="9"/>
      <c r="CM81" s="15"/>
      <c r="CN81" s="9"/>
      <c r="CO81" s="15"/>
      <c r="CP81" s="9"/>
    </row>
    <row r="82" spans="1:94" x14ac:dyDescent="0.25">
      <c r="A82" s="42"/>
      <c r="B82" s="23"/>
      <c r="C82" s="23"/>
      <c r="D82" s="23"/>
      <c r="E82" s="23"/>
      <c r="F82" s="23"/>
      <c r="G82" s="23"/>
      <c r="H82" s="14"/>
      <c r="I82" s="23"/>
      <c r="J82" s="23"/>
      <c r="K82" s="23"/>
      <c r="L82" s="14"/>
      <c r="M82" s="23"/>
      <c r="N82" s="23"/>
      <c r="O82" s="23"/>
      <c r="P82" s="14"/>
      <c r="Q82" s="23"/>
      <c r="R82" s="23"/>
      <c r="S82" s="23"/>
      <c r="T82" s="14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4"/>
      <c r="AK82" s="23"/>
      <c r="AL82" s="23"/>
      <c r="AM82" s="23"/>
      <c r="AN82" s="14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</row>
    <row r="83" spans="1:94" x14ac:dyDescent="0.25">
      <c r="A83" s="41"/>
      <c r="B83" s="9"/>
      <c r="C83" s="15"/>
      <c r="D83" s="9"/>
      <c r="E83" s="15"/>
      <c r="F83" s="9"/>
      <c r="G83" s="9"/>
      <c r="H83" s="15"/>
      <c r="I83" s="15"/>
      <c r="J83" s="9"/>
      <c r="K83" s="15"/>
      <c r="L83" s="9"/>
      <c r="M83" s="15"/>
      <c r="N83" s="9"/>
      <c r="O83" s="15"/>
      <c r="P83" s="9"/>
      <c r="Q83" s="15"/>
      <c r="R83" s="9"/>
      <c r="S83" s="15"/>
      <c r="T83" s="9"/>
      <c r="U83" s="15"/>
      <c r="V83" s="9"/>
      <c r="W83" s="15"/>
      <c r="X83" s="9"/>
      <c r="Y83" s="15"/>
      <c r="Z83" s="9"/>
      <c r="AA83" s="15"/>
      <c r="AB83" s="9"/>
      <c r="AC83" s="15"/>
      <c r="AD83" s="9"/>
      <c r="AE83" s="15"/>
      <c r="AF83" s="9"/>
      <c r="AG83" s="15"/>
      <c r="AH83" s="9"/>
      <c r="AI83" s="15"/>
      <c r="AJ83" s="9"/>
      <c r="AK83" s="15"/>
      <c r="AL83" s="9"/>
      <c r="AM83" s="15"/>
      <c r="AN83" s="14"/>
      <c r="AO83" s="23"/>
      <c r="AP83" s="9"/>
      <c r="AQ83" s="15"/>
      <c r="AR83" s="9"/>
      <c r="AS83" s="15"/>
      <c r="AT83" s="9"/>
      <c r="AU83" s="15"/>
      <c r="AV83" s="9"/>
      <c r="AW83" s="15"/>
      <c r="AX83" s="9"/>
      <c r="AY83" s="15"/>
      <c r="AZ83" s="9"/>
      <c r="BA83" s="15"/>
      <c r="BB83" s="9"/>
      <c r="BC83" s="15"/>
      <c r="BD83" s="9"/>
      <c r="BE83" s="15"/>
      <c r="BF83" s="9"/>
      <c r="BG83" s="15"/>
      <c r="BH83" s="9"/>
      <c r="BI83" s="15"/>
      <c r="BJ83" s="9"/>
      <c r="BK83" s="15"/>
      <c r="BL83" s="9"/>
      <c r="BM83" s="15"/>
      <c r="BN83" s="9"/>
      <c r="BO83" s="15"/>
      <c r="BP83" s="9"/>
      <c r="BQ83" s="15"/>
      <c r="BR83" s="9"/>
      <c r="BS83" s="15"/>
      <c r="BT83" s="9"/>
      <c r="BU83" s="15"/>
      <c r="BV83" s="9"/>
      <c r="BW83" s="15"/>
      <c r="BX83" s="9"/>
      <c r="BY83" s="15"/>
      <c r="BZ83" s="9"/>
      <c r="CA83" s="15"/>
      <c r="CB83" s="9"/>
      <c r="CC83" s="15"/>
      <c r="CD83" s="9"/>
      <c r="CE83" s="15"/>
      <c r="CF83" s="9"/>
      <c r="CG83" s="15"/>
      <c r="CH83" s="9"/>
      <c r="CI83" s="15"/>
      <c r="CJ83" s="9"/>
      <c r="CK83" s="15"/>
      <c r="CL83" s="9"/>
      <c r="CM83" s="15"/>
      <c r="CN83" s="9"/>
      <c r="CO83" s="15"/>
      <c r="CP83" s="9"/>
    </row>
    <row r="84" spans="1:94" x14ac:dyDescent="0.25">
      <c r="A84" s="41"/>
      <c r="B84" s="9"/>
      <c r="C84" s="15"/>
      <c r="D84" s="9"/>
      <c r="E84" s="15"/>
      <c r="F84" s="9"/>
      <c r="G84" s="15"/>
      <c r="H84" s="9"/>
      <c r="I84" s="15"/>
      <c r="J84" s="9"/>
      <c r="K84" s="15"/>
      <c r="L84" s="9"/>
      <c r="M84" s="15"/>
      <c r="N84" s="9"/>
      <c r="O84" s="15"/>
      <c r="P84" s="15"/>
      <c r="Q84" s="15"/>
      <c r="R84" s="9"/>
      <c r="S84" s="15"/>
      <c r="T84" s="9"/>
      <c r="U84" s="15"/>
      <c r="V84" s="9"/>
      <c r="W84" s="15"/>
      <c r="X84" s="9"/>
      <c r="Y84" s="15"/>
      <c r="Z84" s="9"/>
      <c r="AA84" s="15"/>
      <c r="AB84" s="9"/>
      <c r="AC84" s="15"/>
      <c r="AD84" s="120"/>
      <c r="AE84" s="120"/>
      <c r="AF84" s="9"/>
      <c r="AG84" s="15"/>
      <c r="AH84" s="9"/>
      <c r="AI84" s="15"/>
      <c r="AJ84" s="9"/>
      <c r="AK84" s="15"/>
      <c r="AL84" s="9"/>
      <c r="AM84" s="15"/>
      <c r="AN84" s="9"/>
      <c r="AO84" s="15"/>
      <c r="AP84" s="9"/>
      <c r="AQ84" s="15"/>
      <c r="AR84" s="9"/>
      <c r="AS84" s="15"/>
      <c r="AT84" s="9"/>
      <c r="AU84" s="15"/>
      <c r="AV84" s="9"/>
      <c r="AW84" s="15"/>
      <c r="AX84" s="9"/>
      <c r="AY84" s="15"/>
      <c r="AZ84" s="9"/>
      <c r="BA84" s="15"/>
      <c r="BB84" s="9"/>
      <c r="BC84" s="15"/>
      <c r="BD84" s="9"/>
      <c r="BE84" s="15"/>
      <c r="BF84" s="9"/>
      <c r="BG84" s="15"/>
      <c r="BH84" s="9"/>
      <c r="BI84" s="15"/>
      <c r="BJ84" s="9"/>
      <c r="BK84" s="15"/>
      <c r="BL84" s="9"/>
      <c r="BM84" s="15"/>
      <c r="BN84" s="9"/>
      <c r="BO84" s="15"/>
      <c r="BP84" s="9"/>
      <c r="BQ84" s="15"/>
      <c r="BR84" s="9"/>
      <c r="BS84" s="15"/>
      <c r="BT84" s="9"/>
      <c r="BU84" s="15"/>
      <c r="BV84" s="9"/>
      <c r="BW84" s="15"/>
      <c r="BX84" s="9"/>
      <c r="BY84" s="15"/>
      <c r="BZ84" s="9"/>
      <c r="CA84" s="15"/>
      <c r="CB84" s="9"/>
      <c r="CC84" s="15"/>
      <c r="CD84" s="9"/>
      <c r="CE84" s="15"/>
      <c r="CF84" s="9"/>
      <c r="CG84" s="15"/>
      <c r="CH84" s="9"/>
      <c r="CI84" s="15"/>
      <c r="CJ84" s="9"/>
      <c r="CK84" s="15"/>
      <c r="CL84" s="9"/>
      <c r="CM84" s="15"/>
      <c r="CN84" s="9"/>
      <c r="CO84" s="15"/>
      <c r="CP84" s="9"/>
    </row>
    <row r="85" spans="1:94" x14ac:dyDescent="0.25">
      <c r="A85" s="41"/>
      <c r="B85" s="9"/>
      <c r="C85" s="15"/>
      <c r="D85" s="9"/>
      <c r="E85" s="15"/>
      <c r="F85" s="9"/>
      <c r="G85" s="15"/>
      <c r="H85" s="9"/>
      <c r="I85" s="15"/>
      <c r="J85" s="9"/>
      <c r="K85" s="15"/>
      <c r="L85" s="15"/>
      <c r="M85" s="15"/>
      <c r="N85" s="9"/>
      <c r="O85" s="15"/>
      <c r="P85" s="9"/>
      <c r="Q85" s="15"/>
      <c r="R85" s="9"/>
      <c r="S85" s="15"/>
      <c r="T85" s="15"/>
      <c r="U85" s="15"/>
      <c r="V85" s="9"/>
      <c r="W85" s="15"/>
      <c r="X85" s="9"/>
      <c r="Y85" s="15"/>
      <c r="Z85" s="9"/>
      <c r="AA85" s="15"/>
      <c r="AB85" s="9"/>
      <c r="AC85" s="15"/>
      <c r="AD85" s="120"/>
      <c r="AE85" s="120"/>
      <c r="AF85" s="9"/>
      <c r="AG85" s="15"/>
      <c r="AH85" s="9"/>
      <c r="AI85" s="15"/>
      <c r="AJ85" s="9"/>
      <c r="AK85" s="15"/>
      <c r="AL85" s="9"/>
      <c r="AM85" s="15"/>
      <c r="AN85" s="9"/>
      <c r="AO85" s="15"/>
      <c r="AP85" s="9"/>
      <c r="AQ85" s="15"/>
      <c r="AR85" s="9"/>
      <c r="AS85" s="15"/>
      <c r="AT85" s="9"/>
      <c r="AU85" s="15"/>
      <c r="AV85" s="9"/>
      <c r="AW85" s="15"/>
      <c r="AX85" s="9"/>
      <c r="AY85" s="15"/>
      <c r="AZ85" s="9"/>
      <c r="BA85" s="15"/>
      <c r="BB85" s="9"/>
      <c r="BC85" s="15"/>
      <c r="BD85" s="9"/>
      <c r="BE85" s="15"/>
      <c r="BF85" s="9"/>
      <c r="BG85" s="15"/>
      <c r="BH85" s="9"/>
      <c r="BI85" s="15"/>
      <c r="BJ85" s="9"/>
      <c r="BK85" s="15"/>
      <c r="BL85" s="9"/>
      <c r="BM85" s="15"/>
      <c r="BN85" s="9"/>
      <c r="BO85" s="15"/>
      <c r="BP85" s="9"/>
      <c r="BQ85" s="15"/>
      <c r="BR85" s="9"/>
      <c r="BS85" s="15"/>
      <c r="BT85" s="9"/>
      <c r="BU85" s="15"/>
      <c r="BV85" s="9"/>
      <c r="BW85" s="15"/>
      <c r="BX85" s="9"/>
      <c r="BY85" s="15"/>
      <c r="BZ85" s="9"/>
      <c r="CA85" s="15"/>
      <c r="CB85" s="9"/>
      <c r="CC85" s="15"/>
      <c r="CD85" s="9"/>
      <c r="CE85" s="15"/>
      <c r="CF85" s="9"/>
      <c r="CG85" s="15"/>
      <c r="CH85" s="9"/>
      <c r="CI85" s="15"/>
      <c r="CJ85" s="9"/>
      <c r="CK85" s="15"/>
      <c r="CL85" s="9"/>
      <c r="CM85" s="15"/>
      <c r="CN85" s="9"/>
      <c r="CO85" s="15"/>
      <c r="CP85" s="9"/>
    </row>
    <row r="86" spans="1:94" x14ac:dyDescent="0.25">
      <c r="A86" s="41"/>
      <c r="B86" s="9"/>
      <c r="C86" s="15"/>
      <c r="D86" s="9"/>
      <c r="E86" s="15"/>
      <c r="F86" s="9"/>
      <c r="G86" s="15"/>
      <c r="H86" s="9"/>
      <c r="I86" s="15"/>
      <c r="J86" s="9"/>
      <c r="K86" s="15"/>
      <c r="L86" s="9"/>
      <c r="M86" s="15"/>
      <c r="N86" s="9"/>
      <c r="O86" s="15"/>
      <c r="P86" s="9"/>
      <c r="Q86" s="15"/>
      <c r="R86" s="9"/>
      <c r="S86" s="15"/>
      <c r="T86" s="9"/>
      <c r="U86" s="15"/>
      <c r="V86" s="9"/>
      <c r="W86" s="15"/>
      <c r="X86" s="9"/>
      <c r="Y86" s="15"/>
      <c r="Z86" s="9"/>
      <c r="AA86" s="15"/>
      <c r="AB86" s="9"/>
      <c r="AC86" s="15"/>
      <c r="AD86" s="120"/>
      <c r="AE86" s="120"/>
      <c r="AF86" s="9"/>
      <c r="AG86" s="15"/>
      <c r="AH86" s="9"/>
      <c r="AI86" s="15"/>
      <c r="AJ86" s="9"/>
      <c r="AK86" s="15"/>
      <c r="AL86" s="9"/>
      <c r="AM86" s="15"/>
      <c r="AN86" s="9"/>
      <c r="AO86" s="15"/>
      <c r="AP86" s="9"/>
      <c r="AQ86" s="15"/>
      <c r="AR86" s="9"/>
      <c r="AS86" s="15"/>
      <c r="AT86" s="9"/>
      <c r="AU86" s="15"/>
      <c r="AV86" s="9"/>
      <c r="AW86" s="15"/>
      <c r="AX86" s="9"/>
      <c r="AY86" s="15"/>
      <c r="AZ86" s="9"/>
      <c r="BA86" s="15"/>
      <c r="BB86" s="9"/>
      <c r="BC86" s="15"/>
      <c r="BD86" s="9"/>
      <c r="BE86" s="15"/>
      <c r="BF86" s="9"/>
      <c r="BG86" s="15"/>
      <c r="BH86" s="9"/>
      <c r="BI86" s="15"/>
      <c r="BJ86" s="9"/>
      <c r="BK86" s="15"/>
      <c r="BL86" s="9"/>
      <c r="BM86" s="15"/>
      <c r="BN86" s="9"/>
      <c r="BO86" s="15"/>
      <c r="BP86" s="9"/>
      <c r="BQ86" s="15"/>
      <c r="BR86" s="9"/>
      <c r="BS86" s="15"/>
      <c r="BT86" s="9"/>
      <c r="BU86" s="15"/>
      <c r="BV86" s="9"/>
      <c r="BW86" s="15"/>
      <c r="BX86" s="9"/>
      <c r="BY86" s="15"/>
      <c r="BZ86" s="9"/>
      <c r="CA86" s="15"/>
      <c r="CB86" s="9"/>
      <c r="CC86" s="15"/>
      <c r="CD86" s="9"/>
      <c r="CE86" s="15"/>
      <c r="CF86" s="9"/>
      <c r="CG86" s="15"/>
      <c r="CH86" s="9"/>
      <c r="CI86" s="15"/>
      <c r="CJ86" s="9"/>
      <c r="CK86" s="15"/>
      <c r="CL86" s="9"/>
      <c r="CM86" s="15"/>
      <c r="CN86" s="9"/>
      <c r="CO86" s="15"/>
      <c r="CP86" s="9"/>
    </row>
    <row r="87" spans="1:94" x14ac:dyDescent="0.25">
      <c r="A87" s="43"/>
      <c r="B87" s="11"/>
      <c r="C87" s="13"/>
      <c r="D87" s="11"/>
      <c r="E87" s="13"/>
      <c r="F87" s="11"/>
      <c r="G87" s="13"/>
      <c r="H87" s="11"/>
      <c r="I87" s="13"/>
      <c r="J87" s="11"/>
      <c r="K87" s="13"/>
      <c r="L87" s="11"/>
      <c r="M87" s="13"/>
      <c r="N87" s="11"/>
      <c r="O87" s="13"/>
      <c r="P87" s="11"/>
      <c r="Q87" s="13"/>
      <c r="R87" s="11"/>
      <c r="S87" s="13"/>
      <c r="T87" s="11"/>
      <c r="U87" s="13"/>
      <c r="V87" s="11"/>
      <c r="W87" s="13"/>
      <c r="X87" s="11"/>
      <c r="Y87" s="13"/>
      <c r="Z87" s="11"/>
      <c r="AA87" s="13"/>
      <c r="AB87" s="11"/>
      <c r="AC87" s="13"/>
      <c r="AD87" s="120"/>
      <c r="AE87" s="120"/>
      <c r="AF87" s="11"/>
      <c r="AG87" s="13"/>
      <c r="AH87" s="11"/>
      <c r="AI87" s="13"/>
      <c r="AJ87" s="11"/>
      <c r="AK87" s="13"/>
      <c r="AL87" s="11"/>
      <c r="AM87" s="13"/>
      <c r="AN87" s="11"/>
      <c r="AO87" s="13"/>
      <c r="AP87" s="11"/>
      <c r="AQ87" s="13"/>
      <c r="AR87" s="11"/>
      <c r="AS87" s="13"/>
      <c r="AT87" s="11"/>
      <c r="AU87" s="13"/>
      <c r="AV87" s="11"/>
      <c r="AW87" s="13"/>
      <c r="AX87" s="11"/>
      <c r="AY87" s="13"/>
      <c r="AZ87" s="11"/>
      <c r="BA87" s="13"/>
      <c r="BB87" s="11"/>
      <c r="BC87" s="13"/>
      <c r="BD87" s="11"/>
      <c r="BE87" s="13"/>
      <c r="BF87" s="11"/>
      <c r="BG87" s="13"/>
      <c r="BH87" s="11"/>
      <c r="BI87" s="13"/>
      <c r="BJ87" s="11"/>
      <c r="BK87" s="13"/>
      <c r="BL87" s="11"/>
      <c r="BM87" s="13"/>
      <c r="BN87" s="11"/>
      <c r="BO87" s="13"/>
      <c r="BP87" s="11"/>
      <c r="BQ87" s="13"/>
      <c r="BR87" s="11"/>
      <c r="BS87" s="13"/>
      <c r="BT87" s="11"/>
      <c r="BU87" s="13"/>
      <c r="BV87" s="11"/>
      <c r="BW87" s="13"/>
      <c r="BX87" s="11"/>
      <c r="BY87" s="13"/>
      <c r="BZ87" s="11"/>
      <c r="CA87" s="13"/>
      <c r="CB87" s="11"/>
      <c r="CC87" s="13"/>
      <c r="CD87" s="11"/>
      <c r="CE87" s="13"/>
      <c r="CF87" s="11"/>
      <c r="CG87" s="13"/>
      <c r="CH87" s="11"/>
      <c r="CI87" s="13"/>
      <c r="CJ87" s="11"/>
      <c r="CK87" s="13"/>
      <c r="CL87" s="11"/>
      <c r="CM87" s="13"/>
      <c r="CN87" s="11"/>
      <c r="CO87" s="13"/>
      <c r="CP87" s="11"/>
    </row>
    <row r="88" spans="1:94" x14ac:dyDescent="0.25">
      <c r="A88" s="4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23"/>
      <c r="AA88" s="13"/>
      <c r="AB88" s="13"/>
      <c r="AC88" s="13"/>
      <c r="AD88" s="120"/>
      <c r="AE88" s="120"/>
      <c r="AF88" s="13"/>
      <c r="AG88" s="13"/>
      <c r="AH88" s="13"/>
      <c r="AI88" s="13"/>
      <c r="AJ88" s="13"/>
      <c r="AK88" s="13"/>
      <c r="AL88" s="13"/>
      <c r="AM88" s="13"/>
      <c r="AN88" s="2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</row>
    <row r="89" spans="1:94" x14ac:dyDescent="0.25">
      <c r="A89" s="4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2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</row>
    <row r="90" spans="1:94" x14ac:dyDescent="0.25">
      <c r="A90" s="4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</row>
    <row r="91" spans="1:94" x14ac:dyDescent="0.25">
      <c r="A91" s="4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</row>
    <row r="92" spans="1:94" x14ac:dyDescent="0.25">
      <c r="A92" s="41" t="s">
        <v>6</v>
      </c>
      <c r="B92" s="9">
        <v>6474.3</v>
      </c>
      <c r="C92" s="15" t="s">
        <v>10508</v>
      </c>
      <c r="D92" s="9">
        <v>1169</v>
      </c>
      <c r="E92" s="15" t="s">
        <v>10554</v>
      </c>
      <c r="F92" s="9">
        <v>24.21</v>
      </c>
      <c r="G92" s="15" t="s">
        <v>10613</v>
      </c>
      <c r="H92" s="9">
        <v>1019.31</v>
      </c>
      <c r="I92" s="15" t="s">
        <v>10631</v>
      </c>
      <c r="J92" s="9">
        <v>1451.93</v>
      </c>
      <c r="K92" s="15" t="s">
        <v>10644</v>
      </c>
      <c r="L92" s="15">
        <v>12114.43</v>
      </c>
      <c r="M92" s="15" t="s">
        <v>10700</v>
      </c>
      <c r="N92" s="9">
        <v>4080.01</v>
      </c>
      <c r="O92" s="15" t="s">
        <v>10798</v>
      </c>
      <c r="P92" s="9">
        <v>885.85</v>
      </c>
      <c r="Q92" s="15" t="s">
        <v>10847</v>
      </c>
      <c r="R92" s="9">
        <v>5000</v>
      </c>
      <c r="S92" s="15" t="s">
        <v>10842</v>
      </c>
      <c r="T92" s="9">
        <v>175</v>
      </c>
      <c r="U92" s="15" t="s">
        <v>10882</v>
      </c>
      <c r="V92" s="9">
        <v>180.89</v>
      </c>
      <c r="W92" s="15" t="s">
        <v>10993</v>
      </c>
      <c r="X92" s="9">
        <v>4464.99</v>
      </c>
      <c r="Y92" s="15" t="s">
        <v>10953</v>
      </c>
      <c r="Z92" s="9">
        <v>1554.34</v>
      </c>
      <c r="AA92" s="15" t="s">
        <v>10975</v>
      </c>
      <c r="AB92" s="9">
        <v>2131</v>
      </c>
      <c r="AC92" s="15" t="s">
        <v>11103</v>
      </c>
      <c r="AD92" s="15"/>
      <c r="AE92" s="15"/>
      <c r="AF92" s="9">
        <v>1011.9</v>
      </c>
      <c r="AG92" s="15" t="s">
        <v>11142</v>
      </c>
      <c r="AH92" s="9">
        <v>4124.16</v>
      </c>
      <c r="AI92" s="15" t="s">
        <v>11244</v>
      </c>
      <c r="AJ92" s="9">
        <v>750.18</v>
      </c>
      <c r="AK92" s="15" t="s">
        <v>11196</v>
      </c>
      <c r="AL92" s="9">
        <v>26799.71</v>
      </c>
      <c r="AM92" s="9" t="s">
        <v>11215</v>
      </c>
      <c r="AN92" s="9">
        <v>2039.99</v>
      </c>
      <c r="AO92" s="9" t="s">
        <v>11338</v>
      </c>
      <c r="AP92" s="9">
        <v>302.55</v>
      </c>
      <c r="AQ92" s="15" t="s">
        <v>11476</v>
      </c>
      <c r="AR92" s="9"/>
      <c r="AS92" s="15"/>
      <c r="AT92" s="9">
        <v>20000</v>
      </c>
      <c r="AU92" s="15" t="s">
        <v>11385</v>
      </c>
      <c r="AV92" s="9">
        <v>1169</v>
      </c>
      <c r="AW92" s="15" t="s">
        <v>11440</v>
      </c>
      <c r="AX92" s="9">
        <v>4136.59</v>
      </c>
      <c r="AY92" s="15" t="s">
        <v>11536</v>
      </c>
      <c r="AZ92" s="9">
        <v>1099.01</v>
      </c>
      <c r="BA92" s="15" t="s">
        <v>11590</v>
      </c>
      <c r="BB92" s="9">
        <v>1362.98</v>
      </c>
      <c r="BC92" s="15" t="s">
        <v>11684</v>
      </c>
      <c r="BD92" s="9">
        <v>11605.02</v>
      </c>
      <c r="BE92" s="15" t="s">
        <v>11718</v>
      </c>
      <c r="BF92" s="9"/>
      <c r="BG92" s="15"/>
      <c r="BH92" s="9"/>
      <c r="BI92" s="15"/>
      <c r="BJ92" s="9"/>
      <c r="BK92" s="15"/>
      <c r="BL92" s="9"/>
      <c r="BM92" s="15"/>
      <c r="BN92" s="9"/>
      <c r="BO92" s="15"/>
      <c r="BP92" s="9"/>
      <c r="BQ92" s="15"/>
      <c r="BR92" s="9"/>
      <c r="BS92" s="15"/>
      <c r="BT92" s="9"/>
      <c r="BU92" s="15"/>
      <c r="BV92" s="9"/>
      <c r="BW92" s="15"/>
      <c r="BX92" s="9"/>
      <c r="BY92" s="15"/>
      <c r="BZ92" s="9"/>
      <c r="CA92" s="15"/>
      <c r="CB92" s="9"/>
      <c r="CC92" s="15"/>
      <c r="CD92" s="9"/>
      <c r="CE92" s="15"/>
      <c r="CF92" s="9"/>
      <c r="CG92" s="15"/>
      <c r="CH92" s="9"/>
      <c r="CI92" s="15"/>
      <c r="CJ92" s="9"/>
      <c r="CK92" s="15"/>
      <c r="CL92" s="9"/>
      <c r="CM92" s="15"/>
      <c r="CN92" s="9"/>
      <c r="CO92" s="15"/>
      <c r="CP92" s="9"/>
    </row>
    <row r="93" spans="1:94" x14ac:dyDescent="0.25">
      <c r="A93" s="41"/>
      <c r="B93" s="9">
        <v>2500</v>
      </c>
      <c r="C93" s="15" t="s">
        <v>10514</v>
      </c>
      <c r="D93" s="121">
        <v>301.99</v>
      </c>
      <c r="E93" s="15" t="s">
        <v>10562</v>
      </c>
      <c r="F93" s="9">
        <v>1970</v>
      </c>
      <c r="G93" s="15" t="s">
        <v>10617</v>
      </c>
      <c r="H93" s="9">
        <v>1970.02</v>
      </c>
      <c r="I93" s="15" t="s">
        <v>10634</v>
      </c>
      <c r="J93" s="9"/>
      <c r="K93" s="15"/>
      <c r="L93" s="9">
        <v>1168.9000000000001</v>
      </c>
      <c r="M93" s="15" t="s">
        <v>10757</v>
      </c>
      <c r="N93" s="15">
        <v>3319.99</v>
      </c>
      <c r="O93" s="15" t="s">
        <v>10809</v>
      </c>
      <c r="P93" s="9">
        <v>254.92</v>
      </c>
      <c r="Q93" s="15" t="s">
        <v>10853</v>
      </c>
      <c r="R93" s="9"/>
      <c r="S93" s="15"/>
      <c r="T93" s="11">
        <v>550.19000000000005</v>
      </c>
      <c r="U93" s="12" t="s">
        <v>10885</v>
      </c>
      <c r="V93" s="9">
        <v>1589</v>
      </c>
      <c r="W93" s="15" t="s">
        <v>11000</v>
      </c>
      <c r="X93" s="9"/>
      <c r="Y93" s="15"/>
      <c r="Z93" s="9">
        <v>1169</v>
      </c>
      <c r="AA93" s="15" t="s">
        <v>10979</v>
      </c>
      <c r="AB93" s="9">
        <v>1000</v>
      </c>
      <c r="AC93" s="15" t="s">
        <v>11119</v>
      </c>
      <c r="AD93" s="72"/>
      <c r="AE93" s="15"/>
      <c r="AF93" s="9">
        <v>2866.1</v>
      </c>
      <c r="AG93" s="9" t="s">
        <v>11149</v>
      </c>
      <c r="AH93" s="9">
        <v>3319.99</v>
      </c>
      <c r="AI93" s="15" t="s">
        <v>11247</v>
      </c>
      <c r="AJ93" s="9">
        <v>10523.02</v>
      </c>
      <c r="AK93" s="15" t="s">
        <v>11199</v>
      </c>
      <c r="AL93" s="15">
        <v>2040</v>
      </c>
      <c r="AM93" s="15" t="s">
        <v>11319</v>
      </c>
      <c r="AN93" s="9">
        <f>20006.16-16191</f>
        <v>3815.16</v>
      </c>
      <c r="AO93" s="15" t="s">
        <v>11341</v>
      </c>
      <c r="AP93" s="9">
        <v>30000</v>
      </c>
      <c r="AQ93" s="15" t="s">
        <v>11478</v>
      </c>
      <c r="AR93" s="9"/>
      <c r="AS93" s="15"/>
      <c r="AT93" s="9">
        <v>8000</v>
      </c>
      <c r="AU93" s="15" t="s">
        <v>11395</v>
      </c>
      <c r="AV93" s="9">
        <v>5000</v>
      </c>
      <c r="AW93" s="15" t="s">
        <v>11447</v>
      </c>
      <c r="AX93" s="9"/>
      <c r="AY93" s="15"/>
      <c r="AZ93" s="11">
        <v>1969.99</v>
      </c>
      <c r="BA93" s="13" t="s">
        <v>11595</v>
      </c>
      <c r="BB93" s="9">
        <v>2040</v>
      </c>
      <c r="BC93" s="15" t="s">
        <v>11687</v>
      </c>
      <c r="BD93" s="9">
        <v>3320</v>
      </c>
      <c r="BE93" s="15" t="s">
        <v>11729</v>
      </c>
      <c r="BF93" s="9"/>
      <c r="BG93" s="15"/>
      <c r="BH93" s="9"/>
      <c r="BI93" s="15"/>
      <c r="BJ93" s="9"/>
      <c r="BK93" s="15"/>
      <c r="BL93" s="9"/>
      <c r="BM93" s="15"/>
      <c r="BN93" s="9"/>
      <c r="BO93" s="15"/>
      <c r="BP93" s="9"/>
      <c r="BQ93" s="15"/>
      <c r="BR93" s="9"/>
      <c r="BS93" s="15"/>
      <c r="BT93" s="9"/>
      <c r="BU93" s="15"/>
      <c r="BV93" s="9"/>
      <c r="BW93" s="15"/>
      <c r="BX93" s="9"/>
      <c r="BY93" s="15"/>
      <c r="BZ93" s="9"/>
      <c r="CA93" s="15"/>
      <c r="CB93" s="9"/>
      <c r="CC93" s="15"/>
      <c r="CD93" s="9"/>
      <c r="CE93" s="15"/>
      <c r="CF93" s="9"/>
      <c r="CG93" s="15"/>
      <c r="CH93" s="9"/>
      <c r="CI93" s="15"/>
      <c r="CJ93" s="9"/>
      <c r="CK93" s="15"/>
      <c r="CL93" s="9"/>
      <c r="CM93" s="15"/>
      <c r="CN93" s="9"/>
      <c r="CO93" s="15"/>
      <c r="CP93" s="9"/>
    </row>
    <row r="94" spans="1:94" x14ac:dyDescent="0.25">
      <c r="A94" s="41"/>
      <c r="B94" s="9">
        <v>1168.99</v>
      </c>
      <c r="C94" s="15" t="s">
        <v>10523</v>
      </c>
      <c r="D94" s="121">
        <v>1169</v>
      </c>
      <c r="E94" s="15" t="s">
        <v>10564</v>
      </c>
      <c r="F94" s="9">
        <v>1169</v>
      </c>
      <c r="G94" s="26" t="s">
        <v>10629</v>
      </c>
      <c r="H94" s="95">
        <f>+H92+H93</f>
        <v>2989.33</v>
      </c>
      <c r="I94" s="15"/>
      <c r="J94" s="9">
        <v>1000</v>
      </c>
      <c r="K94" s="15" t="s">
        <v>10706</v>
      </c>
      <c r="L94" s="9">
        <v>1889</v>
      </c>
      <c r="M94" s="15" t="s">
        <v>10767</v>
      </c>
      <c r="N94" s="9">
        <v>1168.99</v>
      </c>
      <c r="O94" s="15" t="s">
        <v>10810</v>
      </c>
      <c r="P94" s="15">
        <v>6893.06</v>
      </c>
      <c r="Q94" s="15" t="s">
        <v>10858</v>
      </c>
      <c r="R94" s="9"/>
      <c r="S94" s="15"/>
      <c r="T94" s="95">
        <f>+T92+T93</f>
        <v>725.19</v>
      </c>
      <c r="U94" s="15"/>
      <c r="V94" s="9">
        <v>2134.2600000000002</v>
      </c>
      <c r="W94" s="15" t="s">
        <v>11002</v>
      </c>
      <c r="X94" s="9">
        <v>2040</v>
      </c>
      <c r="Y94" s="15" t="s">
        <v>11039</v>
      </c>
      <c r="Z94" s="15">
        <v>1169</v>
      </c>
      <c r="AA94" s="15" t="s">
        <v>10980</v>
      </c>
      <c r="AB94" s="95">
        <f>+AB92+AB93</f>
        <v>3131</v>
      </c>
      <c r="AC94" s="15"/>
      <c r="AD94" s="9"/>
      <c r="AE94" s="15"/>
      <c r="AF94" s="9">
        <v>3692.3</v>
      </c>
      <c r="AG94" s="15" t="s">
        <v>11150</v>
      </c>
      <c r="AH94" s="95">
        <f>+AH92+AH93</f>
        <v>7444.15</v>
      </c>
      <c r="AI94" s="15"/>
      <c r="AJ94" s="9">
        <v>1169</v>
      </c>
      <c r="AK94" s="15" t="s">
        <v>11203</v>
      </c>
      <c r="AL94" s="9"/>
      <c r="AM94" s="15"/>
      <c r="AN94" s="95">
        <f>+AN92+AN93</f>
        <v>5855.15</v>
      </c>
      <c r="AO94" s="15"/>
      <c r="AP94" s="120">
        <v>127.46</v>
      </c>
      <c r="AQ94" s="120" t="s">
        <v>11487</v>
      </c>
      <c r="AR94" s="9"/>
      <c r="AS94" s="15"/>
      <c r="AT94" s="9">
        <v>1169.3</v>
      </c>
      <c r="AU94" s="15" t="s">
        <v>11410</v>
      </c>
      <c r="AV94" s="9">
        <v>2040</v>
      </c>
      <c r="AW94" s="15" t="s">
        <v>11459</v>
      </c>
      <c r="AX94" s="9">
        <v>1392</v>
      </c>
      <c r="AY94" s="15" t="s">
        <v>11553</v>
      </c>
      <c r="AZ94" s="111">
        <f>+AZ93+AZ92</f>
        <v>3069</v>
      </c>
      <c r="BA94" s="13"/>
      <c r="BB94" s="9">
        <v>1871.08</v>
      </c>
      <c r="BC94" s="15" t="s">
        <v>11690</v>
      </c>
      <c r="BD94" s="9">
        <v>1099.01</v>
      </c>
      <c r="BE94" s="15" t="s">
        <v>11731</v>
      </c>
      <c r="BF94" s="9"/>
      <c r="BG94" s="15"/>
      <c r="BH94" s="15"/>
      <c r="BI94" s="15"/>
      <c r="BJ94" s="9"/>
      <c r="BK94" s="15"/>
      <c r="BL94" s="9"/>
      <c r="BM94" s="15"/>
      <c r="BN94" s="15"/>
      <c r="BO94" s="15"/>
      <c r="BP94" s="9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</row>
    <row r="95" spans="1:94" x14ac:dyDescent="0.25">
      <c r="A95" s="41"/>
      <c r="B95" s="9">
        <v>505.01</v>
      </c>
      <c r="C95" s="15" t="s">
        <v>10524</v>
      </c>
      <c r="D95" s="121">
        <v>253.33</v>
      </c>
      <c r="E95" s="15" t="s">
        <v>10573</v>
      </c>
      <c r="F95" s="95">
        <f>+F94+F93+F92</f>
        <v>3163.21</v>
      </c>
      <c r="G95" s="15"/>
      <c r="H95" s="9"/>
      <c r="I95" s="15"/>
      <c r="J95" s="9">
        <v>3500</v>
      </c>
      <c r="K95" s="15" t="s">
        <v>10714</v>
      </c>
      <c r="L95" s="9">
        <v>2040</v>
      </c>
      <c r="M95" s="15" t="s">
        <v>10768</v>
      </c>
      <c r="N95" s="15">
        <v>3319.99</v>
      </c>
      <c r="O95" s="15" t="s">
        <v>10792</v>
      </c>
      <c r="P95" s="9">
        <v>4395.01</v>
      </c>
      <c r="Q95" s="15" t="s">
        <v>10864</v>
      </c>
      <c r="R95" s="15"/>
      <c r="S95" s="15"/>
      <c r="T95" s="9"/>
      <c r="U95" s="15"/>
      <c r="V95" s="9">
        <v>5300.88</v>
      </c>
      <c r="W95" s="15" t="s">
        <v>11006</v>
      </c>
      <c r="X95" s="9">
        <v>2040</v>
      </c>
      <c r="Y95" s="15" t="s">
        <v>11045</v>
      </c>
      <c r="Z95" s="9">
        <v>2040</v>
      </c>
      <c r="AA95" s="15" t="s">
        <v>10981</v>
      </c>
      <c r="AB95" s="9"/>
      <c r="AC95" s="15"/>
      <c r="AD95" s="15"/>
      <c r="AE95" s="15"/>
      <c r="AF95" s="9">
        <v>3319.99</v>
      </c>
      <c r="AG95" s="15" t="s">
        <v>11152</v>
      </c>
      <c r="AH95" s="9"/>
      <c r="AI95" s="15"/>
      <c r="AJ95" s="95">
        <f>+SUM(AJ92:AJ94)</f>
        <v>12442.2</v>
      </c>
      <c r="AK95" s="15"/>
      <c r="AL95" s="9"/>
      <c r="AM95" s="15"/>
      <c r="AN95" s="15"/>
      <c r="AO95" s="15"/>
      <c r="AP95" s="9">
        <v>2040</v>
      </c>
      <c r="AQ95" s="15" t="s">
        <v>11496</v>
      </c>
      <c r="AR95" s="9"/>
      <c r="AS95" s="15"/>
      <c r="AT95" s="95">
        <f>+SUM(AT92:AT94)</f>
        <v>29169.3</v>
      </c>
      <c r="AU95" s="15"/>
      <c r="AV95" s="193">
        <v>1099.01</v>
      </c>
      <c r="AW95" s="15" t="s">
        <v>11460</v>
      </c>
      <c r="AX95" s="9">
        <v>3601.3</v>
      </c>
      <c r="AY95" s="15" t="s">
        <v>11556</v>
      </c>
      <c r="AZ95" s="9"/>
      <c r="BA95" s="15"/>
      <c r="BB95" s="9">
        <v>2518.63</v>
      </c>
      <c r="BC95" s="15" t="s">
        <v>11695</v>
      </c>
      <c r="BD95" s="95">
        <f>+SUM(BD92:BD94)</f>
        <v>16024.03</v>
      </c>
      <c r="BE95" s="15"/>
      <c r="BF95" s="15"/>
      <c r="BG95" s="15"/>
      <c r="BH95" s="9"/>
      <c r="BI95" s="15"/>
      <c r="BJ95" s="9"/>
      <c r="BK95" s="15"/>
      <c r="BL95" s="15"/>
      <c r="BM95" s="15"/>
      <c r="BN95" s="9"/>
      <c r="BO95" s="15"/>
      <c r="BP95" s="9"/>
      <c r="BQ95" s="15"/>
      <c r="BR95" s="9"/>
      <c r="BS95" s="15"/>
      <c r="BT95" s="9"/>
      <c r="BU95" s="15"/>
      <c r="BV95" s="9"/>
      <c r="BW95" s="15"/>
      <c r="BX95" s="9"/>
      <c r="BY95" s="15"/>
      <c r="BZ95" s="9"/>
      <c r="CA95" s="15"/>
      <c r="CB95" s="9"/>
      <c r="CC95" s="15"/>
      <c r="CD95" s="9"/>
      <c r="CE95" s="15"/>
      <c r="CF95" s="9"/>
      <c r="CG95" s="15"/>
      <c r="CH95" s="9"/>
      <c r="CI95" s="15"/>
      <c r="CJ95" s="9"/>
      <c r="CK95" s="15"/>
      <c r="CL95" s="9"/>
      <c r="CM95" s="15"/>
      <c r="CN95" s="9"/>
      <c r="CO95" s="15"/>
      <c r="CP95" s="9"/>
    </row>
    <row r="96" spans="1:94" x14ac:dyDescent="0.25">
      <c r="A96" s="41"/>
      <c r="B96" s="95">
        <f>+SUM(B92:B95)</f>
        <v>10648.3</v>
      </c>
      <c r="C96" s="15"/>
      <c r="D96" s="9">
        <v>103.25</v>
      </c>
      <c r="E96" s="26" t="s">
        <v>10574</v>
      </c>
      <c r="F96" s="9"/>
      <c r="G96" s="26"/>
      <c r="H96" s="9">
        <v>4395.01</v>
      </c>
      <c r="I96" s="15" t="s">
        <v>10671</v>
      </c>
      <c r="J96" s="9">
        <v>3113</v>
      </c>
      <c r="K96" s="15" t="s">
        <v>10720</v>
      </c>
      <c r="L96" s="9">
        <v>1169</v>
      </c>
      <c r="M96" s="15" t="s">
        <v>10770</v>
      </c>
      <c r="N96" s="95">
        <f>+SUM(N92:N95)</f>
        <v>11888.98</v>
      </c>
      <c r="O96" s="15"/>
      <c r="P96" s="9">
        <v>2040</v>
      </c>
      <c r="Q96" s="15" t="s">
        <v>10865</v>
      </c>
      <c r="R96" s="9"/>
      <c r="S96" s="15"/>
      <c r="T96" s="9">
        <v>1679.44</v>
      </c>
      <c r="U96" s="9" t="s">
        <v>10898</v>
      </c>
      <c r="V96" s="9">
        <v>2040</v>
      </c>
      <c r="W96" s="15" t="s">
        <v>11015</v>
      </c>
      <c r="X96" s="9">
        <v>1169</v>
      </c>
      <c r="Y96" s="15" t="s">
        <v>11053</v>
      </c>
      <c r="Z96" s="95">
        <f>+SUM(Z92:Z95)</f>
        <v>5932.34</v>
      </c>
      <c r="AA96" s="15"/>
      <c r="AB96" s="9">
        <v>3016</v>
      </c>
      <c r="AC96" s="15" t="s">
        <v>11135</v>
      </c>
      <c r="AD96" s="9"/>
      <c r="AE96" s="13"/>
      <c r="AF96" s="95">
        <f>+SUM(AF92:AF95)</f>
        <v>10890.29</v>
      </c>
      <c r="AG96" s="15"/>
      <c r="AH96" s="9"/>
      <c r="AI96" s="15"/>
      <c r="AJ96" s="9"/>
      <c r="AK96" s="15"/>
      <c r="AL96" s="9"/>
      <c r="AM96" s="15"/>
      <c r="AN96" s="9">
        <v>382.38</v>
      </c>
      <c r="AO96" s="15" t="s">
        <v>11347</v>
      </c>
      <c r="AP96" s="9">
        <v>3250</v>
      </c>
      <c r="AQ96" s="15" t="s">
        <v>11497</v>
      </c>
      <c r="AR96" s="137"/>
      <c r="AS96" s="15"/>
      <c r="AT96" s="9"/>
      <c r="AU96" s="15"/>
      <c r="AV96" s="9">
        <v>3316</v>
      </c>
      <c r="AW96" s="15" t="s">
        <v>11462</v>
      </c>
      <c r="AX96" s="193">
        <v>3250</v>
      </c>
      <c r="AY96" s="15" t="s">
        <v>11557</v>
      </c>
      <c r="AZ96" s="11">
        <v>1970</v>
      </c>
      <c r="BA96" s="13" t="s">
        <v>11626</v>
      </c>
      <c r="BB96" s="9">
        <v>1099.01</v>
      </c>
      <c r="BC96" s="15" t="s">
        <v>11699</v>
      </c>
      <c r="BD96" s="9"/>
      <c r="BE96" s="15"/>
      <c r="BF96" s="9"/>
      <c r="BG96" s="15"/>
      <c r="BH96" s="9"/>
      <c r="BI96" s="15"/>
      <c r="BJ96" s="9"/>
      <c r="BK96" s="15"/>
      <c r="BL96" s="15"/>
      <c r="BM96" s="15"/>
      <c r="BN96" s="9"/>
      <c r="BO96" s="15"/>
      <c r="BP96" s="9"/>
      <c r="BQ96" s="15"/>
      <c r="BR96" s="9"/>
      <c r="BS96" s="15"/>
      <c r="BT96" s="9"/>
      <c r="BU96" s="15"/>
      <c r="BV96" s="9"/>
      <c r="BW96" s="15"/>
      <c r="BX96" s="9"/>
      <c r="BY96" s="15"/>
      <c r="BZ96" s="9"/>
      <c r="CA96" s="15"/>
      <c r="CB96" s="9"/>
      <c r="CC96" s="15"/>
      <c r="CD96" s="9"/>
      <c r="CE96" s="15"/>
      <c r="CF96" s="9"/>
      <c r="CG96" s="15"/>
      <c r="CH96" s="9"/>
      <c r="CI96" s="15"/>
      <c r="CJ96" s="9"/>
      <c r="CK96" s="15"/>
      <c r="CL96" s="9"/>
      <c r="CM96" s="15"/>
      <c r="CN96" s="9"/>
      <c r="CO96" s="15"/>
      <c r="CP96" s="9"/>
    </row>
    <row r="97" spans="1:94" x14ac:dyDescent="0.25">
      <c r="A97" s="41"/>
      <c r="B97" s="9"/>
      <c r="C97" s="15"/>
      <c r="D97" s="95">
        <f>+SUM(D92:D96)</f>
        <v>2996.5699999999997</v>
      </c>
      <c r="E97" s="15"/>
      <c r="F97" s="15"/>
      <c r="G97" s="15"/>
      <c r="H97" s="9">
        <v>1099.01</v>
      </c>
      <c r="I97" s="15" t="s">
        <v>10676</v>
      </c>
      <c r="J97" s="9">
        <v>1099.02</v>
      </c>
      <c r="K97" s="15" t="s">
        <v>10727</v>
      </c>
      <c r="L97" s="95">
        <f>+SUM(L93:L96)</f>
        <v>6266.9</v>
      </c>
      <c r="M97" s="15"/>
      <c r="N97" s="9"/>
      <c r="O97" s="15"/>
      <c r="P97" s="9">
        <v>3319.99</v>
      </c>
      <c r="Q97" s="15" t="s">
        <v>10868</v>
      </c>
      <c r="R97" s="9"/>
      <c r="S97" s="15"/>
      <c r="T97" s="11">
        <v>1168.99</v>
      </c>
      <c r="U97" s="13" t="s">
        <v>10901</v>
      </c>
      <c r="V97" s="137">
        <v>4328.99</v>
      </c>
      <c r="W97" s="15" t="s">
        <v>11016</v>
      </c>
      <c r="X97" s="230">
        <f>+SUM(X94:X96)</f>
        <v>5249</v>
      </c>
      <c r="Y97" s="15"/>
      <c r="Z97" s="9"/>
      <c r="AA97" s="15"/>
      <c r="AB97" s="9"/>
      <c r="AC97" s="15"/>
      <c r="AD97" s="23"/>
      <c r="AE97" s="13"/>
      <c r="AF97" s="9"/>
      <c r="AG97" s="15"/>
      <c r="AH97" s="133"/>
      <c r="AI97" s="15"/>
      <c r="AJ97" s="9">
        <v>917.34</v>
      </c>
      <c r="AK97" s="15" t="s">
        <v>11273</v>
      </c>
      <c r="AL97" s="9"/>
      <c r="AM97" s="15"/>
      <c r="AN97" s="9">
        <v>1994.99</v>
      </c>
      <c r="AO97" s="15" t="s">
        <v>11368</v>
      </c>
      <c r="AP97" s="9">
        <v>1169</v>
      </c>
      <c r="AQ97" s="15" t="s">
        <v>11501</v>
      </c>
      <c r="AR97" s="9"/>
      <c r="AS97" s="15"/>
      <c r="AT97" s="9">
        <v>277.94</v>
      </c>
      <c r="AU97" s="15" t="s">
        <v>11425</v>
      </c>
      <c r="AV97" s="15">
        <v>975</v>
      </c>
      <c r="AW97" s="15" t="s">
        <v>11464</v>
      </c>
      <c r="AX97" s="95">
        <f>+SUM(AX94:AX96)</f>
        <v>8243.2999999999993</v>
      </c>
      <c r="AY97" s="15"/>
      <c r="AZ97" s="15">
        <v>1099</v>
      </c>
      <c r="BA97" s="15" t="s">
        <v>11628</v>
      </c>
      <c r="BB97" s="9">
        <v>834.43</v>
      </c>
      <c r="BC97" s="15" t="s">
        <v>11702</v>
      </c>
      <c r="BD97" s="9"/>
      <c r="BE97" s="15"/>
      <c r="BF97" s="9"/>
      <c r="BG97" s="15"/>
      <c r="BH97" s="229"/>
      <c r="BI97" s="127"/>
      <c r="BJ97" s="9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</row>
    <row r="98" spans="1:94" x14ac:dyDescent="0.25">
      <c r="A98" s="41"/>
      <c r="B98" s="9">
        <v>474.73</v>
      </c>
      <c r="C98" s="15" t="s">
        <v>10580</v>
      </c>
      <c r="D98" s="9"/>
      <c r="E98" s="15"/>
      <c r="F98" s="15"/>
      <c r="G98" s="15"/>
      <c r="H98" s="9">
        <v>4640</v>
      </c>
      <c r="I98" s="15" t="s">
        <v>10683</v>
      </c>
      <c r="J98" s="9">
        <v>2040</v>
      </c>
      <c r="K98" s="15" t="s">
        <v>10730</v>
      </c>
      <c r="L98" s="9"/>
      <c r="M98" s="15"/>
      <c r="N98" s="9">
        <v>11500</v>
      </c>
      <c r="O98" s="15" t="s">
        <v>10818</v>
      </c>
      <c r="P98" s="15">
        <v>583.99</v>
      </c>
      <c r="Q98" s="15" t="s">
        <v>10869</v>
      </c>
      <c r="R98" s="9"/>
      <c r="S98" s="15"/>
      <c r="T98" s="9">
        <v>1099</v>
      </c>
      <c r="U98" s="15" t="s">
        <v>10903</v>
      </c>
      <c r="V98" s="9">
        <v>1169</v>
      </c>
      <c r="W98" s="15" t="s">
        <v>11025</v>
      </c>
      <c r="X98" s="229"/>
      <c r="Y98" s="15"/>
      <c r="Z98" s="9">
        <v>228.31</v>
      </c>
      <c r="AA98" s="15" t="s">
        <v>11062</v>
      </c>
      <c r="AB98" s="9"/>
      <c r="AC98" s="15"/>
      <c r="AD98" s="15"/>
      <c r="AE98" s="15"/>
      <c r="AF98" s="9">
        <v>1169</v>
      </c>
      <c r="AG98" s="15" t="s">
        <v>11182</v>
      </c>
      <c r="AH98" s="9"/>
      <c r="AI98" s="15"/>
      <c r="AJ98" s="9">
        <v>2691.07</v>
      </c>
      <c r="AK98" s="15" t="s">
        <v>11286</v>
      </c>
      <c r="AL98" s="9"/>
      <c r="AM98" s="15"/>
      <c r="AN98" s="9">
        <v>5289.76</v>
      </c>
      <c r="AO98" s="15" t="s">
        <v>11361</v>
      </c>
      <c r="AP98" s="9">
        <v>1519.01</v>
      </c>
      <c r="AQ98" s="15" t="s">
        <v>11503</v>
      </c>
      <c r="AR98" s="9"/>
      <c r="AS98" s="15"/>
      <c r="AT98" s="9">
        <v>1513.01</v>
      </c>
      <c r="AU98" s="15" t="s">
        <v>11428</v>
      </c>
      <c r="AV98" s="15">
        <v>6650.3</v>
      </c>
      <c r="AW98" s="15" t="s">
        <v>11467</v>
      </c>
      <c r="AX98" s="15"/>
      <c r="AY98" s="15"/>
      <c r="AZ98" s="9">
        <v>7808.99</v>
      </c>
      <c r="BA98" s="15" t="s">
        <v>11633</v>
      </c>
      <c r="BB98" s="9">
        <v>107.04</v>
      </c>
      <c r="BC98" s="15" t="s">
        <v>11703</v>
      </c>
      <c r="BD98" s="15"/>
      <c r="BE98" s="15"/>
      <c r="BF98" s="9"/>
      <c r="BG98" s="15"/>
      <c r="BH98" s="127"/>
      <c r="BI98" s="127"/>
      <c r="BJ98" s="9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</row>
    <row r="99" spans="1:94" x14ac:dyDescent="0.25">
      <c r="A99" s="41"/>
      <c r="B99" s="9">
        <v>1169</v>
      </c>
      <c r="C99" s="15" t="s">
        <v>10584</v>
      </c>
      <c r="D99" s="9"/>
      <c r="E99" s="15"/>
      <c r="F99" s="9"/>
      <c r="G99" s="15"/>
      <c r="H99" s="95">
        <f>+SUM(H96:H98)</f>
        <v>10134.02</v>
      </c>
      <c r="I99" s="15"/>
      <c r="J99" s="9">
        <v>3319.99</v>
      </c>
      <c r="K99" s="15" t="s">
        <v>10740</v>
      </c>
      <c r="L99" s="9"/>
      <c r="M99" s="15"/>
      <c r="N99" s="15">
        <f>721.73-257.73</f>
        <v>464</v>
      </c>
      <c r="O99" s="15" t="s">
        <v>10825</v>
      </c>
      <c r="P99" s="9">
        <v>1169</v>
      </c>
      <c r="Q99" s="15" t="s">
        <v>10870</v>
      </c>
      <c r="R99" s="9"/>
      <c r="S99" s="15"/>
      <c r="T99" s="9">
        <v>3250.01</v>
      </c>
      <c r="U99" s="15" t="s">
        <v>10905</v>
      </c>
      <c r="V99" s="95">
        <f>+SUM(V92:V98)</f>
        <v>16743.02</v>
      </c>
      <c r="W99" s="15"/>
      <c r="X99" s="9"/>
      <c r="Y99" s="15"/>
      <c r="Z99" s="9">
        <v>2299</v>
      </c>
      <c r="AA99" s="15" t="s">
        <v>11082</v>
      </c>
      <c r="AB99" s="15"/>
      <c r="AC99" s="15"/>
      <c r="AD99" s="9"/>
      <c r="AE99" s="15"/>
      <c r="AF99" s="9">
        <v>3239.01</v>
      </c>
      <c r="AG99" s="15" t="s">
        <v>11189</v>
      </c>
      <c r="AH99" s="15"/>
      <c r="AI99" s="15"/>
      <c r="AJ99" s="9">
        <v>4764.99</v>
      </c>
      <c r="AK99" s="15" t="s">
        <v>11287</v>
      </c>
      <c r="AL99" s="15"/>
      <c r="AM99" s="15"/>
      <c r="AN99" s="95">
        <f>+AN96+AN97+AN98</f>
        <v>7667.13</v>
      </c>
      <c r="AO99" s="15"/>
      <c r="AP99" s="9">
        <v>1169</v>
      </c>
      <c r="AQ99" s="15" t="s">
        <v>11505</v>
      </c>
      <c r="AR99" s="15"/>
      <c r="AS99" s="15"/>
      <c r="AT99" s="15">
        <v>1579</v>
      </c>
      <c r="AU99" s="15" t="s">
        <v>11429</v>
      </c>
      <c r="AV99" s="9">
        <v>1099.01</v>
      </c>
      <c r="AW99" s="15" t="s">
        <v>11469</v>
      </c>
      <c r="AX99" s="15"/>
      <c r="AY99" s="15"/>
      <c r="AZ99" s="9">
        <v>1169.01</v>
      </c>
      <c r="BA99" s="15" t="s">
        <v>11634</v>
      </c>
      <c r="BB99" s="95">
        <f>+SUM(BB92:BB98)</f>
        <v>9833.17</v>
      </c>
      <c r="BC99" s="15"/>
      <c r="BD99" s="127"/>
      <c r="BE99" s="24"/>
      <c r="BF99" s="15"/>
      <c r="BG99" s="15"/>
      <c r="BH99" s="127"/>
      <c r="BI99" s="127"/>
      <c r="BJ99" s="15"/>
      <c r="BK99" s="15"/>
      <c r="BL99" s="9"/>
      <c r="BM99" s="15"/>
      <c r="BN99" s="9"/>
      <c r="BO99" s="15"/>
      <c r="BP99" s="9"/>
      <c r="BQ99" s="15"/>
      <c r="BR99" s="9"/>
      <c r="BS99" s="15"/>
      <c r="BT99" s="9"/>
      <c r="BU99" s="15"/>
      <c r="BV99" s="9"/>
      <c r="BW99" s="15"/>
      <c r="BX99" s="9"/>
      <c r="BY99" s="15"/>
      <c r="BZ99" s="9"/>
      <c r="CA99" s="15"/>
      <c r="CB99" s="9"/>
      <c r="CC99" s="15"/>
      <c r="CD99" s="9"/>
      <c r="CE99" s="15"/>
      <c r="CF99" s="9"/>
      <c r="CG99" s="15"/>
      <c r="CH99" s="9"/>
      <c r="CI99" s="15"/>
      <c r="CJ99" s="9"/>
      <c r="CK99" s="15"/>
      <c r="CL99" s="9"/>
      <c r="CM99" s="15"/>
      <c r="CN99" s="9"/>
      <c r="CO99" s="15"/>
      <c r="CP99" s="9"/>
    </row>
    <row r="100" spans="1:94" x14ac:dyDescent="0.25">
      <c r="A100" s="41"/>
      <c r="B100" s="9">
        <v>1474.99</v>
      </c>
      <c r="C100" s="15" t="s">
        <v>9309</v>
      </c>
      <c r="D100" s="9"/>
      <c r="E100" s="15"/>
      <c r="F100" s="9"/>
      <c r="G100" s="15"/>
      <c r="H100" s="9"/>
      <c r="I100" s="15"/>
      <c r="J100" s="9">
        <v>2064.9899999999998</v>
      </c>
      <c r="K100" s="15" t="s">
        <v>10743</v>
      </c>
      <c r="L100" s="9"/>
      <c r="M100" s="15"/>
      <c r="N100" s="9">
        <v>884</v>
      </c>
      <c r="O100" s="15" t="s">
        <v>10828</v>
      </c>
      <c r="P100" s="9">
        <v>1939</v>
      </c>
      <c r="Q100" s="15" t="s">
        <v>10871</v>
      </c>
      <c r="R100" s="9"/>
      <c r="S100" s="15"/>
      <c r="T100" s="9">
        <v>1099.01</v>
      </c>
      <c r="U100" s="15" t="s">
        <v>10908</v>
      </c>
      <c r="V100" s="9"/>
      <c r="W100" s="15"/>
      <c r="X100" s="9"/>
      <c r="Y100" s="15"/>
      <c r="Z100" s="9">
        <v>6456.53</v>
      </c>
      <c r="AA100" s="15" t="s">
        <v>11087</v>
      </c>
      <c r="AB100" s="9"/>
      <c r="AC100" s="15"/>
      <c r="AD100" s="9"/>
      <c r="AE100" s="15"/>
      <c r="AF100" s="95">
        <f>+AF98+AF99</f>
        <v>4408.01</v>
      </c>
      <c r="AG100" s="15"/>
      <c r="AH100" s="9"/>
      <c r="AI100" s="15"/>
      <c r="AJ100" s="95">
        <f>+AJ97+AJ98+AJ99</f>
        <v>8373.4</v>
      </c>
      <c r="AK100" s="15"/>
      <c r="AL100" s="9"/>
      <c r="AM100" s="15"/>
      <c r="AN100" s="15"/>
      <c r="AO100" s="15"/>
      <c r="AP100" s="95">
        <f>+SUM(AP91:AP99)</f>
        <v>39577.019999999997</v>
      </c>
      <c r="AQ100" s="15"/>
      <c r="AR100" s="9"/>
      <c r="AS100" s="15"/>
      <c r="AT100" s="9">
        <v>4395.01</v>
      </c>
      <c r="AU100" s="15" t="s">
        <v>11430</v>
      </c>
      <c r="AV100" s="95">
        <f>+SUM(AV92:AV99)</f>
        <v>21348.32</v>
      </c>
      <c r="AW100" s="15"/>
      <c r="AX100" s="9"/>
      <c r="AY100" s="15"/>
      <c r="AZ100" s="95">
        <f>+SUM(AZ96:AZ99)</f>
        <v>12047</v>
      </c>
      <c r="BA100" s="15"/>
      <c r="BB100" s="9"/>
      <c r="BC100" s="15"/>
      <c r="BD100" s="15"/>
      <c r="BE100" s="15"/>
      <c r="BF100" s="9"/>
      <c r="BG100" s="15"/>
      <c r="BH100" s="127"/>
      <c r="BI100" s="127"/>
      <c r="BJ100" s="15"/>
      <c r="BK100" s="15"/>
      <c r="BL100" s="9"/>
      <c r="BM100" s="15"/>
      <c r="BN100" s="9"/>
      <c r="BO100" s="15"/>
      <c r="BP100" s="9"/>
      <c r="BQ100" s="15"/>
      <c r="BR100" s="9"/>
      <c r="BS100" s="15"/>
      <c r="BT100" s="9"/>
      <c r="BU100" s="15"/>
      <c r="BV100" s="9"/>
      <c r="BW100" s="15"/>
      <c r="BX100" s="9"/>
      <c r="BY100" s="15"/>
      <c r="BZ100" s="9"/>
      <c r="CA100" s="15"/>
      <c r="CB100" s="9"/>
      <c r="CC100" s="15"/>
      <c r="CD100" s="9"/>
      <c r="CE100" s="15"/>
      <c r="CF100" s="9"/>
      <c r="CG100" s="15"/>
      <c r="CH100" s="9"/>
      <c r="CI100" s="15"/>
      <c r="CJ100" s="9"/>
      <c r="CK100" s="15"/>
      <c r="CL100" s="9"/>
      <c r="CM100" s="15"/>
      <c r="CN100" s="9"/>
      <c r="CO100" s="15"/>
      <c r="CP100" s="9"/>
    </row>
    <row r="101" spans="1:94" x14ac:dyDescent="0.25">
      <c r="A101" s="41"/>
      <c r="B101" s="95">
        <f>+SUM(B98:B100)</f>
        <v>3118.7200000000003</v>
      </c>
      <c r="C101" s="15"/>
      <c r="D101" s="15"/>
      <c r="E101" s="15"/>
      <c r="F101" s="9"/>
      <c r="G101" s="15"/>
      <c r="H101" s="9"/>
      <c r="I101" s="15"/>
      <c r="J101" s="95">
        <f>+SUM(J94:J100)</f>
        <v>16137</v>
      </c>
      <c r="K101" s="15"/>
      <c r="L101" s="9"/>
      <c r="M101" s="15"/>
      <c r="N101" s="15">
        <v>1168.99</v>
      </c>
      <c r="O101" s="15" t="s">
        <v>10831</v>
      </c>
      <c r="P101" s="9">
        <v>2528</v>
      </c>
      <c r="Q101" s="15" t="s">
        <v>10874</v>
      </c>
      <c r="R101" s="9"/>
      <c r="S101" s="15"/>
      <c r="T101" s="95">
        <f>+SUM(T96:T100)</f>
        <v>8296.4500000000007</v>
      </c>
      <c r="U101" s="15"/>
      <c r="V101" s="9"/>
      <c r="W101" s="15"/>
      <c r="X101" s="9"/>
      <c r="Y101" s="15"/>
      <c r="Z101" s="9">
        <v>2900</v>
      </c>
      <c r="AA101" s="15" t="s">
        <v>11089</v>
      </c>
      <c r="AB101" s="9"/>
      <c r="AC101" s="15"/>
      <c r="AD101" s="9"/>
      <c r="AE101" s="15"/>
      <c r="AF101" s="9"/>
      <c r="AG101" s="15"/>
      <c r="AH101" s="9"/>
      <c r="AI101" s="15"/>
      <c r="AJ101" s="9"/>
      <c r="AK101" s="15"/>
      <c r="AL101" s="15"/>
      <c r="AM101" s="15"/>
      <c r="AN101" s="15"/>
      <c r="AO101" s="15"/>
      <c r="AP101" s="9"/>
      <c r="AQ101" s="15"/>
      <c r="AR101" s="9"/>
      <c r="AS101" s="15"/>
      <c r="AT101" s="9">
        <v>1169</v>
      </c>
      <c r="AU101" s="15" t="s">
        <v>11434</v>
      </c>
      <c r="AV101" s="15"/>
      <c r="AW101" s="15"/>
      <c r="AX101" s="9"/>
      <c r="AY101" s="15"/>
      <c r="AZ101" s="9"/>
      <c r="BA101" s="15"/>
      <c r="BB101" s="9"/>
      <c r="BC101" s="15"/>
      <c r="BD101" s="9"/>
      <c r="BE101" s="15"/>
      <c r="BF101" s="9"/>
      <c r="BG101" s="15"/>
      <c r="BH101" s="127"/>
      <c r="BI101" s="127"/>
      <c r="BJ101" s="9"/>
      <c r="BK101" s="15"/>
      <c r="BL101" s="9"/>
      <c r="BM101" s="15"/>
      <c r="BN101" s="9"/>
      <c r="BO101" s="15"/>
      <c r="BP101" s="9"/>
      <c r="BQ101" s="15"/>
      <c r="BR101" s="9"/>
      <c r="BS101" s="15"/>
      <c r="BT101" s="9"/>
      <c r="BU101" s="15"/>
      <c r="BV101" s="9"/>
      <c r="BW101" s="15"/>
      <c r="BX101" s="9"/>
      <c r="BY101" s="15"/>
      <c r="BZ101" s="9"/>
      <c r="CA101" s="15"/>
      <c r="CB101" s="9"/>
      <c r="CC101" s="15"/>
      <c r="CD101" s="9"/>
      <c r="CE101" s="15"/>
      <c r="CF101" s="9"/>
      <c r="CG101" s="15"/>
      <c r="CH101" s="9"/>
      <c r="CI101" s="15"/>
      <c r="CJ101" s="9"/>
      <c r="CK101" s="15"/>
      <c r="CL101" s="9"/>
      <c r="CM101" s="15"/>
      <c r="CN101" s="9"/>
      <c r="CO101" s="15"/>
      <c r="CP101" s="9"/>
    </row>
    <row r="102" spans="1:94" x14ac:dyDescent="0.25">
      <c r="A102" s="41"/>
      <c r="B102" s="9"/>
      <c r="C102" s="15"/>
      <c r="D102" s="15"/>
      <c r="E102" s="15"/>
      <c r="F102" s="9"/>
      <c r="G102" s="15"/>
      <c r="H102" s="9"/>
      <c r="I102" s="15"/>
      <c r="J102" s="9"/>
      <c r="K102" s="15"/>
      <c r="L102" s="9"/>
      <c r="M102" s="15"/>
      <c r="N102" s="9">
        <v>575</v>
      </c>
      <c r="O102" s="15" t="s">
        <v>10833</v>
      </c>
      <c r="P102" s="9">
        <v>1949.99</v>
      </c>
      <c r="Q102" s="26" t="s">
        <v>10855</v>
      </c>
      <c r="R102" s="9"/>
      <c r="S102" s="15"/>
      <c r="T102" s="9"/>
      <c r="U102" s="15"/>
      <c r="V102" s="9"/>
      <c r="W102" s="15"/>
      <c r="X102" s="9"/>
      <c r="Y102" s="15"/>
      <c r="Z102" s="9">
        <v>1169</v>
      </c>
      <c r="AA102" s="15" t="s">
        <v>11091</v>
      </c>
      <c r="AB102" s="9"/>
      <c r="AC102" s="15"/>
      <c r="AD102" s="9"/>
      <c r="AE102" s="15"/>
      <c r="AF102" s="15"/>
      <c r="AG102" s="15"/>
      <c r="AH102" s="9"/>
      <c r="AI102" s="15"/>
      <c r="AJ102" s="9"/>
      <c r="AK102" s="15"/>
      <c r="AL102" s="9"/>
      <c r="AM102" s="15"/>
      <c r="AN102" s="9"/>
      <c r="AO102" s="15"/>
      <c r="AP102" s="9"/>
      <c r="AQ102" s="15"/>
      <c r="AR102" s="9"/>
      <c r="AS102" s="15"/>
      <c r="AT102" s="9">
        <v>1099.01</v>
      </c>
      <c r="AU102" s="15" t="s">
        <v>11435</v>
      </c>
      <c r="AV102" s="9">
        <v>232</v>
      </c>
      <c r="AW102" s="15" t="s">
        <v>11516</v>
      </c>
      <c r="AX102" s="9"/>
      <c r="AY102" s="15"/>
      <c r="AZ102" s="9"/>
      <c r="BA102" s="15"/>
      <c r="BB102" s="9"/>
      <c r="BC102" s="15"/>
      <c r="BD102" s="9"/>
      <c r="BE102" s="15"/>
      <c r="BF102" s="9"/>
      <c r="BG102" s="15"/>
      <c r="BH102" s="127"/>
      <c r="BI102" s="127"/>
      <c r="BJ102" s="9"/>
      <c r="BK102" s="15"/>
      <c r="BL102" s="9"/>
      <c r="BM102" s="15"/>
      <c r="BN102" s="9"/>
      <c r="BO102" s="15"/>
      <c r="BP102" s="9"/>
      <c r="BQ102" s="15"/>
      <c r="BR102" s="9"/>
      <c r="BS102" s="15"/>
      <c r="BT102" s="9"/>
      <c r="BU102" s="15"/>
      <c r="BV102" s="9"/>
      <c r="BW102" s="15"/>
      <c r="BX102" s="9"/>
      <c r="BY102" s="15"/>
      <c r="BZ102" s="9"/>
      <c r="CA102" s="15"/>
      <c r="CB102" s="9"/>
      <c r="CC102" s="15"/>
      <c r="CD102" s="9"/>
      <c r="CE102" s="15"/>
      <c r="CF102" s="9"/>
      <c r="CG102" s="15"/>
      <c r="CH102" s="9"/>
      <c r="CI102" s="15"/>
      <c r="CJ102" s="9"/>
      <c r="CK102" s="15"/>
      <c r="CL102" s="9"/>
      <c r="CM102" s="15"/>
      <c r="CN102" s="9"/>
      <c r="CO102" s="15"/>
      <c r="CP102" s="9"/>
    </row>
    <row r="103" spans="1:94" x14ac:dyDescent="0.25">
      <c r="A103" s="41"/>
      <c r="B103" s="9"/>
      <c r="C103" s="15"/>
      <c r="D103" s="9"/>
      <c r="E103" s="15"/>
      <c r="F103" s="9"/>
      <c r="G103" s="15"/>
      <c r="H103" s="15"/>
      <c r="I103" s="15"/>
      <c r="J103" s="9"/>
      <c r="K103" s="15"/>
      <c r="L103" s="9"/>
      <c r="M103" s="15"/>
      <c r="N103" s="9">
        <v>2460</v>
      </c>
      <c r="O103" s="15" t="s">
        <v>10836</v>
      </c>
      <c r="P103" s="95">
        <f>+SUM(P92:P102)</f>
        <v>25958.810000000005</v>
      </c>
      <c r="Q103" s="15"/>
      <c r="R103" s="15"/>
      <c r="S103" s="15"/>
      <c r="T103" s="9"/>
      <c r="U103" s="15"/>
      <c r="V103" s="9"/>
      <c r="W103" s="15"/>
      <c r="X103" s="9"/>
      <c r="Y103" s="15"/>
      <c r="Z103" s="9">
        <v>1169</v>
      </c>
      <c r="AA103" s="15" t="s">
        <v>11095</v>
      </c>
      <c r="AB103" s="9"/>
      <c r="AC103" s="15"/>
      <c r="AD103" s="9"/>
      <c r="AE103" s="15"/>
      <c r="AF103" s="9"/>
      <c r="AG103" s="15"/>
      <c r="AH103" s="9"/>
      <c r="AI103" s="15"/>
      <c r="AJ103" s="15"/>
      <c r="AK103" s="15"/>
      <c r="AL103" s="9"/>
      <c r="AM103" s="15"/>
      <c r="AN103" s="15"/>
      <c r="AO103" s="15"/>
      <c r="AP103" s="15"/>
      <c r="AQ103" s="15"/>
      <c r="AR103" s="9"/>
      <c r="AS103" s="15"/>
      <c r="AT103" s="95">
        <f>+SUM(AT97:AT102)</f>
        <v>10032.969999999999</v>
      </c>
      <c r="AU103" s="15"/>
      <c r="AV103" s="9">
        <v>1168.99</v>
      </c>
      <c r="AW103" s="15" t="s">
        <v>11517</v>
      </c>
      <c r="AX103" s="9"/>
      <c r="AY103" s="15"/>
      <c r="AZ103" s="9"/>
      <c r="BA103" s="15"/>
      <c r="BB103" s="9"/>
      <c r="BC103" s="15"/>
      <c r="BD103" s="9"/>
      <c r="BE103" s="15"/>
      <c r="BF103" s="9"/>
      <c r="BG103" s="15"/>
      <c r="BH103" s="127"/>
      <c r="BI103" s="127"/>
      <c r="BJ103" s="9"/>
      <c r="BK103" s="15"/>
      <c r="BL103" s="9"/>
      <c r="BM103" s="15"/>
      <c r="BN103" s="9"/>
      <c r="BO103" s="15"/>
      <c r="BP103" s="9"/>
      <c r="BQ103" s="15"/>
      <c r="BR103" s="9"/>
      <c r="BS103" s="15"/>
      <c r="BT103" s="9"/>
      <c r="BU103" s="15"/>
      <c r="BV103" s="9"/>
      <c r="BW103" s="15"/>
      <c r="BX103" s="9"/>
      <c r="BY103" s="15"/>
      <c r="BZ103" s="9"/>
      <c r="CA103" s="15"/>
      <c r="CB103" s="9"/>
      <c r="CC103" s="15"/>
      <c r="CD103" s="9"/>
      <c r="CE103" s="15"/>
      <c r="CF103" s="9"/>
      <c r="CG103" s="15"/>
      <c r="CH103" s="9"/>
      <c r="CI103" s="15"/>
      <c r="CJ103" s="9"/>
      <c r="CK103" s="15"/>
      <c r="CL103" s="9"/>
      <c r="CM103" s="15"/>
      <c r="CN103" s="9"/>
      <c r="CO103" s="15"/>
      <c r="CP103" s="9"/>
    </row>
    <row r="104" spans="1:94" x14ac:dyDescent="0.25">
      <c r="A104" s="41"/>
      <c r="B104" s="9"/>
      <c r="C104" s="15"/>
      <c r="D104" s="15"/>
      <c r="E104" s="15"/>
      <c r="F104" s="9"/>
      <c r="G104" s="15"/>
      <c r="H104" s="9"/>
      <c r="I104" s="15"/>
      <c r="J104" s="9"/>
      <c r="K104" s="15"/>
      <c r="L104" s="9"/>
      <c r="M104" s="15"/>
      <c r="N104" s="9">
        <v>1577.39</v>
      </c>
      <c r="O104" s="15" t="s">
        <v>10838</v>
      </c>
      <c r="P104" s="9"/>
      <c r="Q104" s="15"/>
      <c r="R104" s="15"/>
      <c r="S104" s="15"/>
      <c r="T104" s="15"/>
      <c r="U104" s="15"/>
      <c r="V104" s="9"/>
      <c r="W104" s="15"/>
      <c r="X104" s="9"/>
      <c r="Y104" s="15"/>
      <c r="Z104" s="95">
        <f>+SUM(Z98:Z103)</f>
        <v>14221.84</v>
      </c>
      <c r="AA104" s="15"/>
      <c r="AB104" s="9"/>
      <c r="AC104" s="15"/>
      <c r="AD104" s="9"/>
      <c r="AE104" s="15"/>
      <c r="AF104" s="9"/>
      <c r="AG104" s="15"/>
      <c r="AH104" s="9"/>
      <c r="AI104" s="15"/>
      <c r="AJ104" s="9"/>
      <c r="AK104" s="15"/>
      <c r="AL104" s="9"/>
      <c r="AM104" s="15"/>
      <c r="AN104" s="9"/>
      <c r="AO104" s="15"/>
      <c r="AP104" s="9"/>
      <c r="AQ104" s="15"/>
      <c r="AR104" s="9"/>
      <c r="AS104" s="15"/>
      <c r="AT104" s="9"/>
      <c r="AU104" s="15"/>
      <c r="AV104" s="9">
        <v>1168.99</v>
      </c>
      <c r="AW104" s="15" t="s">
        <v>11521</v>
      </c>
      <c r="AX104" s="9"/>
      <c r="AY104" s="15"/>
      <c r="AZ104" s="9"/>
      <c r="BA104" s="15"/>
      <c r="BB104" s="9"/>
      <c r="BC104" s="15"/>
      <c r="BD104" s="9"/>
      <c r="BE104" s="15"/>
      <c r="BF104" s="9"/>
      <c r="BG104" s="15"/>
      <c r="BH104" s="127"/>
      <c r="BI104" s="127"/>
      <c r="BJ104" s="9"/>
      <c r="BK104" s="15"/>
      <c r="BL104" s="9"/>
      <c r="BM104" s="15"/>
      <c r="BN104" s="9"/>
      <c r="BO104" s="15"/>
      <c r="BP104" s="9"/>
      <c r="BQ104" s="15"/>
      <c r="BR104" s="9"/>
      <c r="BS104" s="15"/>
      <c r="BT104" s="9"/>
      <c r="BU104" s="15"/>
      <c r="BV104" s="9"/>
      <c r="BW104" s="15"/>
      <c r="BX104" s="9"/>
      <c r="BY104" s="15"/>
      <c r="BZ104" s="9"/>
      <c r="CA104" s="15"/>
      <c r="CB104" s="9"/>
      <c r="CC104" s="15"/>
      <c r="CD104" s="9"/>
      <c r="CE104" s="15"/>
      <c r="CF104" s="9"/>
      <c r="CG104" s="15"/>
      <c r="CH104" s="9"/>
      <c r="CI104" s="15"/>
      <c r="CJ104" s="9"/>
      <c r="CK104" s="15"/>
      <c r="CL104" s="9"/>
      <c r="CM104" s="15"/>
      <c r="CN104" s="9"/>
      <c r="CO104" s="15"/>
      <c r="CP104" s="9"/>
    </row>
    <row r="105" spans="1:94" x14ac:dyDescent="0.25">
      <c r="A105" s="41"/>
      <c r="B105" s="9"/>
      <c r="C105" s="15"/>
      <c r="D105" s="9"/>
      <c r="E105" s="15"/>
      <c r="F105" s="15"/>
      <c r="G105" s="15"/>
      <c r="H105" s="9"/>
      <c r="I105" s="15"/>
      <c r="J105" s="15"/>
      <c r="K105" s="15"/>
      <c r="L105" s="9"/>
      <c r="M105" s="15"/>
      <c r="N105" s="9">
        <v>1899.01</v>
      </c>
      <c r="O105" s="15" t="s">
        <v>10827</v>
      </c>
      <c r="P105" s="9"/>
      <c r="Q105" s="15"/>
      <c r="R105" s="9"/>
      <c r="S105" s="15"/>
      <c r="T105" s="9"/>
      <c r="U105" s="15"/>
      <c r="V105" s="9"/>
      <c r="W105" s="15"/>
      <c r="X105" s="9"/>
      <c r="Y105" s="15"/>
      <c r="Z105" s="9"/>
      <c r="AA105" s="15"/>
      <c r="AB105" s="9"/>
      <c r="AC105" s="15"/>
      <c r="AD105" s="9"/>
      <c r="AE105" s="15"/>
      <c r="AF105" s="9"/>
      <c r="AG105" s="15"/>
      <c r="AH105" s="9"/>
      <c r="AI105" s="15"/>
      <c r="AJ105" s="9"/>
      <c r="AK105" s="15"/>
      <c r="AL105" s="15"/>
      <c r="AM105" s="15"/>
      <c r="AN105" s="15"/>
      <c r="AO105" s="15"/>
      <c r="AP105" s="15"/>
      <c r="AQ105" s="15"/>
      <c r="AR105" s="15"/>
      <c r="AS105" s="15"/>
      <c r="AT105" s="9"/>
      <c r="AU105" s="15"/>
      <c r="AV105" s="95">
        <f>+SUM(AV102:AV104)</f>
        <v>2569.98</v>
      </c>
      <c r="AW105" s="15"/>
      <c r="AX105" s="9"/>
      <c r="AY105" s="15"/>
      <c r="AZ105" s="9"/>
      <c r="BA105" s="15"/>
      <c r="BB105" s="9"/>
      <c r="BC105" s="15"/>
      <c r="BD105" s="9"/>
      <c r="BE105" s="15"/>
      <c r="BF105" s="9"/>
      <c r="BG105" s="15"/>
      <c r="BH105" s="127"/>
      <c r="BI105" s="127"/>
      <c r="BJ105" s="9"/>
      <c r="BK105" s="15"/>
      <c r="BL105" s="9"/>
      <c r="BM105" s="15"/>
      <c r="BN105" s="9"/>
      <c r="BO105" s="15"/>
      <c r="BP105" s="9"/>
      <c r="BQ105" s="15"/>
      <c r="BR105" s="9"/>
      <c r="BS105" s="15"/>
      <c r="BT105" s="9"/>
      <c r="BU105" s="15"/>
      <c r="BV105" s="9"/>
      <c r="BW105" s="15"/>
      <c r="BX105" s="9"/>
      <c r="BY105" s="15"/>
      <c r="BZ105" s="9"/>
      <c r="CA105" s="15"/>
      <c r="CB105" s="9"/>
      <c r="CC105" s="15"/>
      <c r="CD105" s="9"/>
      <c r="CE105" s="15"/>
      <c r="CF105" s="9"/>
      <c r="CG105" s="15"/>
      <c r="CH105" s="9"/>
      <c r="CI105" s="15"/>
      <c r="CJ105" s="9"/>
      <c r="CK105" s="15"/>
      <c r="CL105" s="9"/>
      <c r="CM105" s="15"/>
      <c r="CN105" s="9"/>
      <c r="CO105" s="15"/>
      <c r="CP105" s="9"/>
    </row>
    <row r="106" spans="1:94" x14ac:dyDescent="0.25">
      <c r="A106" s="41"/>
      <c r="B106" s="9"/>
      <c r="C106" s="15"/>
      <c r="D106" s="9"/>
      <c r="E106" s="15"/>
      <c r="F106" s="9"/>
      <c r="G106" s="15"/>
      <c r="H106" s="9"/>
      <c r="I106" s="15"/>
      <c r="J106" s="9"/>
      <c r="K106" s="15"/>
      <c r="L106" s="9"/>
      <c r="M106" s="15"/>
      <c r="N106" s="95">
        <f>+SUM(N98:N105)</f>
        <v>20528.389999999996</v>
      </c>
      <c r="O106" s="15"/>
      <c r="P106" s="9"/>
      <c r="Q106" s="15"/>
      <c r="R106" s="9"/>
      <c r="S106" s="15"/>
      <c r="T106" s="9"/>
      <c r="U106" s="15"/>
      <c r="V106" s="9"/>
      <c r="W106" s="15"/>
      <c r="X106" s="9"/>
      <c r="Y106" s="15"/>
      <c r="Z106" s="9"/>
      <c r="AA106" s="15"/>
      <c r="AB106" s="9"/>
      <c r="AC106" s="15"/>
      <c r="AD106" s="9"/>
      <c r="AE106" s="15"/>
      <c r="AF106" s="15"/>
      <c r="AG106" s="15"/>
      <c r="AH106" s="15"/>
      <c r="AI106" s="15"/>
      <c r="AJ106" s="9"/>
      <c r="AK106" s="15"/>
      <c r="AL106" s="9"/>
      <c r="AM106" s="15"/>
      <c r="AN106" s="9"/>
      <c r="AO106" s="15"/>
      <c r="AP106" s="9"/>
      <c r="AQ106" s="15"/>
      <c r="AR106" s="15"/>
      <c r="AS106" s="15"/>
      <c r="AT106" s="15"/>
      <c r="AU106" s="15"/>
      <c r="AV106" s="9"/>
      <c r="AW106" s="15"/>
      <c r="AX106" s="9"/>
      <c r="AY106" s="15"/>
      <c r="AZ106" s="15"/>
      <c r="BA106" s="15"/>
      <c r="BB106" s="15"/>
      <c r="BC106" s="15"/>
      <c r="BD106" s="9"/>
      <c r="BE106" s="15"/>
      <c r="BF106" s="9"/>
      <c r="BG106" s="15"/>
      <c r="BH106" s="15"/>
      <c r="BI106" s="15"/>
      <c r="BJ106" s="9"/>
      <c r="BK106" s="15"/>
      <c r="BL106" s="9"/>
      <c r="BM106" s="15"/>
      <c r="BN106" s="9"/>
      <c r="BO106" s="15"/>
      <c r="BP106" s="9"/>
      <c r="BQ106" s="15"/>
      <c r="BR106" s="9"/>
      <c r="BS106" s="15"/>
      <c r="BT106" s="9"/>
      <c r="BU106" s="15"/>
      <c r="BV106" s="9"/>
      <c r="BW106" s="15"/>
      <c r="BX106" s="9"/>
      <c r="BY106" s="15"/>
      <c r="BZ106" s="9"/>
      <c r="CA106" s="15"/>
      <c r="CB106" s="9"/>
      <c r="CC106" s="15"/>
      <c r="CD106" s="9"/>
      <c r="CE106" s="15"/>
      <c r="CF106" s="9"/>
      <c r="CG106" s="15"/>
      <c r="CH106" s="9"/>
      <c r="CI106" s="15"/>
      <c r="CJ106" s="9"/>
      <c r="CK106" s="15"/>
      <c r="CL106" s="9"/>
      <c r="CM106" s="15"/>
      <c r="CN106" s="9"/>
      <c r="CO106" s="15"/>
      <c r="CP106" s="9"/>
    </row>
    <row r="107" spans="1:94" x14ac:dyDescent="0.25">
      <c r="A107" s="41"/>
      <c r="B107" s="9"/>
      <c r="C107" s="15"/>
      <c r="D107" s="15"/>
      <c r="E107" s="15"/>
      <c r="F107" s="9"/>
      <c r="G107" s="15"/>
      <c r="H107" s="9"/>
      <c r="I107" s="15"/>
      <c r="J107" s="9"/>
      <c r="K107" s="15"/>
      <c r="L107" s="15"/>
      <c r="M107" s="15"/>
      <c r="N107" s="9"/>
      <c r="O107" s="15"/>
      <c r="P107" s="9"/>
      <c r="Q107" s="15"/>
      <c r="R107" s="9"/>
      <c r="S107" s="15"/>
      <c r="T107" s="9"/>
      <c r="U107" s="15"/>
      <c r="V107" s="9"/>
      <c r="W107" s="15"/>
      <c r="X107" s="9"/>
      <c r="Y107" s="15"/>
      <c r="Z107" s="9"/>
      <c r="AA107" s="15"/>
      <c r="AB107" s="9"/>
      <c r="AC107" s="15"/>
      <c r="AD107" s="9"/>
      <c r="AE107" s="15"/>
      <c r="AF107" s="9"/>
      <c r="AG107" s="15"/>
      <c r="AH107" s="9"/>
      <c r="AI107" s="15"/>
      <c r="AJ107" s="9"/>
      <c r="AK107" s="15"/>
      <c r="AL107" s="9"/>
      <c r="AM107" s="15"/>
      <c r="AN107" s="9"/>
      <c r="AO107" s="15"/>
      <c r="AP107" s="9"/>
      <c r="AQ107" s="15"/>
      <c r="AR107" s="9"/>
      <c r="AS107" s="15"/>
      <c r="AT107" s="15"/>
      <c r="AU107" s="15"/>
      <c r="AV107" s="9"/>
      <c r="AW107" s="15"/>
      <c r="AX107" s="9"/>
      <c r="AY107" s="15"/>
      <c r="AZ107" s="9"/>
      <c r="BA107" s="15"/>
      <c r="BB107" s="9"/>
      <c r="BC107" s="15"/>
      <c r="BD107" s="9"/>
      <c r="BE107" s="15"/>
      <c r="BF107" s="9"/>
      <c r="BG107" s="15"/>
      <c r="BH107" s="15"/>
      <c r="BI107" s="15"/>
      <c r="BJ107" s="9"/>
      <c r="BK107" s="15"/>
      <c r="BL107" s="9"/>
      <c r="BM107" s="15"/>
      <c r="BN107" s="9"/>
      <c r="BO107" s="15"/>
      <c r="BP107" s="9"/>
      <c r="BQ107" s="15"/>
      <c r="BR107" s="9"/>
      <c r="BS107" s="15"/>
      <c r="BT107" s="9"/>
      <c r="BU107" s="15"/>
      <c r="BV107" s="9"/>
      <c r="BW107" s="15"/>
      <c r="BX107" s="9"/>
      <c r="BY107" s="15"/>
      <c r="BZ107" s="9"/>
      <c r="CA107" s="15"/>
      <c r="CB107" s="9"/>
      <c r="CC107" s="15"/>
      <c r="CD107" s="9"/>
      <c r="CE107" s="15"/>
      <c r="CF107" s="9"/>
      <c r="CG107" s="15"/>
      <c r="CH107" s="9"/>
      <c r="CI107" s="15"/>
      <c r="CJ107" s="9"/>
      <c r="CK107" s="15"/>
      <c r="CL107" s="9"/>
      <c r="CM107" s="15"/>
      <c r="CN107" s="9"/>
      <c r="CO107" s="15"/>
      <c r="CP107" s="9"/>
    </row>
    <row r="108" spans="1:94" x14ac:dyDescent="0.25">
      <c r="A108" s="41"/>
      <c r="B108" s="9"/>
      <c r="C108" s="15"/>
      <c r="D108" s="9"/>
      <c r="E108" s="15"/>
      <c r="F108" s="9"/>
      <c r="G108" s="15"/>
      <c r="H108" s="9"/>
      <c r="I108" s="15"/>
      <c r="J108" s="9"/>
      <c r="K108" s="15"/>
      <c r="L108" s="9"/>
      <c r="M108" s="15"/>
      <c r="N108" s="9"/>
      <c r="O108" s="15"/>
      <c r="P108" s="9"/>
      <c r="Q108" s="15"/>
      <c r="R108" s="9"/>
      <c r="S108" s="15"/>
      <c r="T108" s="9"/>
      <c r="U108" s="15"/>
      <c r="V108" s="9"/>
      <c r="W108" s="15"/>
      <c r="X108" s="9"/>
      <c r="Y108" s="15"/>
      <c r="Z108" s="9"/>
      <c r="AA108" s="15"/>
      <c r="AB108" s="9"/>
      <c r="AC108" s="15"/>
      <c r="AD108" s="9"/>
      <c r="AE108" s="15"/>
      <c r="AF108" s="9"/>
      <c r="AG108" s="15"/>
      <c r="AH108" s="9"/>
      <c r="AI108" s="15"/>
      <c r="AJ108" s="9"/>
      <c r="AK108" s="15"/>
      <c r="AL108" s="9"/>
      <c r="AM108" s="15"/>
      <c r="AN108" s="9"/>
      <c r="AO108" s="15"/>
      <c r="AP108" s="9"/>
      <c r="AQ108" s="15"/>
      <c r="AR108" s="9"/>
      <c r="AS108" s="15"/>
      <c r="AT108" s="9"/>
      <c r="AU108" s="15"/>
      <c r="AV108" s="9"/>
      <c r="AW108" s="15"/>
      <c r="AX108" s="9"/>
      <c r="AY108" s="15"/>
      <c r="AZ108" s="9"/>
      <c r="BA108" s="15"/>
      <c r="BB108" s="9"/>
      <c r="BC108" s="15"/>
      <c r="BD108" s="9"/>
      <c r="BE108" s="15"/>
      <c r="BF108" s="9"/>
      <c r="BG108" s="15"/>
      <c r="BH108" s="9"/>
      <c r="BI108" s="15"/>
      <c r="BJ108" s="9"/>
      <c r="BK108" s="15"/>
      <c r="BL108" s="9"/>
      <c r="BM108" s="15"/>
      <c r="BN108" s="9"/>
      <c r="BO108" s="15"/>
      <c r="BP108" s="9"/>
      <c r="BQ108" s="15"/>
      <c r="BR108" s="9"/>
      <c r="BS108" s="15"/>
      <c r="BT108" s="9"/>
      <c r="BU108" s="15"/>
      <c r="BV108" s="9"/>
      <c r="BW108" s="15"/>
      <c r="BX108" s="9"/>
      <c r="BY108" s="15"/>
      <c r="BZ108" s="9"/>
      <c r="CA108" s="15"/>
      <c r="CB108" s="9"/>
      <c r="CC108" s="15"/>
      <c r="CD108" s="9"/>
      <c r="CE108" s="15"/>
      <c r="CF108" s="9"/>
      <c r="CG108" s="15"/>
      <c r="CH108" s="9"/>
      <c r="CI108" s="15"/>
      <c r="CJ108" s="9"/>
      <c r="CK108" s="15"/>
      <c r="CL108" s="9"/>
      <c r="CM108" s="15"/>
      <c r="CN108" s="9"/>
      <c r="CO108" s="15"/>
      <c r="CP108" s="9"/>
    </row>
    <row r="109" spans="1:94" x14ac:dyDescent="0.25">
      <c r="A109" s="41"/>
      <c r="B109" s="9"/>
      <c r="C109" s="15"/>
      <c r="D109" s="9"/>
      <c r="E109" s="15"/>
      <c r="F109" s="9"/>
      <c r="G109" s="15"/>
      <c r="H109" s="9"/>
      <c r="I109" s="15"/>
      <c r="J109" s="9"/>
      <c r="K109" s="15"/>
      <c r="L109" s="9"/>
      <c r="M109" s="15"/>
      <c r="N109" s="9"/>
      <c r="O109" s="15"/>
      <c r="P109" s="9"/>
      <c r="Q109" s="15"/>
      <c r="R109" s="9"/>
      <c r="S109" s="15"/>
      <c r="T109" s="9"/>
      <c r="U109" s="15"/>
      <c r="V109" s="9"/>
      <c r="W109" s="15"/>
      <c r="X109" s="9"/>
      <c r="Y109" s="15"/>
      <c r="Z109" s="9"/>
      <c r="AA109" s="15"/>
      <c r="AB109" s="9"/>
      <c r="AC109" s="15"/>
      <c r="AD109" s="9"/>
      <c r="AE109" s="15"/>
      <c r="AF109" s="9"/>
      <c r="AG109" s="15"/>
      <c r="AH109" s="9"/>
      <c r="AI109" s="15"/>
      <c r="AJ109" s="9"/>
      <c r="AK109" s="15"/>
      <c r="AL109" s="9"/>
      <c r="AM109" s="15"/>
      <c r="AN109" s="9"/>
      <c r="AO109" s="15"/>
      <c r="AP109" s="9"/>
      <c r="AQ109" s="15"/>
      <c r="AR109" s="9"/>
      <c r="AS109" s="15"/>
      <c r="AT109" s="9"/>
      <c r="AU109" s="15"/>
      <c r="AV109" s="9"/>
      <c r="AW109" s="15"/>
      <c r="AX109" s="9"/>
      <c r="AY109" s="15"/>
      <c r="AZ109" s="9"/>
      <c r="BA109" s="15"/>
      <c r="BB109" s="9"/>
      <c r="BC109" s="15"/>
      <c r="BD109" s="9"/>
      <c r="BE109" s="15"/>
      <c r="BF109" s="9"/>
      <c r="BG109" s="15"/>
      <c r="BH109" s="9"/>
      <c r="BI109" s="15"/>
      <c r="BJ109" s="9"/>
      <c r="BK109" s="15"/>
      <c r="BL109" s="9"/>
      <c r="BM109" s="15"/>
      <c r="BN109" s="9"/>
      <c r="BO109" s="15"/>
      <c r="BP109" s="9"/>
      <c r="BQ109" s="15"/>
      <c r="BR109" s="9"/>
      <c r="BS109" s="15"/>
      <c r="BT109" s="9"/>
      <c r="BU109" s="15"/>
      <c r="BV109" s="9"/>
      <c r="BW109" s="15"/>
      <c r="BX109" s="9"/>
      <c r="BY109" s="15"/>
      <c r="BZ109" s="9"/>
      <c r="CA109" s="15"/>
      <c r="CB109" s="9"/>
      <c r="CC109" s="15"/>
      <c r="CD109" s="9"/>
      <c r="CE109" s="15"/>
      <c r="CF109" s="9"/>
      <c r="CG109" s="15"/>
      <c r="CH109" s="9"/>
      <c r="CI109" s="15"/>
      <c r="CJ109" s="9"/>
      <c r="CK109" s="15"/>
      <c r="CL109" s="9"/>
      <c r="CM109" s="15"/>
      <c r="CN109" s="9"/>
      <c r="CO109" s="15"/>
      <c r="CP109" s="9"/>
    </row>
    <row r="110" spans="1:94" x14ac:dyDescent="0.25">
      <c r="A110" s="43"/>
      <c r="B110" s="11"/>
      <c r="C110" s="13"/>
      <c r="D110" s="11"/>
      <c r="E110" s="13"/>
      <c r="F110" s="11"/>
      <c r="G110" s="13"/>
      <c r="H110" s="11"/>
      <c r="I110" s="13"/>
      <c r="J110" s="11"/>
      <c r="K110" s="13"/>
      <c r="L110" s="11"/>
      <c r="M110" s="13"/>
      <c r="N110" s="11"/>
      <c r="O110" s="13"/>
      <c r="P110" s="11"/>
      <c r="Q110" s="13"/>
      <c r="R110" s="11"/>
      <c r="S110" s="13"/>
      <c r="T110" s="11"/>
      <c r="U110" s="13"/>
      <c r="V110" s="11"/>
      <c r="W110" s="13"/>
      <c r="X110" s="11"/>
      <c r="Y110" s="13"/>
      <c r="Z110" s="11"/>
      <c r="AA110" s="13"/>
      <c r="AB110" s="11"/>
      <c r="AC110" s="13"/>
      <c r="AD110" s="11"/>
      <c r="AE110" s="13"/>
      <c r="AF110" s="11"/>
      <c r="AG110" s="13"/>
      <c r="AH110" s="11"/>
      <c r="AI110" s="13"/>
      <c r="AJ110" s="11"/>
      <c r="AK110" s="13"/>
      <c r="AL110" s="11"/>
      <c r="AM110" s="13"/>
      <c r="AN110" s="11"/>
      <c r="AO110" s="13"/>
      <c r="AP110" s="11"/>
      <c r="AQ110" s="13"/>
      <c r="AR110" s="11"/>
      <c r="AS110" s="13"/>
      <c r="AT110" s="11"/>
      <c r="AU110" s="13"/>
      <c r="AV110" s="11"/>
      <c r="AW110" s="13"/>
      <c r="AX110" s="11"/>
      <c r="AY110" s="13"/>
      <c r="AZ110" s="11"/>
      <c r="BA110" s="13"/>
      <c r="BB110" s="11"/>
      <c r="BC110" s="13"/>
      <c r="BD110" s="11"/>
      <c r="BE110" s="13"/>
      <c r="BF110" s="11"/>
      <c r="BG110" s="13"/>
      <c r="BH110" s="11"/>
      <c r="BI110" s="13"/>
      <c r="BJ110" s="11"/>
      <c r="BK110" s="13"/>
      <c r="BL110" s="11"/>
      <c r="BM110" s="13"/>
      <c r="BN110" s="11"/>
      <c r="BO110" s="13"/>
      <c r="BP110" s="11"/>
      <c r="BQ110" s="13"/>
      <c r="BR110" s="11"/>
      <c r="BS110" s="13"/>
      <c r="BT110" s="11"/>
      <c r="BU110" s="13"/>
      <c r="BV110" s="11"/>
      <c r="BW110" s="13"/>
      <c r="BX110" s="11"/>
      <c r="BY110" s="13"/>
      <c r="BZ110" s="11"/>
      <c r="CA110" s="13"/>
      <c r="CB110" s="11"/>
      <c r="CC110" s="13"/>
      <c r="CD110" s="11"/>
      <c r="CE110" s="13"/>
      <c r="CF110" s="11"/>
      <c r="CG110" s="13"/>
      <c r="CH110" s="11"/>
      <c r="CI110" s="13"/>
      <c r="CJ110" s="11"/>
      <c r="CK110" s="13"/>
      <c r="CL110" s="11"/>
      <c r="CM110" s="13"/>
      <c r="CN110" s="11"/>
      <c r="CO110" s="13"/>
      <c r="CP110" s="11"/>
    </row>
    <row r="111" spans="1:94" x14ac:dyDescent="0.25">
      <c r="A111" s="43"/>
      <c r="B111" s="11"/>
      <c r="C111" s="13"/>
      <c r="D111" s="11"/>
      <c r="E111" s="13"/>
      <c r="F111" s="11"/>
      <c r="G111" s="13"/>
      <c r="H111" s="11"/>
      <c r="I111" s="13"/>
      <c r="J111" s="11"/>
      <c r="K111" s="13"/>
      <c r="L111" s="11"/>
      <c r="M111" s="13"/>
      <c r="N111" s="11"/>
      <c r="O111" s="13"/>
      <c r="P111" s="11"/>
      <c r="Q111" s="13"/>
      <c r="R111" s="11"/>
      <c r="S111" s="13"/>
      <c r="T111" s="11"/>
      <c r="U111" s="13"/>
      <c r="V111" s="11"/>
      <c r="W111" s="13"/>
      <c r="X111" s="11"/>
      <c r="Y111" s="13"/>
      <c r="Z111" s="11"/>
      <c r="AA111" s="13"/>
      <c r="AB111" s="11"/>
      <c r="AC111" s="13"/>
      <c r="AD111" s="11"/>
      <c r="AE111" s="13"/>
      <c r="AF111" s="11"/>
      <c r="AG111" s="13"/>
      <c r="AH111" s="11"/>
      <c r="AI111" s="13"/>
      <c r="AJ111" s="11"/>
      <c r="AK111" s="13"/>
      <c r="AL111" s="11"/>
      <c r="AM111" s="13"/>
      <c r="AN111" s="11"/>
      <c r="AO111" s="13"/>
      <c r="AP111" s="11"/>
      <c r="AQ111" s="13"/>
      <c r="AR111" s="23"/>
      <c r="AS111" s="13"/>
      <c r="AT111" s="11"/>
      <c r="AU111" s="13"/>
      <c r="AV111" s="11"/>
      <c r="AW111" s="13"/>
      <c r="AX111" s="11"/>
      <c r="AY111" s="13"/>
      <c r="AZ111" s="11"/>
      <c r="BA111" s="13"/>
      <c r="BB111" s="11"/>
      <c r="BC111" s="13"/>
      <c r="BD111" s="11"/>
      <c r="BE111" s="13"/>
      <c r="BF111" s="11"/>
      <c r="BG111" s="13"/>
      <c r="BH111" s="11"/>
      <c r="BI111" s="13"/>
      <c r="BJ111" s="11"/>
      <c r="BK111" s="13"/>
      <c r="BL111" s="11"/>
      <c r="BM111" s="13"/>
      <c r="BN111" s="11"/>
      <c r="BO111" s="13"/>
      <c r="BP111" s="11"/>
      <c r="BQ111" s="13"/>
      <c r="BR111" s="11"/>
      <c r="BS111" s="13"/>
      <c r="BT111" s="11"/>
      <c r="BU111" s="13"/>
      <c r="BV111" s="11"/>
      <c r="BW111" s="13"/>
      <c r="BX111" s="11"/>
      <c r="BY111" s="13"/>
      <c r="BZ111" s="11"/>
      <c r="CA111" s="13"/>
      <c r="CB111" s="11"/>
      <c r="CC111" s="13"/>
      <c r="CD111" s="11"/>
      <c r="CE111" s="13"/>
      <c r="CF111" s="11"/>
      <c r="CG111" s="13"/>
      <c r="CH111" s="11"/>
      <c r="CI111" s="13"/>
      <c r="CJ111" s="11"/>
      <c r="CK111" s="13"/>
      <c r="CL111" s="11"/>
      <c r="CM111" s="13"/>
      <c r="CN111" s="11"/>
      <c r="CO111" s="13"/>
      <c r="CP111" s="11"/>
    </row>
    <row r="112" spans="1:94" x14ac:dyDescent="0.25">
      <c r="A112" s="43"/>
      <c r="B112" s="11"/>
      <c r="C112" s="13"/>
      <c r="D112" s="11"/>
      <c r="E112" s="13"/>
      <c r="F112" s="11"/>
      <c r="G112" s="13"/>
      <c r="H112" s="11"/>
      <c r="I112" s="13"/>
      <c r="J112" s="11"/>
      <c r="K112" s="13"/>
      <c r="L112" s="11"/>
      <c r="M112" s="13"/>
      <c r="N112" s="11"/>
      <c r="O112" s="13"/>
      <c r="P112" s="11"/>
      <c r="Q112" s="13"/>
      <c r="R112" s="11"/>
      <c r="S112" s="13"/>
      <c r="T112" s="11"/>
      <c r="U112" s="13"/>
      <c r="V112" s="11"/>
      <c r="W112" s="13"/>
      <c r="X112" s="11"/>
      <c r="Y112" s="13"/>
      <c r="Z112" s="11"/>
      <c r="AA112" s="13"/>
      <c r="AB112" s="14"/>
      <c r="AC112" s="23"/>
      <c r="AD112" s="11"/>
      <c r="AE112" s="13"/>
      <c r="AF112" s="11"/>
      <c r="AG112" s="13"/>
      <c r="AH112" s="11"/>
      <c r="AI112" s="13"/>
      <c r="AJ112" s="11"/>
      <c r="AK112" s="13"/>
      <c r="AL112" s="11"/>
      <c r="AM112" s="13"/>
      <c r="AN112" s="11"/>
      <c r="AO112" s="13"/>
      <c r="AP112" s="11"/>
      <c r="AQ112" s="13"/>
      <c r="AR112" s="13"/>
      <c r="AS112" s="13"/>
      <c r="AT112" s="11"/>
      <c r="AU112" s="13"/>
      <c r="AV112" s="11"/>
      <c r="AW112" s="13"/>
      <c r="AX112" s="9"/>
      <c r="AY112" s="26"/>
      <c r="AZ112" s="11"/>
      <c r="BA112" s="13"/>
      <c r="BB112" s="11"/>
      <c r="BC112" s="13"/>
      <c r="BD112" s="11"/>
      <c r="BE112" s="13"/>
      <c r="BF112" s="11"/>
      <c r="BG112" s="13"/>
      <c r="BH112" s="11"/>
      <c r="BI112" s="13"/>
      <c r="BJ112" s="11"/>
      <c r="BK112" s="13"/>
      <c r="BL112" s="11"/>
      <c r="BM112" s="13"/>
      <c r="BN112" s="11"/>
      <c r="BO112" s="13"/>
      <c r="BP112" s="11"/>
      <c r="BQ112" s="13"/>
      <c r="BR112" s="11"/>
      <c r="BS112" s="13"/>
      <c r="BT112" s="11"/>
      <c r="BU112" s="13"/>
      <c r="BV112" s="11"/>
      <c r="BW112" s="13"/>
      <c r="BX112" s="11"/>
      <c r="BY112" s="13"/>
      <c r="BZ112" s="11"/>
      <c r="CA112" s="13"/>
      <c r="CB112" s="11"/>
      <c r="CC112" s="13"/>
      <c r="CD112" s="11"/>
      <c r="CE112" s="13"/>
      <c r="CF112" s="11"/>
      <c r="CG112" s="13"/>
      <c r="CH112" s="11"/>
      <c r="CI112" s="13"/>
      <c r="CJ112" s="11"/>
      <c r="CK112" s="13"/>
      <c r="CL112" s="11"/>
      <c r="CM112" s="13"/>
      <c r="CN112" s="11"/>
      <c r="CO112" s="13"/>
      <c r="CP112" s="11"/>
    </row>
    <row r="113" spans="1:94" x14ac:dyDescent="0.25">
      <c r="A113" s="43"/>
      <c r="B113" s="11"/>
      <c r="C113" s="13"/>
      <c r="D113" s="11"/>
      <c r="E113" s="13"/>
      <c r="F113" s="11"/>
      <c r="G113" s="13"/>
      <c r="H113" s="11"/>
      <c r="I113" s="13"/>
      <c r="J113" s="11"/>
      <c r="K113" s="13"/>
      <c r="L113" s="11"/>
      <c r="M113" s="13"/>
      <c r="N113" s="11"/>
      <c r="O113" s="13"/>
      <c r="P113" s="11"/>
      <c r="Q113" s="13"/>
      <c r="R113" s="11"/>
      <c r="S113" s="13"/>
      <c r="T113" s="11"/>
      <c r="U113" s="13"/>
      <c r="V113" s="11"/>
      <c r="W113" s="13"/>
      <c r="X113" s="11"/>
      <c r="Y113" s="13"/>
      <c r="Z113" s="11"/>
      <c r="AA113" s="13"/>
      <c r="AB113" s="14"/>
      <c r="AC113" s="23"/>
      <c r="AD113" s="11"/>
      <c r="AE113" s="13"/>
      <c r="AF113" s="11"/>
      <c r="AG113" s="13"/>
      <c r="AH113" s="11"/>
      <c r="AI113" s="13"/>
      <c r="AJ113" s="11"/>
      <c r="AK113" s="13"/>
      <c r="AL113" s="11"/>
      <c r="AM113" s="13"/>
      <c r="AN113" s="11"/>
      <c r="AO113" s="13"/>
      <c r="AP113" s="11"/>
      <c r="AQ113" s="13"/>
      <c r="AR113" s="13"/>
      <c r="AS113" s="13"/>
      <c r="AT113" s="11"/>
      <c r="AU113" s="13"/>
      <c r="AV113" s="11"/>
      <c r="AW113" s="13"/>
      <c r="AX113" s="23"/>
      <c r="AY113" s="13"/>
      <c r="AZ113" s="11"/>
      <c r="BA113" s="13"/>
      <c r="BB113" s="11"/>
      <c r="BC113" s="13"/>
      <c r="BD113" s="11"/>
      <c r="BE113" s="13"/>
      <c r="BF113" s="11"/>
      <c r="BG113" s="13"/>
      <c r="BH113" s="11"/>
      <c r="BI113" s="13"/>
      <c r="BJ113" s="11"/>
      <c r="BK113" s="13"/>
      <c r="BL113" s="11"/>
      <c r="BM113" s="13"/>
      <c r="BN113" s="11"/>
      <c r="BO113" s="13"/>
      <c r="BP113" s="11"/>
      <c r="BQ113" s="13"/>
      <c r="BR113" s="11"/>
      <c r="BS113" s="13"/>
      <c r="BT113" s="11"/>
      <c r="BU113" s="13"/>
      <c r="BV113" s="11"/>
      <c r="BW113" s="13"/>
      <c r="BX113" s="11"/>
      <c r="BY113" s="13"/>
      <c r="BZ113" s="11"/>
      <c r="CA113" s="13"/>
      <c r="CB113" s="11"/>
      <c r="CC113" s="13"/>
      <c r="CD113" s="11"/>
      <c r="CE113" s="13"/>
      <c r="CF113" s="11"/>
      <c r="CG113" s="13"/>
      <c r="CH113" s="11"/>
      <c r="CI113" s="13"/>
      <c r="CJ113" s="11"/>
      <c r="CK113" s="13"/>
      <c r="CL113" s="11"/>
      <c r="CM113" s="13"/>
      <c r="CN113" s="11"/>
      <c r="CO113" s="13"/>
      <c r="CP113" s="11"/>
    </row>
    <row r="114" spans="1:94" x14ac:dyDescent="0.25">
      <c r="A114" s="42" t="s">
        <v>7</v>
      </c>
      <c r="B114" s="23"/>
      <c r="C114" s="23"/>
      <c r="D114" s="14"/>
      <c r="E114" s="23"/>
      <c r="F114" s="9">
        <v>4664.2299999999996</v>
      </c>
      <c r="G114" s="15" t="s">
        <v>10592</v>
      </c>
      <c r="H114" s="23">
        <v>2460</v>
      </c>
      <c r="I114" s="23" t="s">
        <v>10639</v>
      </c>
      <c r="J114" s="14"/>
      <c r="K114" s="23"/>
      <c r="L114" s="23">
        <v>10362.5</v>
      </c>
      <c r="M114" s="23" t="s">
        <v>10754</v>
      </c>
      <c r="N114" s="23"/>
      <c r="O114" s="23"/>
      <c r="P114" s="14"/>
      <c r="Q114" s="23"/>
      <c r="R114" s="14"/>
      <c r="S114" s="23"/>
      <c r="T114" s="14"/>
      <c r="U114" s="23"/>
      <c r="V114" s="14">
        <v>1995.11</v>
      </c>
      <c r="W114" s="23" t="s">
        <v>11026</v>
      </c>
      <c r="X114" s="14"/>
      <c r="Y114" s="23"/>
      <c r="Z114" s="9"/>
      <c r="AA114" s="15"/>
      <c r="AB114" s="14"/>
      <c r="AC114" s="23"/>
      <c r="AD114" s="23"/>
      <c r="AE114" s="23"/>
      <c r="AF114" s="14"/>
      <c r="AG114" s="23"/>
      <c r="AH114" s="23"/>
      <c r="AI114" s="14"/>
      <c r="AJ114" s="23"/>
      <c r="AK114" s="14"/>
      <c r="AL114" s="14">
        <v>4464.99</v>
      </c>
      <c r="AM114" s="23" t="s">
        <v>11218</v>
      </c>
      <c r="AN114" s="14"/>
      <c r="AO114" s="23"/>
      <c r="AP114" s="23"/>
      <c r="AQ114" s="23"/>
      <c r="AR114" s="14"/>
      <c r="AS114" s="23"/>
      <c r="AT114" s="14"/>
      <c r="AU114" s="23"/>
      <c r="AV114" s="14"/>
      <c r="AW114" s="23"/>
      <c r="AX114" s="23"/>
      <c r="AY114" s="23"/>
      <c r="AZ114" s="23">
        <v>4465</v>
      </c>
      <c r="BA114" s="23" t="s">
        <v>11592</v>
      </c>
      <c r="BB114" s="14"/>
      <c r="BC114" s="23"/>
      <c r="BD114" s="15"/>
      <c r="BE114" s="15"/>
      <c r="BF114" s="15"/>
      <c r="BG114" s="15"/>
      <c r="BH114" s="14"/>
      <c r="BI114" s="23"/>
      <c r="BJ114" s="14"/>
      <c r="BK114" s="23"/>
      <c r="BL114" s="14"/>
      <c r="BM114" s="23"/>
      <c r="BN114" s="14"/>
      <c r="BO114" s="23"/>
      <c r="BP114" s="14"/>
      <c r="BQ114" s="23"/>
      <c r="BR114" s="14"/>
      <c r="BS114" s="23"/>
      <c r="BT114" s="14"/>
      <c r="BU114" s="23"/>
      <c r="BV114" s="14"/>
      <c r="BW114" s="23"/>
      <c r="BX114" s="14"/>
      <c r="BY114" s="23"/>
      <c r="BZ114" s="14"/>
      <c r="CA114" s="23"/>
      <c r="CB114" s="14"/>
      <c r="CC114" s="23"/>
      <c r="CD114" s="14"/>
      <c r="CE114" s="23"/>
      <c r="CF114" s="14"/>
      <c r="CG114" s="23"/>
      <c r="CH114" s="14"/>
      <c r="CI114" s="23"/>
      <c r="CJ114" s="14"/>
      <c r="CK114" s="23"/>
      <c r="CL114" s="14"/>
      <c r="CM114" s="23"/>
      <c r="CN114" s="14"/>
      <c r="CO114" s="23"/>
      <c r="CP114" s="14"/>
    </row>
    <row r="115" spans="1:94" x14ac:dyDescent="0.25">
      <c r="A115" s="42"/>
      <c r="B115" s="14"/>
      <c r="C115" s="23"/>
      <c r="D115" s="14"/>
      <c r="E115" s="23"/>
      <c r="F115" s="14"/>
      <c r="G115" s="23"/>
      <c r="H115" s="14"/>
      <c r="I115" s="23"/>
      <c r="J115" s="14"/>
      <c r="K115" s="23"/>
      <c r="L115" s="14"/>
      <c r="M115" s="23"/>
      <c r="N115" s="14"/>
      <c r="O115" s="23"/>
      <c r="P115" s="14"/>
      <c r="Q115" s="23"/>
      <c r="R115" s="14"/>
      <c r="S115" s="23"/>
      <c r="T115" s="14"/>
      <c r="U115" s="23"/>
      <c r="V115" s="14"/>
      <c r="W115" s="23"/>
      <c r="X115" s="14"/>
      <c r="Y115" s="23"/>
      <c r="Z115" s="14"/>
      <c r="AA115" s="23"/>
      <c r="AB115" s="14"/>
      <c r="AC115" s="23"/>
      <c r="AD115" s="14"/>
      <c r="AE115" s="23"/>
      <c r="AF115" s="14"/>
      <c r="AG115" s="23"/>
      <c r="AH115" s="14"/>
      <c r="AI115" s="23"/>
      <c r="AJ115" s="14"/>
      <c r="AK115" s="23"/>
      <c r="AL115" s="14"/>
      <c r="AM115" s="23"/>
      <c r="AN115" s="23"/>
      <c r="AO115" s="23"/>
      <c r="AP115" s="14"/>
      <c r="AQ115" s="23"/>
      <c r="AR115" s="14"/>
      <c r="AS115" s="23"/>
      <c r="AT115" s="14"/>
      <c r="AU115" s="23"/>
      <c r="AV115" s="14"/>
      <c r="AW115" s="23"/>
      <c r="AX115" s="14"/>
      <c r="AY115" s="23"/>
      <c r="AZ115" s="14"/>
      <c r="BA115" s="23"/>
      <c r="BB115" s="14"/>
      <c r="BC115" s="23"/>
      <c r="BD115" s="14"/>
      <c r="BE115" s="23"/>
      <c r="BF115" s="14"/>
      <c r="BG115" s="23"/>
      <c r="BH115" s="14"/>
      <c r="BI115" s="23"/>
      <c r="BJ115" s="14"/>
      <c r="BK115" s="23"/>
      <c r="BL115" s="14"/>
      <c r="BM115" s="23"/>
      <c r="BN115" s="14"/>
      <c r="BO115" s="23"/>
      <c r="BP115" s="14"/>
      <c r="BQ115" s="23"/>
      <c r="BR115" s="14"/>
      <c r="BS115" s="23"/>
      <c r="BT115" s="14"/>
      <c r="BU115" s="23"/>
      <c r="BV115" s="14"/>
      <c r="BW115" s="23"/>
      <c r="BX115" s="14"/>
      <c r="BY115" s="23"/>
      <c r="BZ115" s="14"/>
      <c r="CA115" s="23"/>
      <c r="CB115" s="14"/>
      <c r="CC115" s="23"/>
      <c r="CD115" s="14"/>
      <c r="CE115" s="23"/>
      <c r="CF115" s="14"/>
      <c r="CG115" s="23"/>
      <c r="CH115" s="14"/>
      <c r="CI115" s="23"/>
      <c r="CJ115" s="14"/>
      <c r="CK115" s="23"/>
      <c r="CL115" s="14"/>
      <c r="CM115" s="23"/>
      <c r="CN115" s="14"/>
      <c r="CO115" s="23"/>
      <c r="CP115" s="14"/>
    </row>
    <row r="116" spans="1:94" x14ac:dyDescent="0.25">
      <c r="A116" s="42"/>
      <c r="B116" s="14"/>
      <c r="C116" s="23"/>
      <c r="D116" s="23"/>
      <c r="E116" s="23"/>
      <c r="F116" s="23"/>
      <c r="G116" s="23"/>
      <c r="H116" s="23"/>
      <c r="I116" s="23"/>
      <c r="J116" s="14"/>
      <c r="K116" s="23"/>
      <c r="L116" s="23"/>
      <c r="M116" s="23"/>
      <c r="N116" s="23"/>
      <c r="O116" s="23"/>
      <c r="P116" s="23"/>
      <c r="Q116" s="23"/>
      <c r="R116" s="14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14"/>
      <c r="AG116" s="23"/>
      <c r="AH116" s="14"/>
      <c r="AI116" s="23"/>
      <c r="AJ116" s="23"/>
      <c r="AK116" s="23"/>
      <c r="AL116" s="23"/>
      <c r="AM116" s="23"/>
      <c r="AN116" s="23"/>
      <c r="AO116" s="23"/>
      <c r="AP116" s="23"/>
      <c r="AQ116" s="23"/>
      <c r="AR116" s="14"/>
      <c r="AS116" s="23"/>
      <c r="AT116" s="14"/>
      <c r="AU116" s="23"/>
      <c r="AV116" s="23"/>
      <c r="AW116" s="23"/>
      <c r="AX116" s="23"/>
      <c r="AY116" s="23"/>
      <c r="AZ116" s="14">
        <v>2341.27</v>
      </c>
      <c r="BA116" s="23" t="s">
        <v>11619</v>
      </c>
      <c r="BB116" s="23"/>
      <c r="BC116" s="23"/>
      <c r="BD116" s="14"/>
      <c r="BE116" s="23"/>
      <c r="BF116" s="23"/>
      <c r="BG116" s="23"/>
      <c r="BH116" s="153"/>
      <c r="BI116" s="120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</row>
    <row r="117" spans="1:94" x14ac:dyDescent="0.25">
      <c r="A117" s="43"/>
      <c r="B117" s="23"/>
      <c r="C117" s="13"/>
      <c r="D117" s="11"/>
      <c r="E117" s="13"/>
      <c r="F117" s="11"/>
      <c r="G117" s="13"/>
      <c r="H117" s="11"/>
      <c r="I117" s="13"/>
      <c r="J117" s="13"/>
      <c r="K117" s="13"/>
      <c r="L117" s="11"/>
      <c r="M117" s="13"/>
      <c r="N117" s="11"/>
      <c r="O117" s="13"/>
      <c r="P117" s="23"/>
      <c r="Q117" s="13"/>
      <c r="R117" s="14"/>
      <c r="S117" s="13"/>
      <c r="T117" s="11"/>
      <c r="U117" s="13"/>
      <c r="V117" s="11"/>
      <c r="W117" s="13"/>
      <c r="X117" s="11"/>
      <c r="Y117" s="13"/>
      <c r="Z117" s="11"/>
      <c r="AA117" s="13"/>
      <c r="AB117" s="11"/>
      <c r="AC117" s="13"/>
      <c r="AD117" s="11"/>
      <c r="AE117" s="13"/>
      <c r="AF117" s="15"/>
      <c r="AG117" s="13"/>
      <c r="AH117" s="11"/>
      <c r="AI117" s="13"/>
      <c r="AJ117" s="11"/>
      <c r="AK117" s="13"/>
      <c r="AL117" s="11"/>
      <c r="AM117" s="13"/>
      <c r="AN117" s="11"/>
      <c r="AO117" s="13"/>
      <c r="AP117" s="11"/>
      <c r="AQ117" s="13"/>
      <c r="AR117" s="23"/>
      <c r="AS117" s="13"/>
      <c r="AT117" s="11"/>
      <c r="AU117" s="13"/>
      <c r="AV117" s="11"/>
      <c r="AW117" s="13"/>
      <c r="AX117" s="11"/>
      <c r="AY117" s="13"/>
      <c r="AZ117" s="11">
        <v>3250</v>
      </c>
      <c r="BA117" s="13" t="s">
        <v>11624</v>
      </c>
      <c r="BB117" s="11"/>
      <c r="BC117" s="13"/>
      <c r="BD117" s="15"/>
      <c r="BE117" s="13"/>
      <c r="BF117" s="11"/>
      <c r="BG117" s="13"/>
      <c r="BH117" s="11"/>
      <c r="BI117" s="13"/>
      <c r="BJ117" s="11"/>
      <c r="BK117" s="13"/>
      <c r="BL117" s="11"/>
      <c r="BM117" s="13"/>
      <c r="BN117" s="11"/>
      <c r="BO117" s="13"/>
      <c r="BP117" s="11"/>
      <c r="BQ117" s="13"/>
      <c r="BR117" s="11"/>
      <c r="BS117" s="13"/>
      <c r="BT117" s="11"/>
      <c r="BU117" s="13"/>
      <c r="BV117" s="11"/>
      <c r="BW117" s="13"/>
      <c r="BX117" s="11"/>
      <c r="BY117" s="13"/>
      <c r="BZ117" s="11"/>
      <c r="CA117" s="13"/>
      <c r="CB117" s="11"/>
      <c r="CC117" s="13"/>
      <c r="CD117" s="11"/>
      <c r="CE117" s="13"/>
      <c r="CF117" s="11"/>
      <c r="CG117" s="13"/>
      <c r="CH117" s="11"/>
      <c r="CI117" s="13"/>
      <c r="CJ117" s="11"/>
      <c r="CK117" s="13"/>
      <c r="CL117" s="11"/>
      <c r="CM117" s="13"/>
      <c r="CN117" s="11"/>
      <c r="CO117" s="13"/>
      <c r="CP117" s="11"/>
    </row>
    <row r="118" spans="1:94" x14ac:dyDescent="0.25">
      <c r="A118" s="43"/>
      <c r="B118" s="11"/>
      <c r="C118" s="13"/>
      <c r="D118" s="11"/>
      <c r="E118" s="13"/>
      <c r="F118" s="11"/>
      <c r="G118" s="13"/>
      <c r="H118" s="11"/>
      <c r="I118" s="13"/>
      <c r="J118" s="11"/>
      <c r="K118" s="13"/>
      <c r="L118" s="11"/>
      <c r="M118" s="13"/>
      <c r="N118" s="11"/>
      <c r="O118" s="13"/>
      <c r="P118" s="11"/>
      <c r="Q118" s="13"/>
      <c r="R118" s="23"/>
      <c r="S118" s="13"/>
      <c r="T118" s="11"/>
      <c r="U118" s="13"/>
      <c r="V118" s="11"/>
      <c r="W118" s="13"/>
      <c r="X118" s="11"/>
      <c r="Y118" s="13"/>
      <c r="Z118" s="11"/>
      <c r="AA118" s="13"/>
      <c r="AB118" s="11"/>
      <c r="AC118" s="13"/>
      <c r="AD118" s="11"/>
      <c r="AE118" s="13"/>
      <c r="AF118" s="11"/>
      <c r="AG118" s="13"/>
      <c r="AH118" s="23"/>
      <c r="AI118" s="13"/>
      <c r="AJ118" s="11"/>
      <c r="AK118" s="13"/>
      <c r="AL118" s="11"/>
      <c r="AM118" s="13"/>
      <c r="AN118" s="11"/>
      <c r="AO118" s="13"/>
      <c r="AP118" s="11"/>
      <c r="AQ118" s="13"/>
      <c r="AR118" s="11"/>
      <c r="AS118" s="13"/>
      <c r="AT118" s="11"/>
      <c r="AU118" s="13"/>
      <c r="AV118" s="11"/>
      <c r="AW118" s="13"/>
      <c r="AX118" s="11"/>
      <c r="AY118" s="13"/>
      <c r="AZ118" s="111">
        <f>+AZ116+AZ117</f>
        <v>5591.27</v>
      </c>
      <c r="BA118" s="13"/>
      <c r="BB118" s="11"/>
      <c r="BC118" s="13"/>
      <c r="BD118" s="11"/>
      <c r="BE118" s="13"/>
      <c r="BF118" s="11"/>
      <c r="BG118" s="13"/>
      <c r="BH118" s="11"/>
      <c r="BI118" s="13"/>
      <c r="BJ118" s="11"/>
      <c r="BK118" s="13"/>
      <c r="BL118" s="11"/>
      <c r="BM118" s="13"/>
      <c r="BN118" s="11"/>
      <c r="BO118" s="13"/>
      <c r="BP118" s="11"/>
      <c r="BQ118" s="13"/>
      <c r="BR118" s="11"/>
      <c r="BS118" s="13"/>
      <c r="BT118" s="11"/>
      <c r="BU118" s="13"/>
      <c r="BV118" s="11"/>
      <c r="BW118" s="13"/>
      <c r="BX118" s="11"/>
      <c r="BY118" s="13"/>
      <c r="BZ118" s="11"/>
      <c r="CA118" s="13"/>
      <c r="CB118" s="11"/>
      <c r="CC118" s="13"/>
      <c r="CD118" s="11"/>
      <c r="CE118" s="13"/>
      <c r="CF118" s="11"/>
      <c r="CG118" s="13"/>
      <c r="CH118" s="11"/>
      <c r="CI118" s="13"/>
      <c r="CJ118" s="11"/>
      <c r="CK118" s="13"/>
      <c r="CL118" s="11"/>
      <c r="CM118" s="13"/>
      <c r="CN118" s="11"/>
      <c r="CO118" s="13"/>
      <c r="CP118" s="11"/>
    </row>
    <row r="119" spans="1:94" x14ac:dyDescent="0.25">
      <c r="A119" s="43"/>
      <c r="B119" s="11"/>
      <c r="C119" s="13"/>
      <c r="D119" s="11"/>
      <c r="E119" s="13"/>
      <c r="F119" s="11"/>
      <c r="G119" s="13"/>
      <c r="H119" s="11"/>
      <c r="I119" s="13"/>
      <c r="J119" s="11"/>
      <c r="K119" s="13"/>
      <c r="L119" s="11"/>
      <c r="M119" s="13"/>
      <c r="N119" s="11"/>
      <c r="O119" s="13"/>
      <c r="P119" s="11"/>
      <c r="Q119" s="13"/>
      <c r="R119" s="11"/>
      <c r="S119" s="13"/>
      <c r="T119" s="11"/>
      <c r="U119" s="13"/>
      <c r="V119" s="11"/>
      <c r="W119" s="13"/>
      <c r="X119" s="11"/>
      <c r="Y119" s="13"/>
      <c r="Z119" s="11"/>
      <c r="AA119" s="13"/>
      <c r="AB119" s="11"/>
      <c r="AC119" s="13"/>
      <c r="AD119" s="11"/>
      <c r="AE119" s="13"/>
      <c r="AF119" s="11"/>
      <c r="AG119" s="13"/>
      <c r="AH119" s="11"/>
      <c r="AI119" s="13"/>
      <c r="AJ119" s="11"/>
      <c r="AK119" s="13"/>
      <c r="AL119" s="11"/>
      <c r="AM119" s="13"/>
      <c r="AN119" s="11"/>
      <c r="AO119" s="13"/>
      <c r="AP119" s="11"/>
      <c r="AQ119" s="13"/>
      <c r="AR119" s="11"/>
      <c r="AS119" s="13"/>
      <c r="AT119" s="11"/>
      <c r="AU119" s="13"/>
      <c r="AV119" s="11"/>
      <c r="AW119" s="13"/>
      <c r="AX119" s="11"/>
      <c r="AY119" s="13"/>
      <c r="AZ119" s="11"/>
      <c r="BA119" s="13"/>
      <c r="BB119" s="11"/>
      <c r="BC119" s="13"/>
      <c r="BD119" s="11"/>
      <c r="BE119" s="13"/>
      <c r="BF119" s="11"/>
      <c r="BG119" s="13"/>
      <c r="BH119" s="11"/>
      <c r="BI119" s="13"/>
      <c r="BJ119" s="11"/>
      <c r="BK119" s="13"/>
      <c r="BL119" s="11"/>
      <c r="BM119" s="13"/>
      <c r="BN119" s="11"/>
      <c r="BO119" s="13"/>
      <c r="BP119" s="11"/>
      <c r="BQ119" s="13"/>
      <c r="BR119" s="11"/>
      <c r="BS119" s="13"/>
      <c r="BT119" s="11"/>
      <c r="BU119" s="13"/>
      <c r="BV119" s="11"/>
      <c r="BW119" s="13"/>
      <c r="BX119" s="11"/>
      <c r="BY119" s="13"/>
      <c r="BZ119" s="11"/>
      <c r="CA119" s="13"/>
      <c r="CB119" s="11"/>
      <c r="CC119" s="13"/>
      <c r="CD119" s="11"/>
      <c r="CE119" s="13"/>
      <c r="CF119" s="11"/>
      <c r="CG119" s="13"/>
      <c r="CH119" s="11"/>
      <c r="CI119" s="13"/>
      <c r="CJ119" s="11"/>
      <c r="CK119" s="13"/>
      <c r="CL119" s="11"/>
      <c r="CM119" s="13"/>
      <c r="CN119" s="11"/>
      <c r="CO119" s="13"/>
      <c r="CP119" s="11"/>
    </row>
    <row r="120" spans="1:94" x14ac:dyDescent="0.25">
      <c r="A120" s="43"/>
      <c r="B120" s="11"/>
      <c r="C120" s="13"/>
      <c r="D120" s="11"/>
      <c r="E120" s="13"/>
      <c r="F120" s="11"/>
      <c r="G120" s="13"/>
      <c r="H120" s="11"/>
      <c r="I120" s="13"/>
      <c r="J120" s="11"/>
      <c r="K120" s="13"/>
      <c r="L120" s="11"/>
      <c r="M120" s="13"/>
      <c r="N120" s="11"/>
      <c r="O120" s="13"/>
      <c r="P120" s="11"/>
      <c r="Q120" s="13"/>
      <c r="R120" s="11"/>
      <c r="S120" s="13"/>
      <c r="T120" s="11"/>
      <c r="U120" s="13"/>
      <c r="V120" s="11"/>
      <c r="W120" s="13"/>
      <c r="X120" s="11"/>
      <c r="Y120" s="13"/>
      <c r="Z120" s="11"/>
      <c r="AA120" s="13"/>
      <c r="AB120" s="11"/>
      <c r="AC120" s="13"/>
      <c r="AD120" s="11"/>
      <c r="AE120" s="13"/>
      <c r="AF120" s="11"/>
      <c r="AG120" s="13"/>
      <c r="AH120" s="11"/>
      <c r="AI120" s="13"/>
      <c r="AJ120" s="11"/>
      <c r="AK120" s="13"/>
      <c r="AL120" s="11"/>
      <c r="AM120" s="13"/>
      <c r="AN120" s="11"/>
      <c r="AO120" s="13"/>
      <c r="AP120" s="11"/>
      <c r="AQ120" s="13"/>
      <c r="AR120" s="11"/>
      <c r="AS120" s="13"/>
      <c r="AT120" s="11"/>
      <c r="AU120" s="13"/>
      <c r="AV120" s="11"/>
      <c r="AW120" s="13"/>
      <c r="AX120" s="11"/>
      <c r="AY120" s="13"/>
      <c r="AZ120" s="11"/>
      <c r="BA120" s="13"/>
      <c r="BB120" s="11"/>
      <c r="BC120" s="13"/>
      <c r="BD120" s="11"/>
      <c r="BE120" s="13"/>
      <c r="BF120" s="11"/>
      <c r="BG120" s="13"/>
      <c r="BH120" s="11"/>
      <c r="BI120" s="13"/>
      <c r="BJ120" s="11"/>
      <c r="BK120" s="13"/>
      <c r="BL120" s="11"/>
      <c r="BM120" s="13"/>
      <c r="BN120" s="11"/>
      <c r="BO120" s="13"/>
      <c r="BP120" s="11"/>
      <c r="BQ120" s="13"/>
      <c r="BR120" s="11"/>
      <c r="BS120" s="13"/>
      <c r="BT120" s="11"/>
      <c r="BU120" s="13"/>
      <c r="BV120" s="11"/>
      <c r="BW120" s="13"/>
      <c r="BX120" s="11"/>
      <c r="BY120" s="13"/>
      <c r="BZ120" s="11"/>
      <c r="CA120" s="13"/>
      <c r="CB120" s="11"/>
      <c r="CC120" s="13"/>
      <c r="CD120" s="11"/>
      <c r="CE120" s="13"/>
      <c r="CF120" s="11"/>
      <c r="CG120" s="13"/>
      <c r="CH120" s="11"/>
      <c r="CI120" s="13"/>
      <c r="CJ120" s="11"/>
      <c r="CK120" s="13"/>
      <c r="CL120" s="11"/>
      <c r="CM120" s="13"/>
      <c r="CN120" s="11"/>
      <c r="CO120" s="13"/>
      <c r="CP120" s="11"/>
    </row>
    <row r="121" spans="1:94" x14ac:dyDescent="0.25">
      <c r="A121" s="43"/>
      <c r="B121" s="11"/>
      <c r="C121" s="13"/>
      <c r="D121" s="11"/>
      <c r="E121" s="13"/>
      <c r="F121" s="11"/>
      <c r="G121" s="13"/>
      <c r="H121" s="11"/>
      <c r="I121" s="13"/>
      <c r="J121" s="11"/>
      <c r="K121" s="13"/>
      <c r="L121" s="11"/>
      <c r="M121" s="13"/>
      <c r="N121" s="11"/>
      <c r="O121" s="13"/>
      <c r="P121" s="11"/>
      <c r="Q121" s="13"/>
      <c r="R121" s="11"/>
      <c r="S121" s="13"/>
      <c r="T121" s="11"/>
      <c r="U121" s="13"/>
      <c r="V121" s="11"/>
      <c r="W121" s="13"/>
      <c r="X121" s="11"/>
      <c r="Y121" s="13"/>
      <c r="Z121" s="11"/>
      <c r="AA121" s="13"/>
      <c r="AB121" s="11"/>
      <c r="AC121" s="13"/>
      <c r="AD121" s="11"/>
      <c r="AE121" s="13"/>
      <c r="AF121" s="11"/>
      <c r="AG121" s="13"/>
      <c r="AH121" s="11"/>
      <c r="AI121" s="13"/>
      <c r="AJ121" s="11"/>
      <c r="AK121" s="13"/>
      <c r="AL121" s="11"/>
      <c r="AM121" s="13"/>
      <c r="AN121" s="11"/>
      <c r="AO121" s="13"/>
      <c r="AP121" s="11"/>
      <c r="AQ121" s="13"/>
      <c r="AR121" s="11"/>
      <c r="AS121" s="13"/>
      <c r="AT121" s="11"/>
      <c r="AU121" s="13"/>
      <c r="AV121" s="11"/>
      <c r="AW121" s="13"/>
      <c r="AX121" s="11"/>
      <c r="AY121" s="13"/>
      <c r="AZ121" s="11"/>
      <c r="BA121" s="13"/>
      <c r="BB121" s="11"/>
      <c r="BC121" s="13"/>
      <c r="BD121" s="11"/>
      <c r="BE121" s="13"/>
      <c r="BF121" s="11"/>
      <c r="BG121" s="13"/>
      <c r="BH121" s="11"/>
      <c r="BI121" s="13"/>
      <c r="BJ121" s="11"/>
      <c r="BK121" s="13"/>
      <c r="BL121" s="11"/>
      <c r="BM121" s="13"/>
      <c r="BN121" s="11"/>
      <c r="BO121" s="13"/>
      <c r="BP121" s="11"/>
      <c r="BQ121" s="13"/>
      <c r="BR121" s="11"/>
      <c r="BS121" s="13"/>
      <c r="BT121" s="11"/>
      <c r="BU121" s="13"/>
      <c r="BV121" s="11"/>
      <c r="BW121" s="13"/>
      <c r="BX121" s="11"/>
      <c r="BY121" s="13"/>
      <c r="BZ121" s="11"/>
      <c r="CA121" s="13"/>
      <c r="CB121" s="11"/>
      <c r="CC121" s="13"/>
      <c r="CD121" s="11"/>
      <c r="CE121" s="13"/>
      <c r="CF121" s="11"/>
      <c r="CG121" s="13"/>
      <c r="CH121" s="11"/>
      <c r="CI121" s="13"/>
      <c r="CJ121" s="11"/>
      <c r="CK121" s="13"/>
      <c r="CL121" s="11"/>
      <c r="CM121" s="13"/>
      <c r="CN121" s="11"/>
      <c r="CO121" s="13"/>
      <c r="CP121" s="11"/>
    </row>
    <row r="122" spans="1:94" x14ac:dyDescent="0.25">
      <c r="A122" s="42" t="s">
        <v>5</v>
      </c>
      <c r="B122" s="14">
        <f>+B71+B73</f>
        <v>31085.94</v>
      </c>
      <c r="C122" s="23"/>
      <c r="D122" s="14">
        <f>+D70</f>
        <v>24319.29</v>
      </c>
      <c r="E122" s="23"/>
      <c r="F122" s="14">
        <f>+F63+F74</f>
        <v>77268.53</v>
      </c>
      <c r="G122" s="23"/>
      <c r="H122" s="14">
        <f>+H62+H73</f>
        <v>29028.879999999997</v>
      </c>
      <c r="I122" s="23"/>
      <c r="J122" s="14">
        <f>+J62+J71</f>
        <v>60688.31</v>
      </c>
      <c r="K122" s="23"/>
      <c r="L122" s="14">
        <f>+L63+L72</f>
        <v>15048.55</v>
      </c>
      <c r="M122" s="23"/>
      <c r="N122" s="14">
        <f>+N67</f>
        <v>24422.010000000002</v>
      </c>
      <c r="O122" s="23"/>
      <c r="P122" s="14">
        <f>+P68</f>
        <v>28724.489999999998</v>
      </c>
      <c r="Q122" s="23"/>
      <c r="R122" s="14"/>
      <c r="S122" s="23"/>
      <c r="T122" s="14">
        <f>+T64+T68</f>
        <v>14760.029999999999</v>
      </c>
      <c r="U122" s="23"/>
      <c r="V122" s="14">
        <f>+V64+V81</f>
        <v>52298.82</v>
      </c>
      <c r="W122" s="23"/>
      <c r="X122" s="14">
        <f>+X64+X78</f>
        <v>9666.81</v>
      </c>
      <c r="Y122" s="23"/>
      <c r="Z122" s="14">
        <f>+Z67+Z81</f>
        <v>86284.799999999988</v>
      </c>
      <c r="AA122" s="23"/>
      <c r="AB122" s="14">
        <f>+AB65+AB70</f>
        <v>36406.720000000001</v>
      </c>
      <c r="AC122" s="23"/>
      <c r="AD122" s="14"/>
      <c r="AE122" s="23"/>
      <c r="AF122" s="14">
        <f>+AF61+AF68</f>
        <v>21425.730000000003</v>
      </c>
      <c r="AG122" s="23"/>
      <c r="AH122" s="14">
        <f>+AH67+AH80</f>
        <v>75090.81</v>
      </c>
      <c r="AI122" s="23"/>
      <c r="AJ122" s="14">
        <f>+AJ76</f>
        <v>68127.73000000001</v>
      </c>
      <c r="AK122" s="23"/>
      <c r="AL122" s="14">
        <f>+AL65+AL73</f>
        <v>23924.89</v>
      </c>
      <c r="AM122" s="23"/>
      <c r="AN122" s="14">
        <f>+AN63+AN68</f>
        <v>16665.169999999998</v>
      </c>
      <c r="AO122" s="23"/>
      <c r="AP122" s="14">
        <f>+AP72</f>
        <v>90977.400000000009</v>
      </c>
      <c r="AQ122" s="23"/>
      <c r="AR122" s="14"/>
      <c r="AS122" s="23"/>
      <c r="AT122" s="14">
        <f>+AT65+AT71</f>
        <v>40605.68</v>
      </c>
      <c r="AU122" s="23"/>
      <c r="AV122" s="14">
        <f>+AV64</f>
        <v>10452.209999999999</v>
      </c>
      <c r="AW122" s="23"/>
      <c r="AX122" s="14">
        <f>+AX63+AX78</f>
        <v>297874.44</v>
      </c>
      <c r="AY122" s="23"/>
      <c r="AZ122" s="14">
        <f>+AZ61+AZ73</f>
        <v>69569.02</v>
      </c>
      <c r="BA122" s="23"/>
      <c r="BB122" s="14">
        <f>+BB62+BB70</f>
        <v>53024.35</v>
      </c>
      <c r="BC122" s="23"/>
      <c r="BD122" s="14">
        <f>+BD69</f>
        <v>216511.83</v>
      </c>
      <c r="BE122" s="23"/>
      <c r="BF122" s="14"/>
      <c r="BG122" s="23"/>
      <c r="BH122" s="14"/>
      <c r="BI122" s="23"/>
      <c r="BJ122" s="14"/>
      <c r="BK122" s="23"/>
      <c r="BL122" s="14"/>
      <c r="BM122" s="23"/>
      <c r="BN122" s="14"/>
      <c r="BO122" s="23"/>
      <c r="BP122" s="14"/>
      <c r="BQ122" s="23"/>
      <c r="BR122" s="14"/>
      <c r="BS122" s="23"/>
      <c r="BT122" s="14"/>
      <c r="BU122" s="23"/>
      <c r="BV122" s="14"/>
      <c r="BW122" s="23"/>
      <c r="BX122" s="14"/>
      <c r="BY122" s="23"/>
      <c r="BZ122" s="14"/>
      <c r="CA122" s="23"/>
      <c r="CB122" s="14"/>
      <c r="CC122" s="23"/>
      <c r="CD122" s="14"/>
      <c r="CE122" s="23"/>
      <c r="CF122" s="14"/>
      <c r="CG122" s="23"/>
      <c r="CH122" s="14"/>
      <c r="CI122" s="23"/>
      <c r="CJ122" s="14"/>
      <c r="CK122" s="23"/>
      <c r="CL122" s="14"/>
      <c r="CM122" s="23"/>
      <c r="CN122" s="14"/>
      <c r="CO122" s="23"/>
      <c r="CP122" s="14"/>
    </row>
    <row r="123" spans="1:94" x14ac:dyDescent="0.25">
      <c r="A123" s="42" t="s">
        <v>8</v>
      </c>
      <c r="B123" s="14">
        <f>+B96+B101</f>
        <v>13767.02</v>
      </c>
      <c r="C123" s="23"/>
      <c r="D123" s="14">
        <f>+D97</f>
        <v>2996.5699999999997</v>
      </c>
      <c r="E123" s="23"/>
      <c r="F123" s="14">
        <f>+F95</f>
        <v>3163.21</v>
      </c>
      <c r="G123" s="23"/>
      <c r="H123" s="14">
        <f>+H94+H99</f>
        <v>13123.35</v>
      </c>
      <c r="I123" s="23"/>
      <c r="J123" s="14">
        <f>+J92+J101</f>
        <v>17588.93</v>
      </c>
      <c r="K123" s="23"/>
      <c r="L123" s="14">
        <f>+L92+L97</f>
        <v>18381.330000000002</v>
      </c>
      <c r="M123" s="23"/>
      <c r="N123" s="14">
        <f>+N96+N106</f>
        <v>32417.369999999995</v>
      </c>
      <c r="O123" s="23"/>
      <c r="P123" s="14">
        <f>+P103</f>
        <v>25958.810000000005</v>
      </c>
      <c r="Q123" s="23"/>
      <c r="R123" s="14">
        <f>+R92</f>
        <v>5000</v>
      </c>
      <c r="S123" s="23"/>
      <c r="T123" s="14">
        <f>+T94+T101</f>
        <v>9021.6400000000012</v>
      </c>
      <c r="U123" s="23"/>
      <c r="V123" s="14">
        <f>+V99</f>
        <v>16743.02</v>
      </c>
      <c r="W123" s="23"/>
      <c r="X123" s="14">
        <f>+X92+X97</f>
        <v>9713.99</v>
      </c>
      <c r="Y123" s="23"/>
      <c r="Z123" s="14">
        <f>+Z96+Z104</f>
        <v>20154.18</v>
      </c>
      <c r="AA123" s="23"/>
      <c r="AB123" s="14">
        <f>+AB94+AB96</f>
        <v>6147</v>
      </c>
      <c r="AC123" s="23"/>
      <c r="AD123" s="14"/>
      <c r="AE123" s="23"/>
      <c r="AF123" s="14">
        <f>+AF96+AF100</f>
        <v>15298.300000000001</v>
      </c>
      <c r="AG123" s="23"/>
      <c r="AH123" s="14">
        <f>+AH94</f>
        <v>7444.15</v>
      </c>
      <c r="AI123" s="23"/>
      <c r="AJ123" s="14">
        <f>+AJ95+AJ100</f>
        <v>20815.599999999999</v>
      </c>
      <c r="AK123" s="23"/>
      <c r="AL123" s="14">
        <f>+AL92+AL93</f>
        <v>28839.71</v>
      </c>
      <c r="AM123" s="23"/>
      <c r="AN123" s="14">
        <f>+AN94+AN99</f>
        <v>13522.279999999999</v>
      </c>
      <c r="AO123" s="23"/>
      <c r="AP123" s="14">
        <f>+AP100</f>
        <v>39577.019999999997</v>
      </c>
      <c r="AQ123" s="23"/>
      <c r="AR123" s="14"/>
      <c r="AS123" s="23"/>
      <c r="AT123" s="14">
        <f>+AT95+AT103</f>
        <v>39202.269999999997</v>
      </c>
      <c r="AU123" s="23"/>
      <c r="AV123" s="14">
        <f>+AV100</f>
        <v>21348.32</v>
      </c>
      <c r="AW123" s="23"/>
      <c r="AX123" s="14">
        <f>+AX92+AX97</f>
        <v>12379.89</v>
      </c>
      <c r="AY123" s="23"/>
      <c r="AZ123" s="14">
        <f>+AZ94+AZ100</f>
        <v>15116</v>
      </c>
      <c r="BA123" s="23"/>
      <c r="BB123" s="14">
        <f>+BB99</f>
        <v>9833.17</v>
      </c>
      <c r="BC123" s="23"/>
      <c r="BD123" s="14">
        <f>+BD95</f>
        <v>16024.03</v>
      </c>
      <c r="BE123" s="23"/>
      <c r="BF123" s="14"/>
      <c r="BG123" s="23"/>
      <c r="BH123" s="14"/>
      <c r="BI123" s="23"/>
      <c r="BJ123" s="14"/>
      <c r="BK123" s="23"/>
      <c r="BL123" s="14"/>
      <c r="BM123" s="23"/>
      <c r="BN123" s="14"/>
      <c r="BO123" s="23"/>
      <c r="BP123" s="14"/>
      <c r="BQ123" s="23"/>
      <c r="BR123" s="14"/>
      <c r="BS123" s="23"/>
      <c r="BT123" s="14"/>
      <c r="BU123" s="23"/>
      <c r="BV123" s="14"/>
      <c r="BW123" s="23"/>
      <c r="BX123" s="14"/>
      <c r="BY123" s="23"/>
      <c r="BZ123" s="14"/>
      <c r="CA123" s="23"/>
      <c r="CB123" s="14"/>
      <c r="CC123" s="23"/>
      <c r="CD123" s="14"/>
      <c r="CE123" s="23"/>
      <c r="CF123" s="14"/>
      <c r="CG123" s="23"/>
      <c r="CH123" s="14"/>
      <c r="CI123" s="23"/>
      <c r="CJ123" s="14"/>
      <c r="CK123" s="23"/>
      <c r="CL123" s="14"/>
      <c r="CM123" s="23"/>
      <c r="CN123" s="14"/>
      <c r="CO123" s="23"/>
      <c r="CP123" s="14"/>
    </row>
    <row r="124" spans="1:94" x14ac:dyDescent="0.25">
      <c r="A124" s="42" t="s">
        <v>7</v>
      </c>
      <c r="B124" s="14"/>
      <c r="C124" s="23"/>
      <c r="D124" s="14"/>
      <c r="E124" s="23"/>
      <c r="F124" s="14">
        <f>+F114</f>
        <v>4664.2299999999996</v>
      </c>
      <c r="G124" s="23"/>
      <c r="H124" s="14">
        <f>+H114</f>
        <v>2460</v>
      </c>
      <c r="I124" s="23"/>
      <c r="J124" s="14">
        <f>+J114</f>
        <v>0</v>
      </c>
      <c r="K124" s="23"/>
      <c r="L124" s="14">
        <f>+L114</f>
        <v>10362.5</v>
      </c>
      <c r="M124" s="23"/>
      <c r="N124" s="144"/>
      <c r="O124" s="23"/>
      <c r="P124" s="14"/>
      <c r="Q124" s="23"/>
      <c r="R124" s="14"/>
      <c r="S124" s="23"/>
      <c r="T124" s="14"/>
      <c r="U124" s="23"/>
      <c r="V124" s="14">
        <f>+V114</f>
        <v>1995.11</v>
      </c>
      <c r="W124" s="23"/>
      <c r="X124" s="14"/>
      <c r="Y124" s="23"/>
      <c r="Z124" s="14"/>
      <c r="AA124" s="23"/>
      <c r="AB124" s="14"/>
      <c r="AC124" s="23"/>
      <c r="AD124" s="14"/>
      <c r="AE124" s="23"/>
      <c r="AF124" s="14"/>
      <c r="AG124" s="23"/>
      <c r="AH124" s="14"/>
      <c r="AI124" s="23"/>
      <c r="AJ124" s="14"/>
      <c r="AK124" s="23"/>
      <c r="AL124" s="14">
        <f>+AL114</f>
        <v>4464.99</v>
      </c>
      <c r="AM124" s="23"/>
      <c r="AN124" s="14">
        <f>+AN116</f>
        <v>0</v>
      </c>
      <c r="AO124" s="23"/>
      <c r="AP124" s="14"/>
      <c r="AQ124" s="23"/>
      <c r="AR124" s="14"/>
      <c r="AS124" s="23"/>
      <c r="AT124" s="14"/>
      <c r="AU124" s="23"/>
      <c r="AV124" s="14"/>
      <c r="AW124" s="23"/>
      <c r="AX124" s="14"/>
      <c r="AY124" s="23"/>
      <c r="AZ124" s="14">
        <f>+AZ114+AZ118</f>
        <v>10056.27</v>
      </c>
      <c r="BA124" s="23"/>
      <c r="BB124" s="14"/>
      <c r="BC124" s="23"/>
      <c r="BD124" s="14"/>
      <c r="BE124" s="23"/>
      <c r="BF124" s="14"/>
      <c r="BG124" s="23"/>
      <c r="BH124" s="14"/>
      <c r="BI124" s="23"/>
      <c r="BJ124" s="14"/>
      <c r="BK124" s="23"/>
      <c r="BL124" s="14"/>
      <c r="BM124" s="23"/>
      <c r="BN124" s="14"/>
      <c r="BO124" s="23"/>
      <c r="BP124" s="14"/>
      <c r="BQ124" s="23"/>
      <c r="BR124" s="14"/>
      <c r="BS124" s="23"/>
      <c r="BT124" s="14"/>
      <c r="BU124" s="23"/>
      <c r="BV124" s="14"/>
      <c r="BW124" s="23"/>
      <c r="BX124" s="14"/>
      <c r="BY124" s="23"/>
      <c r="BZ124" s="14"/>
      <c r="CA124" s="23"/>
      <c r="CB124" s="14"/>
      <c r="CC124" s="23"/>
      <c r="CD124" s="14"/>
      <c r="CE124" s="23"/>
      <c r="CF124" s="14"/>
      <c r="CG124" s="23"/>
      <c r="CH124" s="14"/>
      <c r="CI124" s="23"/>
      <c r="CJ124" s="14"/>
      <c r="CK124" s="23"/>
      <c r="CL124" s="14"/>
      <c r="CM124" s="23"/>
      <c r="CN124" s="14"/>
      <c r="CO124" s="23"/>
      <c r="CP124" s="14"/>
    </row>
    <row r="125" spans="1:94" x14ac:dyDescent="0.25">
      <c r="A125" s="44" t="s">
        <v>9</v>
      </c>
      <c r="B125" s="144">
        <f>+B122+B123+B124</f>
        <v>44852.959999999999</v>
      </c>
      <c r="C125" s="144"/>
      <c r="D125" s="144">
        <f>+D122+D123+D124</f>
        <v>27315.86</v>
      </c>
      <c r="E125" s="144"/>
      <c r="F125" s="144">
        <f>+F122+F123+F124</f>
        <v>85095.97</v>
      </c>
      <c r="G125" s="144"/>
      <c r="H125" s="144">
        <f>+H122+H123+H124</f>
        <v>44612.229999999996</v>
      </c>
      <c r="I125" s="144"/>
      <c r="J125" s="144">
        <f>+J122+J123+J124</f>
        <v>78277.239999999991</v>
      </c>
      <c r="K125" s="144"/>
      <c r="L125" s="144">
        <f>+L122+L123+L124</f>
        <v>43792.380000000005</v>
      </c>
      <c r="M125" s="144"/>
      <c r="N125" s="144">
        <f>+N122+N123+N124</f>
        <v>56839.38</v>
      </c>
      <c r="O125" s="144"/>
      <c r="P125" s="144">
        <f>+P122+P123+P124</f>
        <v>54683.3</v>
      </c>
      <c r="Q125" s="144"/>
      <c r="R125" s="144">
        <f>+R122+R123+R124</f>
        <v>5000</v>
      </c>
      <c r="S125" s="144"/>
      <c r="T125" s="144">
        <f>+T122+T123+T124</f>
        <v>23781.67</v>
      </c>
      <c r="U125" s="144"/>
      <c r="V125" s="144">
        <f>+V122+V123+V124</f>
        <v>71036.95</v>
      </c>
      <c r="W125" s="144"/>
      <c r="X125" s="144">
        <f>+X122+X123+X124</f>
        <v>19380.8</v>
      </c>
      <c r="Y125" s="144"/>
      <c r="Z125" s="144">
        <f>+Z122+Z123+Z124</f>
        <v>106438.97999999998</v>
      </c>
      <c r="AA125" s="144"/>
      <c r="AB125" s="144">
        <f>+AB122+AB123+AB124</f>
        <v>42553.72</v>
      </c>
      <c r="AC125" s="144"/>
      <c r="AD125" s="144"/>
      <c r="AE125" s="144"/>
      <c r="AF125" s="144">
        <f>+AF122+AF123+AF124</f>
        <v>36724.030000000006</v>
      </c>
      <c r="AG125" s="144"/>
      <c r="AH125" s="144">
        <f>+AH122+AH123+AH124</f>
        <v>82534.959999999992</v>
      </c>
      <c r="AI125" s="144"/>
      <c r="AJ125" s="144">
        <f>+AJ122+AJ123+AJ124</f>
        <v>88943.330000000016</v>
      </c>
      <c r="AK125" s="144"/>
      <c r="AL125" s="144">
        <f>+AL122+AL123+AL124</f>
        <v>57229.59</v>
      </c>
      <c r="AM125" s="144"/>
      <c r="AN125" s="144">
        <f>+AN122+AN123+AN124</f>
        <v>30187.449999999997</v>
      </c>
      <c r="AO125" s="144"/>
      <c r="AP125" s="144">
        <f>+AP122+AP123+AP124</f>
        <v>130554.42000000001</v>
      </c>
      <c r="AQ125" s="144"/>
      <c r="AR125" s="144"/>
      <c r="AS125" s="144"/>
      <c r="AT125" s="144">
        <f>+AT122+AT123+AT124</f>
        <v>79807.95</v>
      </c>
      <c r="AU125" s="144"/>
      <c r="AV125" s="144">
        <f>+AV122+AV123+AV124</f>
        <v>31800.53</v>
      </c>
      <c r="AW125" s="144"/>
      <c r="AX125" s="144">
        <f>+AX122+AX123+AX124</f>
        <v>310254.33</v>
      </c>
      <c r="AY125" s="144"/>
      <c r="AZ125" s="144">
        <f>+AZ122+AZ123+AZ124</f>
        <v>94741.290000000008</v>
      </c>
      <c r="BA125" s="144"/>
      <c r="BB125" s="144">
        <f>+BB122+BB123+BB124</f>
        <v>62857.52</v>
      </c>
      <c r="BC125" s="144"/>
      <c r="BD125" s="144">
        <f>+BD122+BD123+BD124</f>
        <v>232535.86</v>
      </c>
      <c r="BE125" s="144"/>
      <c r="BF125" s="144"/>
      <c r="BG125" s="144"/>
      <c r="BH125" s="144"/>
      <c r="BI125" s="14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</row>
    <row r="126" spans="1:94" x14ac:dyDescent="0.25">
      <c r="A126" s="44"/>
      <c r="B126" s="144">
        <f>28416.12+10648.3+2669.82+3118.72</f>
        <v>44852.959999999999</v>
      </c>
      <c r="C126" s="144"/>
      <c r="D126" s="144">
        <f>24319.29+2996.57</f>
        <v>27315.86</v>
      </c>
      <c r="E126" s="144"/>
      <c r="F126" s="144">
        <f>13081.68+4664.23+64186.85+3163.21</f>
        <v>85095.97</v>
      </c>
      <c r="G126" s="144"/>
      <c r="H126" s="144">
        <f>4898.9+2989.31+2460+24129.98+10134.02</f>
        <v>44612.210000000006</v>
      </c>
      <c r="I126" s="144"/>
      <c r="J126" s="144">
        <f>6036.31+1451.93+54652+16137</f>
        <v>78277.239999999991</v>
      </c>
      <c r="K126" s="144"/>
      <c r="L126" s="144">
        <f>5853.74+12114.43+9194.81+6266.99+10362.5</f>
        <v>43792.469999999994</v>
      </c>
      <c r="M126" s="144"/>
      <c r="N126" s="144">
        <f>24422.01+11888.98+20528.39</f>
        <v>56839.38</v>
      </c>
      <c r="O126" s="144"/>
      <c r="P126" s="144">
        <f>28724.57+25958.81</f>
        <v>54683.380000000005</v>
      </c>
      <c r="Q126" s="144"/>
      <c r="R126" s="144">
        <v>5000</v>
      </c>
      <c r="S126" s="144"/>
      <c r="T126" s="144">
        <f>8092.28+725.19+6667.75+8296.45</f>
        <v>23781.67</v>
      </c>
      <c r="U126" s="144"/>
      <c r="V126" s="144">
        <f>4767.05+47531.77+16743.02+1995.11</f>
        <v>71036.95</v>
      </c>
      <c r="W126" s="144"/>
      <c r="X126" s="144">
        <f>8666.81+4464.99+35722.2+5249</f>
        <v>54103</v>
      </c>
      <c r="Y126" s="144"/>
      <c r="Z126" s="144">
        <f>31580.7+5932.34+54704.1+14221.83</f>
        <v>106438.97</v>
      </c>
      <c r="AA126" s="144"/>
      <c r="AB126" s="144">
        <f>13427.01+3131+22979.71+3016</f>
        <v>42553.72</v>
      </c>
      <c r="AC126" s="144"/>
      <c r="AD126" s="144"/>
      <c r="AE126" s="144"/>
      <c r="AF126" s="144">
        <f>4290.01+10890.3+17135.72+4408.013</f>
        <v>36724.042999999998</v>
      </c>
      <c r="AG126" s="144"/>
      <c r="AH126" s="144">
        <f>22307.52+52783.38+7444.15</f>
        <v>82535.049999999988</v>
      </c>
      <c r="AI126" s="144"/>
      <c r="AJ126" s="144">
        <f>12442.2+68127.73+8373.4</f>
        <v>88943.329999999987</v>
      </c>
      <c r="AK126" s="144"/>
      <c r="AL126" s="144">
        <f>7517.78+26800.71+4464.99+16407.11+2040</f>
        <v>57230.59</v>
      </c>
      <c r="AM126" s="144"/>
      <c r="AN126" s="144">
        <f>7985.18+5855.15+8679.99+7667.13</f>
        <v>30187.45</v>
      </c>
      <c r="AO126" s="144"/>
      <c r="AP126" s="144">
        <f>90977.39+39577.02</f>
        <v>130554.41</v>
      </c>
      <c r="AQ126" s="144"/>
      <c r="AR126" s="144"/>
      <c r="AS126" s="144"/>
      <c r="AT126" s="144">
        <f>32623.87+29169.3+7981.81+10032.97</f>
        <v>79807.95</v>
      </c>
      <c r="AU126" s="144"/>
      <c r="AV126" s="144">
        <f>10452.21+21348.32</f>
        <v>31800.53</v>
      </c>
      <c r="AW126" s="144"/>
      <c r="AX126" s="144">
        <f>205968.34+4136.59+91906.1+8243.3</f>
        <v>310254.33</v>
      </c>
      <c r="AY126" s="144"/>
      <c r="AZ126" s="144">
        <f>1782.15+3069+4465+67786.87+12047+5591.27</f>
        <v>94741.29</v>
      </c>
      <c r="BA126" s="144"/>
      <c r="BB126" s="144">
        <f>5291.43+47732.92+9832.67</f>
        <v>62857.02</v>
      </c>
      <c r="BC126" s="144"/>
      <c r="BD126" s="144">
        <f>216511.83+16024.03</f>
        <v>232535.86</v>
      </c>
      <c r="BE126" s="144"/>
      <c r="BF126" s="144"/>
      <c r="BG126" s="144"/>
      <c r="BH126" s="144"/>
      <c r="BI126" s="14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</row>
    <row r="127" spans="1:94" x14ac:dyDescent="0.25">
      <c r="A127" s="44" t="s">
        <v>3</v>
      </c>
      <c r="B127" s="145">
        <f>+B125-B126</f>
        <v>0</v>
      </c>
      <c r="C127" s="145"/>
      <c r="D127" s="145">
        <f>+D125-D126</f>
        <v>0</v>
      </c>
      <c r="E127" s="145"/>
      <c r="F127" s="145">
        <f>+F125-F126</f>
        <v>0</v>
      </c>
      <c r="G127" s="145"/>
      <c r="H127" s="145">
        <f>+H125-H126</f>
        <v>1.9999999989522621E-2</v>
      </c>
      <c r="I127" s="145"/>
      <c r="J127" s="145">
        <f>+J125-J126</f>
        <v>0</v>
      </c>
      <c r="K127" s="145"/>
      <c r="L127" s="145">
        <f>+L125-L126</f>
        <v>-8.9999999989231583E-2</v>
      </c>
      <c r="M127" s="145"/>
      <c r="N127" s="145">
        <f>+N125-N126</f>
        <v>0</v>
      </c>
      <c r="O127" s="145"/>
      <c r="P127" s="145">
        <f>+P125-P126</f>
        <v>-8.000000000174623E-2</v>
      </c>
      <c r="Q127" s="145"/>
      <c r="R127" s="145">
        <f>+R125-R126</f>
        <v>0</v>
      </c>
      <c r="S127" s="145"/>
      <c r="T127" s="145">
        <f>+T125-T126</f>
        <v>0</v>
      </c>
      <c r="U127" s="145"/>
      <c r="V127" s="145">
        <f>+V125-V126</f>
        <v>0</v>
      </c>
      <c r="W127" s="145"/>
      <c r="X127" s="145">
        <f>+X125-X126</f>
        <v>-34722.199999999997</v>
      </c>
      <c r="Y127" s="145"/>
      <c r="Z127" s="145">
        <f>+Z125-Z126</f>
        <v>9.9999999802093953E-3</v>
      </c>
      <c r="AA127" s="145"/>
      <c r="AB127" s="145">
        <f>+AB125-AB126</f>
        <v>0</v>
      </c>
      <c r="AC127" s="145"/>
      <c r="AD127" s="145"/>
      <c r="AE127" s="145"/>
      <c r="AF127" s="145">
        <f>+AF125-AF126</f>
        <v>-1.2999999991734512E-2</v>
      </c>
      <c r="AG127" s="145"/>
      <c r="AH127" s="145">
        <f>+AH125-AH126</f>
        <v>-8.999999999650754E-2</v>
      </c>
      <c r="AI127" s="145"/>
      <c r="AJ127" s="145">
        <f>+AJ125-AJ126</f>
        <v>0</v>
      </c>
      <c r="AK127" s="145"/>
      <c r="AL127" s="145">
        <f>+AL125-AL126</f>
        <v>-1</v>
      </c>
      <c r="AM127" s="145"/>
      <c r="AN127" s="145">
        <f>+AN125-AN126</f>
        <v>0</v>
      </c>
      <c r="AO127" s="145"/>
      <c r="AP127" s="145">
        <f>+AP125-AP126</f>
        <v>1.0000000009313226E-2</v>
      </c>
      <c r="AQ127" s="145"/>
      <c r="AR127" s="145"/>
      <c r="AS127" s="145"/>
      <c r="AT127" s="145">
        <f>+AT125-AT126</f>
        <v>0</v>
      </c>
      <c r="AU127" s="145"/>
      <c r="AV127" s="145">
        <f>+AV125-AV126</f>
        <v>0</v>
      </c>
      <c r="AW127" s="145"/>
      <c r="AX127" s="145">
        <f>+AX125-AX126</f>
        <v>0</v>
      </c>
      <c r="AY127" s="145"/>
      <c r="AZ127" s="145">
        <f>+AZ125-AZ126</f>
        <v>0</v>
      </c>
      <c r="BA127" s="145"/>
      <c r="BB127" s="145">
        <f>+BB125-BB126</f>
        <v>0.5</v>
      </c>
      <c r="BC127" s="145"/>
      <c r="BD127" s="145">
        <f>+BD125-BD126</f>
        <v>0</v>
      </c>
      <c r="BE127" s="145"/>
      <c r="BF127" s="145"/>
      <c r="BG127" s="145"/>
      <c r="BH127" s="145"/>
      <c r="BI127" s="145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</row>
    <row r="128" spans="1:94" x14ac:dyDescent="0.25">
      <c r="A128" s="48"/>
      <c r="B128" s="18"/>
      <c r="C128" s="59"/>
      <c r="D128" s="18"/>
      <c r="E128" s="59"/>
      <c r="F128" s="18"/>
      <c r="G128" s="59"/>
      <c r="H128" s="18"/>
      <c r="I128" s="59"/>
      <c r="J128" s="18"/>
      <c r="K128" s="59"/>
      <c r="L128" s="145"/>
      <c r="M128" s="59"/>
      <c r="N128" s="18"/>
      <c r="O128" s="59"/>
      <c r="P128" s="18"/>
      <c r="Q128" s="59"/>
      <c r="R128" s="18"/>
      <c r="S128" s="59"/>
      <c r="T128" s="18"/>
      <c r="U128" s="59"/>
      <c r="V128" s="18"/>
      <c r="W128" s="59"/>
      <c r="X128" s="18"/>
      <c r="Y128" s="59"/>
      <c r="Z128" s="18"/>
      <c r="AA128" s="59"/>
      <c r="AB128" s="18"/>
      <c r="AC128" s="59"/>
      <c r="AD128" s="18"/>
      <c r="AE128" s="59"/>
      <c r="AF128" s="18"/>
      <c r="AG128" s="59"/>
      <c r="AH128" s="18"/>
      <c r="AI128" s="59"/>
      <c r="AJ128" s="18"/>
      <c r="AK128" s="59"/>
      <c r="AL128" s="18"/>
      <c r="AM128" s="59"/>
      <c r="AN128" s="18"/>
      <c r="AO128" s="59"/>
      <c r="AP128" s="18"/>
      <c r="AQ128" s="59"/>
      <c r="AR128" s="18"/>
      <c r="AS128" s="59"/>
      <c r="AT128" s="18"/>
      <c r="AU128" s="59"/>
      <c r="AV128" s="18"/>
      <c r="AW128" s="59"/>
      <c r="AX128" s="18"/>
      <c r="AY128" s="59"/>
      <c r="AZ128" s="18"/>
      <c r="BA128" s="59"/>
      <c r="BB128" s="18"/>
      <c r="BC128" s="59"/>
      <c r="BD128" s="145"/>
      <c r="BE128" s="59"/>
      <c r="BF128" s="18"/>
      <c r="BG128" s="59"/>
      <c r="BH128" s="18"/>
      <c r="BI128" s="59"/>
      <c r="BJ128" s="75"/>
      <c r="BK128" s="25"/>
      <c r="BL128" s="75"/>
      <c r="BM128" s="25"/>
      <c r="BN128" s="75"/>
      <c r="BO128" s="25"/>
      <c r="BP128" s="75"/>
      <c r="BQ128" s="25"/>
      <c r="BR128" s="75"/>
      <c r="BS128" s="25"/>
      <c r="BT128" s="75"/>
      <c r="BU128" s="25"/>
      <c r="BV128" s="75"/>
      <c r="BW128" s="25"/>
      <c r="BX128" s="75"/>
      <c r="BY128" s="25"/>
      <c r="BZ128" s="75"/>
      <c r="CA128" s="25"/>
      <c r="CB128" s="75"/>
      <c r="CC128" s="25"/>
      <c r="CD128" s="75"/>
      <c r="CE128" s="25"/>
      <c r="CF128" s="76"/>
      <c r="CG128" s="234"/>
      <c r="CH128" s="76"/>
      <c r="CI128" s="234"/>
      <c r="CJ128" s="76"/>
      <c r="CK128" s="234"/>
      <c r="CL128" s="76"/>
      <c r="CM128" s="234"/>
      <c r="CN128" s="76"/>
      <c r="CO128" s="234"/>
      <c r="CP128" s="76"/>
    </row>
    <row r="129" spans="1:94" x14ac:dyDescent="0.25">
      <c r="A129" s="48"/>
      <c r="B129" s="163"/>
      <c r="C129" s="59"/>
      <c r="D129" s="163"/>
      <c r="E129" s="59"/>
      <c r="F129" s="163"/>
      <c r="G129" s="59"/>
      <c r="H129" s="163"/>
      <c r="I129" s="59"/>
      <c r="J129" s="163"/>
      <c r="K129" s="25"/>
      <c r="L129" s="163"/>
      <c r="M129" s="59"/>
      <c r="N129" s="163"/>
      <c r="O129" s="59"/>
      <c r="P129" s="163"/>
      <c r="Q129" s="59"/>
      <c r="R129" s="163"/>
      <c r="S129" s="59"/>
      <c r="T129" s="163"/>
      <c r="U129" s="59"/>
      <c r="V129" s="163"/>
      <c r="W129" s="59"/>
      <c r="X129" s="163"/>
      <c r="Y129" s="59"/>
      <c r="Z129" s="163"/>
      <c r="AA129" s="59"/>
      <c r="AB129" s="163"/>
      <c r="AC129" s="59"/>
      <c r="AD129" s="163"/>
      <c r="AE129" s="59"/>
      <c r="AF129" s="163"/>
      <c r="AG129" s="59"/>
      <c r="AH129" s="163"/>
      <c r="AI129" s="59"/>
      <c r="AJ129" s="163"/>
      <c r="AK129" s="59"/>
      <c r="AL129" s="163"/>
      <c r="AM129" s="59"/>
      <c r="AN129" s="163"/>
      <c r="AO129" s="59"/>
      <c r="AP129" s="163"/>
      <c r="AQ129" s="59"/>
      <c r="AR129" s="163"/>
      <c r="AS129" s="59"/>
      <c r="AT129" s="163"/>
      <c r="AU129" s="59"/>
      <c r="AV129" s="163"/>
      <c r="AW129" s="59"/>
      <c r="AX129" s="163"/>
      <c r="AY129" s="59"/>
      <c r="AZ129" s="163"/>
      <c r="BA129" s="59"/>
      <c r="BB129" s="163"/>
      <c r="BC129" s="59"/>
      <c r="BD129" s="163"/>
      <c r="BE129" s="59"/>
      <c r="BF129" s="163"/>
      <c r="BG129" s="59"/>
      <c r="BH129" s="163"/>
      <c r="BI129" s="59"/>
      <c r="BJ129" s="235"/>
      <c r="BK129" s="25"/>
      <c r="BL129" s="75"/>
      <c r="BM129" s="25"/>
      <c r="BN129" s="75"/>
      <c r="BO129" s="25"/>
      <c r="BP129" s="75"/>
      <c r="BQ129" s="25"/>
      <c r="BR129" s="75"/>
      <c r="BS129" s="25"/>
      <c r="BT129" s="75"/>
      <c r="BU129" s="25"/>
      <c r="BV129" s="75"/>
      <c r="BW129" s="25"/>
      <c r="BX129" s="75"/>
      <c r="BY129" s="25"/>
      <c r="BZ129" s="75"/>
      <c r="CA129" s="25"/>
      <c r="CB129" s="75"/>
      <c r="CC129" s="25"/>
      <c r="CD129" s="75"/>
      <c r="CE129" s="25"/>
      <c r="CF129" s="76"/>
      <c r="CG129" s="234"/>
      <c r="CH129" s="76"/>
      <c r="CI129" s="234"/>
      <c r="CJ129" s="76"/>
      <c r="CK129" s="234"/>
      <c r="CL129" s="76"/>
      <c r="CM129" s="234"/>
      <c r="CN129" s="76"/>
      <c r="CO129" s="234"/>
      <c r="CP129" s="76"/>
    </row>
    <row r="130" spans="1:94" x14ac:dyDescent="0.25">
      <c r="A130" s="37" t="s">
        <v>10</v>
      </c>
      <c r="B130" s="164">
        <v>42979</v>
      </c>
      <c r="C130" s="118"/>
      <c r="D130" s="164">
        <v>42980</v>
      </c>
      <c r="E130" s="118"/>
      <c r="F130" s="164">
        <v>42982</v>
      </c>
      <c r="G130" s="118"/>
      <c r="H130" s="164">
        <v>42983</v>
      </c>
      <c r="I130" s="118"/>
      <c r="J130" s="164">
        <v>42984</v>
      </c>
      <c r="K130" s="119"/>
      <c r="L130" s="164">
        <v>42985</v>
      </c>
      <c r="M130" s="118"/>
      <c r="N130" s="164">
        <v>42986</v>
      </c>
      <c r="O130" s="118"/>
      <c r="P130" s="164">
        <v>42987</v>
      </c>
      <c r="Q130" s="118"/>
      <c r="R130" s="164"/>
      <c r="S130" s="118"/>
      <c r="T130" s="22">
        <v>42989</v>
      </c>
      <c r="U130" s="118"/>
      <c r="V130" s="22">
        <v>42990</v>
      </c>
      <c r="W130" s="118"/>
      <c r="X130" s="22">
        <v>42991</v>
      </c>
      <c r="Y130" s="118"/>
      <c r="Z130" s="164">
        <v>42992</v>
      </c>
      <c r="AA130" s="118"/>
      <c r="AB130" s="175">
        <v>42993</v>
      </c>
      <c r="AC130" s="118"/>
      <c r="AD130" s="164">
        <v>42994</v>
      </c>
      <c r="AE130" s="118"/>
      <c r="AF130" s="164">
        <v>42996</v>
      </c>
      <c r="AG130" s="118"/>
      <c r="AH130" s="164">
        <v>42997</v>
      </c>
      <c r="AI130" s="119"/>
      <c r="AJ130" s="164">
        <v>42998</v>
      </c>
      <c r="AK130" s="118"/>
      <c r="AL130" s="164">
        <v>42999</v>
      </c>
      <c r="AM130" s="118"/>
      <c r="AN130" s="164">
        <v>43000</v>
      </c>
      <c r="AO130" s="118"/>
      <c r="AP130" s="164">
        <v>43001</v>
      </c>
      <c r="AQ130" s="118"/>
      <c r="AR130" s="164">
        <v>43002</v>
      </c>
      <c r="AS130" s="118"/>
      <c r="AT130" s="164">
        <v>43003</v>
      </c>
      <c r="AU130" s="119"/>
      <c r="AV130" s="164">
        <v>43004</v>
      </c>
      <c r="AW130" s="118"/>
      <c r="AX130" s="164">
        <v>43005</v>
      </c>
      <c r="AY130" s="118"/>
      <c r="AZ130" s="164">
        <v>43006</v>
      </c>
      <c r="BA130" s="118"/>
      <c r="BB130" s="164">
        <v>43007</v>
      </c>
      <c r="BC130" s="118"/>
      <c r="BD130" s="164">
        <v>43008</v>
      </c>
      <c r="BE130" s="118"/>
      <c r="BF130" s="164"/>
      <c r="BG130" s="118"/>
      <c r="BH130" s="164"/>
      <c r="BI130" s="118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</row>
    <row r="131" spans="1:94" x14ac:dyDescent="0.25">
      <c r="A131" s="40"/>
      <c r="B131" s="22"/>
      <c r="C131" s="22"/>
      <c r="D131" s="22"/>
      <c r="E131" s="22"/>
      <c r="F131" s="22"/>
      <c r="G131" s="22"/>
      <c r="H131" s="22"/>
      <c r="I131" s="22"/>
      <c r="J131" s="22"/>
      <c r="K131" s="20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9"/>
      <c r="W131" s="120"/>
      <c r="X131" s="9"/>
      <c r="Y131" s="120"/>
      <c r="Z131" s="22"/>
      <c r="AA131" s="22"/>
      <c r="AB131" s="22"/>
      <c r="AC131" s="22"/>
      <c r="AD131" s="22"/>
      <c r="AE131" s="22"/>
      <c r="AF131" s="22"/>
      <c r="AG131" s="22"/>
      <c r="AH131" s="22"/>
      <c r="AI131" s="20"/>
      <c r="AJ131" s="22"/>
      <c r="AK131" s="22"/>
      <c r="AL131" s="22"/>
      <c r="AM131" s="22"/>
      <c r="AN131" s="22"/>
      <c r="AO131" s="22"/>
      <c r="AP131" s="22"/>
      <c r="AQ131" s="22"/>
      <c r="AR131" s="22"/>
      <c r="AS131" s="20"/>
      <c r="AT131" s="22"/>
      <c r="AU131" s="20"/>
      <c r="AV131" s="22"/>
      <c r="AW131" s="22"/>
      <c r="AX131" s="22"/>
      <c r="AY131" s="22"/>
      <c r="AZ131" s="22"/>
      <c r="BA131" s="22"/>
      <c r="BB131" s="22"/>
      <c r="BC131" s="22"/>
      <c r="BD131" s="22"/>
      <c r="BE131" s="20"/>
      <c r="BF131" s="22"/>
      <c r="BG131" s="22"/>
      <c r="BH131" s="22"/>
      <c r="BI131" s="22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</row>
    <row r="132" spans="1:94" x14ac:dyDescent="0.25">
      <c r="A132" s="45"/>
      <c r="B132" s="183">
        <v>245968.05</v>
      </c>
      <c r="C132" s="153" t="s">
        <v>10506</v>
      </c>
      <c r="D132" s="29">
        <v>350</v>
      </c>
      <c r="E132" s="24" t="s">
        <v>10543</v>
      </c>
      <c r="F132" s="29">
        <v>24854.42</v>
      </c>
      <c r="G132" s="24" t="s">
        <v>10590</v>
      </c>
      <c r="H132" s="29">
        <v>2040</v>
      </c>
      <c r="I132" s="24" t="s">
        <v>10637</v>
      </c>
      <c r="J132" s="29">
        <v>188000</v>
      </c>
      <c r="K132" s="24" t="s">
        <v>10643</v>
      </c>
      <c r="L132" s="29">
        <v>59092.14</v>
      </c>
      <c r="M132" s="24" t="s">
        <v>10689</v>
      </c>
      <c r="N132" s="29">
        <v>8347.91</v>
      </c>
      <c r="O132" s="24" t="s">
        <v>10781</v>
      </c>
      <c r="P132" s="29">
        <v>13544.75</v>
      </c>
      <c r="Q132" s="24" t="s">
        <v>10845</v>
      </c>
      <c r="R132" s="29"/>
      <c r="S132" s="24"/>
      <c r="T132" s="29">
        <v>161600</v>
      </c>
      <c r="U132" s="24" t="s">
        <v>10878</v>
      </c>
      <c r="V132" s="29">
        <v>11538.17</v>
      </c>
      <c r="W132" s="15" t="s">
        <v>10918</v>
      </c>
      <c r="X132" s="29">
        <v>7846.07</v>
      </c>
      <c r="Y132" s="15" t="s">
        <v>10943</v>
      </c>
      <c r="Z132" s="29">
        <v>10000</v>
      </c>
      <c r="AA132" s="24" t="s">
        <v>10959</v>
      </c>
      <c r="AB132" s="94">
        <v>20000</v>
      </c>
      <c r="AC132" s="24" t="s">
        <v>11099</v>
      </c>
      <c r="AD132" s="29"/>
      <c r="AE132" s="85"/>
      <c r="AF132" s="29">
        <v>93909</v>
      </c>
      <c r="AG132" s="85" t="s">
        <v>11143</v>
      </c>
      <c r="AH132" s="29">
        <v>20000</v>
      </c>
      <c r="AI132" s="24" t="s">
        <v>11160</v>
      </c>
      <c r="AJ132" s="29">
        <v>3123.24</v>
      </c>
      <c r="AK132" s="85" t="s">
        <v>11198</v>
      </c>
      <c r="AL132" s="29">
        <v>110600</v>
      </c>
      <c r="AM132" s="24" t="s">
        <v>11211</v>
      </c>
      <c r="AN132" s="29">
        <v>5000</v>
      </c>
      <c r="AO132" s="24" t="s">
        <v>11324</v>
      </c>
      <c r="AP132" s="29">
        <v>83000</v>
      </c>
      <c r="AQ132" s="184" t="s">
        <v>11420</v>
      </c>
      <c r="AR132" s="29"/>
      <c r="AS132" s="24"/>
      <c r="AT132" s="104">
        <v>300627.82</v>
      </c>
      <c r="AU132" s="24" t="s">
        <v>11383</v>
      </c>
      <c r="AV132" s="29">
        <v>194697.07</v>
      </c>
      <c r="AW132" s="24" t="s">
        <v>11442</v>
      </c>
      <c r="AX132" s="29">
        <v>564</v>
      </c>
      <c r="AY132" s="24" t="s">
        <v>11531</v>
      </c>
      <c r="AZ132" s="29">
        <v>24500</v>
      </c>
      <c r="BA132" s="24" t="s">
        <v>11579</v>
      </c>
      <c r="BB132" s="29">
        <v>100000</v>
      </c>
      <c r="BC132" s="24" t="s">
        <v>11643</v>
      </c>
      <c r="BD132" s="29">
        <v>215000</v>
      </c>
      <c r="BE132" s="24" t="s">
        <v>11709</v>
      </c>
      <c r="BF132" s="29"/>
      <c r="BG132" s="24"/>
      <c r="BH132" s="96"/>
      <c r="BI132" s="15"/>
      <c r="BJ132" s="72"/>
      <c r="BK132" s="24"/>
      <c r="BL132" s="72"/>
      <c r="BM132" s="24"/>
      <c r="BN132" s="72"/>
      <c r="BO132" s="24"/>
      <c r="BP132" s="72"/>
      <c r="BQ132" s="24"/>
      <c r="BR132" s="72"/>
      <c r="BS132" s="24"/>
      <c r="BT132" s="72"/>
      <c r="BU132" s="24"/>
      <c r="BV132" s="72"/>
      <c r="BW132" s="24"/>
      <c r="BX132" s="72"/>
      <c r="BY132" s="24"/>
      <c r="BZ132" s="72"/>
      <c r="CA132" s="24"/>
      <c r="CB132" s="72"/>
      <c r="CC132" s="24"/>
      <c r="CD132" s="72"/>
      <c r="CE132" s="24"/>
      <c r="CF132" s="72"/>
      <c r="CG132" s="24"/>
      <c r="CH132" s="72"/>
      <c r="CI132" s="24"/>
      <c r="CJ132" s="72"/>
      <c r="CK132" s="24"/>
      <c r="CL132" s="72"/>
      <c r="CM132" s="24"/>
      <c r="CN132" s="72"/>
      <c r="CO132" s="24"/>
      <c r="CP132" s="72"/>
    </row>
    <row r="133" spans="1:94" x14ac:dyDescent="0.25">
      <c r="A133" s="45"/>
      <c r="B133" s="183">
        <v>118000</v>
      </c>
      <c r="C133" s="153" t="s">
        <v>10507</v>
      </c>
      <c r="D133" s="29">
        <v>2459</v>
      </c>
      <c r="E133" s="24" t="s">
        <v>10550</v>
      </c>
      <c r="F133" s="29">
        <v>1099</v>
      </c>
      <c r="G133" s="24" t="s">
        <v>10594</v>
      </c>
      <c r="H133" s="29"/>
      <c r="I133" s="24"/>
      <c r="J133" s="29">
        <v>1392</v>
      </c>
      <c r="K133" s="24" t="s">
        <v>10652</v>
      </c>
      <c r="L133" s="29">
        <v>62000</v>
      </c>
      <c r="M133" s="24" t="s">
        <v>10691</v>
      </c>
      <c r="N133" s="29">
        <v>15970.04</v>
      </c>
      <c r="O133" s="24" t="s">
        <v>10782</v>
      </c>
      <c r="P133" s="29">
        <v>1099</v>
      </c>
      <c r="Q133" s="24" t="s">
        <v>10859</v>
      </c>
      <c r="R133" s="29"/>
      <c r="S133" s="24"/>
      <c r="T133" s="29">
        <v>5000</v>
      </c>
      <c r="U133" s="24" t="s">
        <v>10880</v>
      </c>
      <c r="V133" s="29">
        <v>90000</v>
      </c>
      <c r="W133" s="24" t="s">
        <v>10919</v>
      </c>
      <c r="X133" s="29">
        <v>15276.49</v>
      </c>
      <c r="Y133" s="24" t="s">
        <v>10944</v>
      </c>
      <c r="Z133" s="30">
        <v>100000</v>
      </c>
      <c r="AA133" s="15" t="s">
        <v>10961</v>
      </c>
      <c r="AB133" s="29">
        <v>20000</v>
      </c>
      <c r="AC133" s="24" t="s">
        <v>11100</v>
      </c>
      <c r="AD133" s="29"/>
      <c r="AE133" s="85"/>
      <c r="AF133" s="29"/>
      <c r="AG133" s="85"/>
      <c r="AH133" s="96">
        <v>2500</v>
      </c>
      <c r="AI133" s="15" t="s">
        <v>11171</v>
      </c>
      <c r="AJ133" s="29">
        <v>1099</v>
      </c>
      <c r="AK133" s="85" t="s">
        <v>11201</v>
      </c>
      <c r="AL133" s="29">
        <v>232</v>
      </c>
      <c r="AM133" s="24" t="s">
        <v>11223</v>
      </c>
      <c r="AN133" s="29">
        <v>5000</v>
      </c>
      <c r="AO133" s="24" t="s">
        <v>11325</v>
      </c>
      <c r="AP133" s="29">
        <v>10000</v>
      </c>
      <c r="AQ133" s="184" t="s">
        <v>11481</v>
      </c>
      <c r="AR133" s="29"/>
      <c r="AS133" s="24"/>
      <c r="AT133" s="104">
        <v>165000</v>
      </c>
      <c r="AU133" s="24" t="s">
        <v>11386</v>
      </c>
      <c r="AV133" s="29">
        <v>43912.4</v>
      </c>
      <c r="AW133" s="24" t="s">
        <v>11443</v>
      </c>
      <c r="AX133" s="29">
        <v>1169</v>
      </c>
      <c r="AY133" s="24" t="s">
        <v>11534</v>
      </c>
      <c r="AZ133" s="29">
        <v>297400</v>
      </c>
      <c r="BA133" s="24" t="s">
        <v>11580</v>
      </c>
      <c r="BB133" s="29">
        <v>58000</v>
      </c>
      <c r="BC133" s="24" t="s">
        <v>11644</v>
      </c>
      <c r="BD133" s="29">
        <v>6005.6</v>
      </c>
      <c r="BE133" s="24" t="s">
        <v>11710</v>
      </c>
      <c r="BF133" s="30"/>
      <c r="BG133" s="15"/>
      <c r="BH133" s="96"/>
      <c r="BI133" s="26"/>
      <c r="BJ133" s="72"/>
      <c r="BK133" s="24"/>
      <c r="BL133" s="72"/>
      <c r="BM133" s="24"/>
      <c r="BN133" s="72"/>
      <c r="BO133" s="24"/>
      <c r="BP133" s="72"/>
      <c r="BQ133" s="24"/>
      <c r="BR133" s="72"/>
      <c r="BS133" s="24"/>
      <c r="BT133" s="72"/>
      <c r="BU133" s="24"/>
      <c r="BV133" s="72"/>
      <c r="BW133" s="24"/>
      <c r="BX133" s="72"/>
      <c r="BY133" s="24"/>
      <c r="BZ133" s="72"/>
      <c r="CA133" s="24"/>
      <c r="CB133" s="72"/>
      <c r="CC133" s="24"/>
      <c r="CD133" s="72"/>
      <c r="CE133" s="24"/>
      <c r="CF133" s="72"/>
      <c r="CG133" s="24"/>
      <c r="CH133" s="72"/>
      <c r="CI133" s="24"/>
      <c r="CJ133" s="72"/>
      <c r="CK133" s="24"/>
      <c r="CL133" s="72"/>
      <c r="CM133" s="24"/>
      <c r="CN133" s="72"/>
      <c r="CO133" s="24"/>
      <c r="CP133" s="72"/>
    </row>
    <row r="134" spans="1:94" x14ac:dyDescent="0.25">
      <c r="A134" s="45"/>
      <c r="B134" s="183">
        <v>2500</v>
      </c>
      <c r="C134" s="153" t="s">
        <v>10509</v>
      </c>
      <c r="D134" s="96">
        <v>3586.59</v>
      </c>
      <c r="E134" s="15" t="s">
        <v>10569</v>
      </c>
      <c r="F134" s="97">
        <f>+F132+F133</f>
        <v>25953.42</v>
      </c>
      <c r="G134" s="24"/>
      <c r="H134" s="29">
        <v>11269.29</v>
      </c>
      <c r="I134" s="24" t="s">
        <v>10657</v>
      </c>
      <c r="J134" s="29">
        <v>1950</v>
      </c>
      <c r="K134" s="24" t="s">
        <v>10655</v>
      </c>
      <c r="L134" s="29">
        <v>3320</v>
      </c>
      <c r="M134" s="24" t="s">
        <v>10694</v>
      </c>
      <c r="N134" s="29">
        <v>50161.15</v>
      </c>
      <c r="O134" s="24" t="s">
        <v>10783</v>
      </c>
      <c r="P134" s="29">
        <v>2040</v>
      </c>
      <c r="Q134" s="24" t="s">
        <v>10863</v>
      </c>
      <c r="R134" s="29"/>
      <c r="S134" s="24"/>
      <c r="T134" s="29">
        <v>2528.87</v>
      </c>
      <c r="U134" s="24" t="s">
        <v>10884</v>
      </c>
      <c r="V134" s="29">
        <v>54000</v>
      </c>
      <c r="W134" s="24" t="s">
        <v>10921</v>
      </c>
      <c r="X134" s="29">
        <v>1970</v>
      </c>
      <c r="Y134" s="24" t="s">
        <v>10951</v>
      </c>
      <c r="Z134" s="101">
        <v>5000</v>
      </c>
      <c r="AA134" s="57" t="s">
        <v>10962</v>
      </c>
      <c r="AB134" s="29">
        <v>16524.810000000001</v>
      </c>
      <c r="AC134" s="24" t="s">
        <v>11102</v>
      </c>
      <c r="AD134" s="29"/>
      <c r="AE134" s="15"/>
      <c r="AF134" s="29">
        <v>1000</v>
      </c>
      <c r="AG134" s="85" t="s">
        <v>11172</v>
      </c>
      <c r="AH134" s="97">
        <f>+AH132+AH133</f>
        <v>22500</v>
      </c>
      <c r="AI134" s="24"/>
      <c r="AJ134" s="29">
        <v>2680.77</v>
      </c>
      <c r="AK134" s="85" t="s">
        <v>11206</v>
      </c>
      <c r="AL134" s="97">
        <f>+AL132+AL133</f>
        <v>110832</v>
      </c>
      <c r="AM134" s="24"/>
      <c r="AN134" s="29">
        <v>5000</v>
      </c>
      <c r="AO134" s="24" t="s">
        <v>11326</v>
      </c>
      <c r="AP134" s="29">
        <v>541804</v>
      </c>
      <c r="AQ134" s="184" t="s">
        <v>11482</v>
      </c>
      <c r="AR134" s="29"/>
      <c r="AS134" s="24"/>
      <c r="AT134" s="94">
        <v>30000</v>
      </c>
      <c r="AU134" s="24" t="s">
        <v>11387</v>
      </c>
      <c r="AV134" s="29">
        <v>395900</v>
      </c>
      <c r="AW134" s="24" t="s">
        <v>11444</v>
      </c>
      <c r="AX134" s="96">
        <v>43457.46</v>
      </c>
      <c r="AY134" s="15" t="s">
        <v>11528</v>
      </c>
      <c r="AZ134" s="122">
        <v>2040</v>
      </c>
      <c r="BA134" s="24" t="s">
        <v>11591</v>
      </c>
      <c r="BB134" s="29">
        <v>118773.21</v>
      </c>
      <c r="BC134" s="24" t="s">
        <v>11648</v>
      </c>
      <c r="BD134" s="29">
        <v>2900</v>
      </c>
      <c r="BE134" s="24" t="s">
        <v>11712</v>
      </c>
      <c r="BF134" s="101"/>
      <c r="BG134" s="57"/>
      <c r="BH134" s="122"/>
      <c r="BI134" s="24"/>
      <c r="BJ134" s="72"/>
      <c r="BK134" s="24"/>
      <c r="BL134" s="72"/>
      <c r="BM134" s="24"/>
      <c r="BN134" s="72"/>
      <c r="BO134" s="24"/>
      <c r="BP134" s="72"/>
      <c r="BQ134" s="24"/>
      <c r="BR134" s="72"/>
      <c r="BS134" s="24"/>
      <c r="BT134" s="72"/>
      <c r="BU134" s="24"/>
      <c r="BV134" s="72"/>
      <c r="BW134" s="24"/>
      <c r="BX134" s="72"/>
      <c r="BY134" s="24"/>
      <c r="BZ134" s="72"/>
      <c r="CA134" s="24"/>
      <c r="CB134" s="72"/>
      <c r="CC134" s="24"/>
      <c r="CD134" s="72"/>
      <c r="CE134" s="24"/>
      <c r="CF134" s="72"/>
      <c r="CG134" s="24"/>
      <c r="CH134" s="72"/>
      <c r="CI134" s="24"/>
      <c r="CJ134" s="72"/>
      <c r="CK134" s="24"/>
      <c r="CL134" s="72"/>
      <c r="CM134" s="24"/>
      <c r="CN134" s="72"/>
      <c r="CO134" s="24"/>
      <c r="CP134" s="72"/>
    </row>
    <row r="135" spans="1:94" x14ac:dyDescent="0.25">
      <c r="A135" s="45"/>
      <c r="B135" s="29">
        <v>1664.63</v>
      </c>
      <c r="C135" s="24" t="s">
        <v>10510</v>
      </c>
      <c r="D135" s="97">
        <f>+SUM(D132:D134)</f>
        <v>6395.59</v>
      </c>
      <c r="E135" s="24"/>
      <c r="F135" s="122"/>
      <c r="G135" s="24"/>
      <c r="H135" s="29">
        <v>648000</v>
      </c>
      <c r="I135" s="24" t="s">
        <v>10659</v>
      </c>
      <c r="J135" s="97">
        <f>+SUM(J132:J134)</f>
        <v>191342</v>
      </c>
      <c r="K135" s="24"/>
      <c r="L135" s="29">
        <v>8707.57</v>
      </c>
      <c r="M135" s="24" t="s">
        <v>10695</v>
      </c>
      <c r="N135" s="29">
        <v>6507.37</v>
      </c>
      <c r="O135" s="24" t="s">
        <v>10784</v>
      </c>
      <c r="P135" s="29">
        <v>1970</v>
      </c>
      <c r="Q135" s="24" t="s">
        <v>10867</v>
      </c>
      <c r="R135" s="94"/>
      <c r="S135" s="24"/>
      <c r="T135" s="97">
        <f>+SUM(T132:T134)</f>
        <v>169128.87</v>
      </c>
      <c r="U135" s="24"/>
      <c r="V135" s="29">
        <v>26888.37</v>
      </c>
      <c r="W135" s="24" t="s">
        <v>10923</v>
      </c>
      <c r="X135" s="29">
        <v>1969.68</v>
      </c>
      <c r="Y135" s="24" t="s">
        <v>10958</v>
      </c>
      <c r="Z135" s="31">
        <v>200000</v>
      </c>
      <c r="AA135" s="24" t="s">
        <v>10963</v>
      </c>
      <c r="AB135" s="29">
        <v>3320</v>
      </c>
      <c r="AC135" s="24" t="s">
        <v>11106</v>
      </c>
      <c r="AD135" s="94"/>
      <c r="AE135" s="85"/>
      <c r="AF135" s="29">
        <v>425000</v>
      </c>
      <c r="AG135" s="85" t="s">
        <v>11176</v>
      </c>
      <c r="AH135" s="94"/>
      <c r="AI135" s="24"/>
      <c r="AJ135" s="97">
        <f>+SUM(AJ132:AJ134)</f>
        <v>6903.01</v>
      </c>
      <c r="AK135" s="85"/>
      <c r="AL135" s="29"/>
      <c r="AM135" s="24"/>
      <c r="AN135" s="29">
        <v>50000</v>
      </c>
      <c r="AO135" s="24" t="s">
        <v>11327</v>
      </c>
      <c r="AP135" s="29">
        <v>158000</v>
      </c>
      <c r="AQ135" s="184" t="s">
        <v>11484</v>
      </c>
      <c r="AR135" s="30"/>
      <c r="AS135" s="15"/>
      <c r="AT135" s="94">
        <v>475200</v>
      </c>
      <c r="AU135" s="24" t="s">
        <v>11389</v>
      </c>
      <c r="AV135" s="96">
        <v>10961</v>
      </c>
      <c r="AW135" s="15" t="s">
        <v>11445</v>
      </c>
      <c r="AX135" s="242">
        <f>+SUM(AX132:AX134)</f>
        <v>45190.46</v>
      </c>
      <c r="AY135" s="15"/>
      <c r="AZ135" s="96">
        <v>3169</v>
      </c>
      <c r="BA135" s="15" t="s">
        <v>11594</v>
      </c>
      <c r="BB135" s="29">
        <v>23300</v>
      </c>
      <c r="BC135" s="24" t="s">
        <v>11649</v>
      </c>
      <c r="BD135" s="29">
        <v>80000</v>
      </c>
      <c r="BE135" s="24" t="s">
        <v>11713</v>
      </c>
      <c r="BF135" s="104"/>
      <c r="BG135" s="24"/>
      <c r="BH135" s="122"/>
      <c r="BI135" s="24"/>
      <c r="BJ135" s="24"/>
      <c r="BK135" s="24"/>
      <c r="BL135" s="72"/>
      <c r="BM135" s="24"/>
      <c r="BN135" s="72"/>
      <c r="BO135" s="24"/>
      <c r="BP135" s="72"/>
      <c r="BQ135" s="24"/>
      <c r="BR135" s="72"/>
      <c r="BS135" s="24"/>
      <c r="BT135" s="72"/>
      <c r="BU135" s="24"/>
      <c r="BV135" s="72"/>
      <c r="BW135" s="24"/>
      <c r="BX135" s="72"/>
      <c r="BY135" s="24"/>
      <c r="BZ135" s="72"/>
      <c r="CA135" s="24"/>
      <c r="CB135" s="72"/>
      <c r="CC135" s="24"/>
      <c r="CD135" s="72"/>
      <c r="CE135" s="24"/>
      <c r="CF135" s="72"/>
      <c r="CG135" s="24"/>
      <c r="CH135" s="72"/>
      <c r="CI135" s="24"/>
      <c r="CJ135" s="72"/>
      <c r="CK135" s="24"/>
      <c r="CL135" s="72"/>
      <c r="CM135" s="24"/>
      <c r="CN135" s="72"/>
      <c r="CO135" s="24"/>
      <c r="CP135" s="72"/>
    </row>
    <row r="136" spans="1:94" x14ac:dyDescent="0.25">
      <c r="A136" s="45"/>
      <c r="B136" s="29">
        <v>95000</v>
      </c>
      <c r="C136" s="24" t="s">
        <v>10511</v>
      </c>
      <c r="D136" s="29"/>
      <c r="E136" s="24"/>
      <c r="F136" s="122">
        <v>215000</v>
      </c>
      <c r="G136" s="24" t="s">
        <v>10602</v>
      </c>
      <c r="H136" s="96">
        <v>8175.73</v>
      </c>
      <c r="I136" s="26" t="s">
        <v>10660</v>
      </c>
      <c r="J136" s="29"/>
      <c r="K136" s="24"/>
      <c r="L136" s="29">
        <v>1169</v>
      </c>
      <c r="M136" s="24" t="s">
        <v>10696</v>
      </c>
      <c r="N136" s="29">
        <v>30319.82</v>
      </c>
      <c r="O136" s="24" t="s">
        <v>10785</v>
      </c>
      <c r="P136" s="97">
        <f>+SUM(P132:P135)</f>
        <v>18653.75</v>
      </c>
      <c r="Q136" s="24"/>
      <c r="R136" s="29"/>
      <c r="S136" s="24"/>
      <c r="T136" s="29"/>
      <c r="U136" s="24"/>
      <c r="V136" s="29">
        <v>181000</v>
      </c>
      <c r="W136" s="24" t="s">
        <v>10924</v>
      </c>
      <c r="X136" s="97">
        <f>+SUM(X132:X135)</f>
        <v>27062.239999999998</v>
      </c>
      <c r="Y136" s="24"/>
      <c r="Z136" s="31">
        <v>80000</v>
      </c>
      <c r="AA136" s="24" t="s">
        <v>10964</v>
      </c>
      <c r="AB136" s="29">
        <v>1970</v>
      </c>
      <c r="AC136" s="24" t="s">
        <v>11108</v>
      </c>
      <c r="AD136" s="29"/>
      <c r="AE136" s="85"/>
      <c r="AF136" s="29">
        <v>320000</v>
      </c>
      <c r="AG136" s="85" t="s">
        <v>11177</v>
      </c>
      <c r="AH136" s="29">
        <v>158300</v>
      </c>
      <c r="AI136" s="72" t="s">
        <v>11225</v>
      </c>
      <c r="AJ136" s="29"/>
      <c r="AK136" s="85"/>
      <c r="AL136" s="29">
        <v>5000</v>
      </c>
      <c r="AM136" s="24" t="s">
        <v>11295</v>
      </c>
      <c r="AN136" s="96">
        <v>20112.439999999999</v>
      </c>
      <c r="AO136" s="26" t="s">
        <v>11334</v>
      </c>
      <c r="AP136" s="29">
        <v>1970</v>
      </c>
      <c r="AQ136" s="184" t="s">
        <v>11493</v>
      </c>
      <c r="AR136" s="30"/>
      <c r="AS136" s="15"/>
      <c r="AT136" s="29">
        <v>35000</v>
      </c>
      <c r="AU136" s="24" t="s">
        <v>11392</v>
      </c>
      <c r="AV136" s="96">
        <v>218000.01</v>
      </c>
      <c r="AW136" s="15" t="s">
        <v>11448</v>
      </c>
      <c r="AX136" s="94"/>
      <c r="AY136" s="24"/>
      <c r="AZ136" s="97">
        <f>+SUM(AZ132:AZ135)</f>
        <v>327109</v>
      </c>
      <c r="BA136" s="24"/>
      <c r="BB136" s="29">
        <v>5000</v>
      </c>
      <c r="BC136" s="24" t="s">
        <v>11651</v>
      </c>
      <c r="BD136" s="97">
        <f>+SUM(BD132:BD135)</f>
        <v>303905.59999999998</v>
      </c>
      <c r="BE136" s="24"/>
      <c r="BF136" s="104"/>
      <c r="BG136" s="24"/>
      <c r="BH136" s="183"/>
      <c r="BI136" s="120"/>
      <c r="BJ136" s="24"/>
      <c r="BK136" s="24"/>
      <c r="BL136" s="72"/>
      <c r="BM136" s="24"/>
      <c r="BN136" s="24"/>
      <c r="BO136" s="24"/>
      <c r="BP136" s="72"/>
      <c r="BQ136" s="24"/>
      <c r="BR136" s="72"/>
      <c r="BS136" s="24"/>
      <c r="BT136" s="72"/>
      <c r="BU136" s="24"/>
      <c r="BV136" s="72"/>
      <c r="BW136" s="24"/>
      <c r="BX136" s="72"/>
      <c r="BY136" s="24"/>
      <c r="BZ136" s="72"/>
      <c r="CA136" s="24"/>
      <c r="CB136" s="72"/>
      <c r="CC136" s="24"/>
      <c r="CD136" s="72"/>
      <c r="CE136" s="24"/>
      <c r="CF136" s="72"/>
      <c r="CG136" s="24"/>
      <c r="CH136" s="72"/>
      <c r="CI136" s="24"/>
      <c r="CJ136" s="72"/>
      <c r="CK136" s="24"/>
      <c r="CL136" s="72"/>
      <c r="CM136" s="24"/>
      <c r="CN136" s="72"/>
      <c r="CO136" s="24"/>
      <c r="CP136" s="72"/>
    </row>
    <row r="137" spans="1:94" x14ac:dyDescent="0.25">
      <c r="A137" s="45"/>
      <c r="B137" s="128">
        <v>3194.87</v>
      </c>
      <c r="C137" s="153" t="s">
        <v>10512</v>
      </c>
      <c r="D137" s="29"/>
      <c r="E137" s="24"/>
      <c r="F137" s="122">
        <v>73728.59</v>
      </c>
      <c r="G137" s="24" t="s">
        <v>10607</v>
      </c>
      <c r="H137" s="29">
        <v>36657.800000000003</v>
      </c>
      <c r="I137" s="24" t="s">
        <v>10661</v>
      </c>
      <c r="J137" s="260">
        <v>150000</v>
      </c>
      <c r="K137" s="24" t="s">
        <v>10707</v>
      </c>
      <c r="L137" s="29">
        <v>1099</v>
      </c>
      <c r="M137" s="24" t="s">
        <v>10697</v>
      </c>
      <c r="N137" s="96">
        <v>100000</v>
      </c>
      <c r="O137" s="26" t="s">
        <v>10787</v>
      </c>
      <c r="P137" s="94"/>
      <c r="Q137" s="24"/>
      <c r="R137" s="29"/>
      <c r="S137" s="24"/>
      <c r="T137" s="30">
        <v>8636</v>
      </c>
      <c r="U137" s="15" t="s">
        <v>10894</v>
      </c>
      <c r="V137" s="94">
        <v>3129.39</v>
      </c>
      <c r="W137" s="24" t="s">
        <v>10927</v>
      </c>
      <c r="X137" s="29"/>
      <c r="Y137" s="24"/>
      <c r="Z137" s="183">
        <v>91091</v>
      </c>
      <c r="AA137" s="24" t="s">
        <v>10966</v>
      </c>
      <c r="AB137" s="29">
        <v>4216</v>
      </c>
      <c r="AC137" s="24" t="s">
        <v>11112</v>
      </c>
      <c r="AD137" s="94"/>
      <c r="AE137" s="85"/>
      <c r="AF137" s="29">
        <v>60000</v>
      </c>
      <c r="AG137" s="85" t="s">
        <v>11178</v>
      </c>
      <c r="AH137" s="29">
        <v>232500</v>
      </c>
      <c r="AI137" s="72" t="s">
        <v>11228</v>
      </c>
      <c r="AJ137" s="29">
        <v>91204.23</v>
      </c>
      <c r="AK137" s="85" t="s">
        <v>11259</v>
      </c>
      <c r="AL137" s="98">
        <v>330000</v>
      </c>
      <c r="AM137" s="24" t="s">
        <v>11296</v>
      </c>
      <c r="AN137" s="29">
        <v>1099</v>
      </c>
      <c r="AO137" s="24" t="s">
        <v>11335</v>
      </c>
      <c r="AP137" s="29">
        <v>1099</v>
      </c>
      <c r="AQ137" s="184" t="s">
        <v>11507</v>
      </c>
      <c r="AR137" s="29"/>
      <c r="AS137" s="24"/>
      <c r="AT137" s="29">
        <v>220000</v>
      </c>
      <c r="AU137" s="24" t="s">
        <v>11393</v>
      </c>
      <c r="AV137" s="94">
        <v>171801.37</v>
      </c>
      <c r="AW137" s="24" t="s">
        <v>11449</v>
      </c>
      <c r="AX137" s="29">
        <v>95000</v>
      </c>
      <c r="AY137" s="24" t="s">
        <v>11542</v>
      </c>
      <c r="AZ137" s="29"/>
      <c r="BA137" s="24"/>
      <c r="BB137" s="29">
        <v>5000</v>
      </c>
      <c r="BC137" s="24" t="s">
        <v>11652</v>
      </c>
      <c r="BD137" s="29"/>
      <c r="BE137" s="24"/>
      <c r="BF137" s="146"/>
      <c r="BG137" s="24"/>
      <c r="BH137" s="183"/>
      <c r="BI137" s="120"/>
      <c r="BJ137" s="72"/>
      <c r="BK137" s="24"/>
      <c r="BL137" s="72"/>
      <c r="BM137" s="24"/>
      <c r="BN137" s="72"/>
      <c r="BO137" s="24"/>
      <c r="BP137" s="72"/>
      <c r="BQ137" s="24"/>
      <c r="BR137" s="72"/>
      <c r="BS137" s="24"/>
      <c r="BT137" s="72"/>
      <c r="BU137" s="24"/>
      <c r="BV137" s="72"/>
      <c r="BW137" s="24"/>
      <c r="BX137" s="72"/>
      <c r="BY137" s="24"/>
      <c r="BZ137" s="72"/>
      <c r="CA137" s="24"/>
      <c r="CB137" s="72"/>
      <c r="CC137" s="24"/>
      <c r="CD137" s="72"/>
      <c r="CE137" s="24"/>
      <c r="CF137" s="72"/>
      <c r="CG137" s="24"/>
      <c r="CH137" s="72"/>
      <c r="CI137" s="24"/>
      <c r="CJ137" s="72"/>
      <c r="CK137" s="24"/>
      <c r="CL137" s="72"/>
      <c r="CM137" s="24"/>
      <c r="CN137" s="72"/>
      <c r="CO137" s="24"/>
      <c r="CP137" s="72"/>
    </row>
    <row r="138" spans="1:94" x14ac:dyDescent="0.25">
      <c r="A138" s="45"/>
      <c r="B138" s="183">
        <v>8432.0300000000007</v>
      </c>
      <c r="C138" s="153" t="s">
        <v>10513</v>
      </c>
      <c r="D138" s="29"/>
      <c r="E138" s="24"/>
      <c r="F138" s="122">
        <v>9403.99</v>
      </c>
      <c r="G138" s="24" t="s">
        <v>10608</v>
      </c>
      <c r="H138" s="29">
        <v>33731.29</v>
      </c>
      <c r="I138" s="24" t="s">
        <v>10662</v>
      </c>
      <c r="J138" s="96">
        <v>45000</v>
      </c>
      <c r="K138" s="15" t="s">
        <v>10708</v>
      </c>
      <c r="L138" s="29">
        <v>1169</v>
      </c>
      <c r="M138" s="24" t="s">
        <v>10699</v>
      </c>
      <c r="N138" s="122">
        <v>200</v>
      </c>
      <c r="O138" s="24" t="s">
        <v>10788</v>
      </c>
      <c r="P138" s="29"/>
      <c r="Q138" s="24"/>
      <c r="R138" s="29"/>
      <c r="S138" s="24"/>
      <c r="T138" s="29">
        <v>10692.98</v>
      </c>
      <c r="U138" s="24" t="s">
        <v>10895</v>
      </c>
      <c r="V138" s="122">
        <v>1099</v>
      </c>
      <c r="W138" s="24" t="s">
        <v>10929</v>
      </c>
      <c r="X138" s="122">
        <v>629800</v>
      </c>
      <c r="Y138" s="24" t="s">
        <v>11030</v>
      </c>
      <c r="Z138" s="183">
        <v>65589.429999999993</v>
      </c>
      <c r="AA138" s="24" t="s">
        <v>10970</v>
      </c>
      <c r="AB138" s="97">
        <f>+SUM(AB132:AB137)</f>
        <v>66030.81</v>
      </c>
      <c r="AC138" s="24"/>
      <c r="AD138" s="94"/>
      <c r="AE138" s="85"/>
      <c r="AF138" s="97">
        <f>+SUM(AF134:AF137)</f>
        <v>806000</v>
      </c>
      <c r="AG138" s="85"/>
      <c r="AH138" s="29">
        <v>110000</v>
      </c>
      <c r="AI138" s="24" t="s">
        <v>11231</v>
      </c>
      <c r="AJ138" s="96">
        <v>220000</v>
      </c>
      <c r="AK138" s="15" t="s">
        <v>11263</v>
      </c>
      <c r="AL138" s="29">
        <v>8000</v>
      </c>
      <c r="AM138" s="24" t="s">
        <v>11297</v>
      </c>
      <c r="AN138" s="96">
        <v>1970</v>
      </c>
      <c r="AO138" s="26" t="s">
        <v>11336</v>
      </c>
      <c r="AP138" s="122">
        <v>6260</v>
      </c>
      <c r="AQ138" s="184" t="s">
        <v>11509</v>
      </c>
      <c r="AR138" s="29"/>
      <c r="AS138" s="24"/>
      <c r="AT138" s="94">
        <v>55028</v>
      </c>
      <c r="AU138" s="24" t="s">
        <v>11397</v>
      </c>
      <c r="AV138" s="96">
        <v>150000</v>
      </c>
      <c r="AW138" s="15" t="s">
        <v>11450</v>
      </c>
      <c r="AX138" s="96">
        <v>95000</v>
      </c>
      <c r="AY138" s="15" t="s">
        <v>11543</v>
      </c>
      <c r="AZ138" s="29">
        <v>8190.78</v>
      </c>
      <c r="BA138" s="24" t="s">
        <v>11598</v>
      </c>
      <c r="BB138" s="30">
        <v>5000</v>
      </c>
      <c r="BC138" s="15" t="s">
        <v>11653</v>
      </c>
      <c r="BD138" s="29"/>
      <c r="BE138" s="24"/>
      <c r="BF138" s="30"/>
      <c r="BG138" s="24"/>
      <c r="BH138" s="208"/>
      <c r="BI138" s="120"/>
      <c r="BJ138" s="72"/>
      <c r="BK138" s="24"/>
      <c r="BL138" s="24"/>
      <c r="BM138" s="24"/>
      <c r="BN138" s="72"/>
      <c r="BO138" s="24"/>
      <c r="BP138" s="72"/>
      <c r="BQ138" s="24"/>
      <c r="BR138" s="72"/>
      <c r="BS138" s="24"/>
      <c r="BT138" s="72"/>
      <c r="BU138" s="24"/>
      <c r="BV138" s="72"/>
      <c r="BW138" s="24"/>
      <c r="BX138" s="72"/>
      <c r="BY138" s="24"/>
      <c r="BZ138" s="72"/>
      <c r="CA138" s="24"/>
      <c r="CB138" s="72"/>
      <c r="CC138" s="24"/>
      <c r="CD138" s="72"/>
      <c r="CE138" s="24"/>
      <c r="CF138" s="72"/>
      <c r="CG138" s="24"/>
      <c r="CH138" s="72"/>
      <c r="CI138" s="24"/>
      <c r="CJ138" s="72"/>
      <c r="CK138" s="24"/>
      <c r="CL138" s="72"/>
      <c r="CM138" s="24"/>
      <c r="CN138" s="72"/>
      <c r="CO138" s="24"/>
      <c r="CP138" s="72"/>
    </row>
    <row r="139" spans="1:94" x14ac:dyDescent="0.25">
      <c r="A139" s="45"/>
      <c r="B139" s="221">
        <f>+SUM(B132:B138)</f>
        <v>474759.58</v>
      </c>
      <c r="C139" s="153"/>
      <c r="D139" s="104"/>
      <c r="E139" s="24"/>
      <c r="F139" s="122">
        <v>18604.830000000002</v>
      </c>
      <c r="G139" s="24" t="s">
        <v>10609</v>
      </c>
      <c r="H139" s="29">
        <v>98629.65</v>
      </c>
      <c r="I139" s="24" t="s">
        <v>10663</v>
      </c>
      <c r="J139" s="122">
        <v>64943.1</v>
      </c>
      <c r="K139" s="24" t="s">
        <v>10710</v>
      </c>
      <c r="L139" s="97">
        <f>+SUM(L132:L138)</f>
        <v>136556.71</v>
      </c>
      <c r="M139" s="24"/>
      <c r="N139" s="122">
        <v>5291</v>
      </c>
      <c r="O139" s="24" t="s">
        <v>10793</v>
      </c>
      <c r="P139" s="29"/>
      <c r="Q139" s="24"/>
      <c r="R139" s="29"/>
      <c r="S139" s="24"/>
      <c r="T139" s="29">
        <v>118675.99</v>
      </c>
      <c r="U139" s="24" t="s">
        <v>10896</v>
      </c>
      <c r="V139" s="122">
        <v>1995.1</v>
      </c>
      <c r="W139" s="24" t="s">
        <v>10930</v>
      </c>
      <c r="X139" s="122">
        <v>351300</v>
      </c>
      <c r="Y139" s="24" t="s">
        <v>11034</v>
      </c>
      <c r="Z139" s="183">
        <v>9890.83</v>
      </c>
      <c r="AA139" s="24" t="s">
        <v>10971</v>
      </c>
      <c r="AB139" s="29"/>
      <c r="AC139" s="24"/>
      <c r="AD139" s="29"/>
      <c r="AE139" s="85"/>
      <c r="AF139" s="29"/>
      <c r="AG139" s="85"/>
      <c r="AH139" s="29">
        <v>464.01</v>
      </c>
      <c r="AI139" s="24" t="s">
        <v>11235</v>
      </c>
      <c r="AJ139" s="29">
        <v>38552.14</v>
      </c>
      <c r="AK139" s="85" t="s">
        <v>11266</v>
      </c>
      <c r="AL139" s="29">
        <v>2000</v>
      </c>
      <c r="AM139" s="24" t="s">
        <v>11298</v>
      </c>
      <c r="AN139" s="96">
        <v>9355.2800000000007</v>
      </c>
      <c r="AO139" s="26" t="s">
        <v>11339</v>
      </c>
      <c r="AP139" s="227">
        <v>251000</v>
      </c>
      <c r="AQ139" s="120" t="s">
        <v>11479</v>
      </c>
      <c r="AR139" s="29"/>
      <c r="AS139" s="24"/>
      <c r="AT139" s="29">
        <v>2065</v>
      </c>
      <c r="AU139" s="24" t="s">
        <v>11400</v>
      </c>
      <c r="AV139" s="105">
        <v>100000</v>
      </c>
      <c r="AW139" s="106" t="s">
        <v>11451</v>
      </c>
      <c r="AX139" s="96">
        <v>8669.75</v>
      </c>
      <c r="AY139" s="15" t="s">
        <v>11546</v>
      </c>
      <c r="AZ139" s="29">
        <v>16318.09</v>
      </c>
      <c r="BA139" s="24" t="s">
        <v>11599</v>
      </c>
      <c r="BB139" s="30">
        <v>3097</v>
      </c>
      <c r="BC139" s="24" t="s">
        <v>11659</v>
      </c>
      <c r="BD139" s="29"/>
      <c r="BE139" s="24"/>
      <c r="BF139" s="30"/>
      <c r="BG139" s="24"/>
      <c r="BH139" s="128"/>
      <c r="BI139" s="120"/>
      <c r="BJ139" s="72"/>
      <c r="BK139" s="24"/>
      <c r="BL139" s="72"/>
      <c r="BM139" s="24"/>
      <c r="BN139" s="72"/>
      <c r="BO139" s="24"/>
      <c r="BP139" s="72"/>
      <c r="BQ139" s="24"/>
      <c r="BR139" s="72"/>
      <c r="BS139" s="24"/>
      <c r="BT139" s="72"/>
      <c r="BU139" s="24"/>
      <c r="BV139" s="72"/>
      <c r="BW139" s="24"/>
      <c r="BX139" s="72"/>
      <c r="BY139" s="24"/>
      <c r="BZ139" s="72"/>
      <c r="CA139" s="24"/>
      <c r="CB139" s="72"/>
      <c r="CC139" s="24"/>
      <c r="CD139" s="72"/>
      <c r="CE139" s="24"/>
      <c r="CF139" s="72"/>
      <c r="CG139" s="24"/>
      <c r="CH139" s="72"/>
      <c r="CI139" s="24"/>
      <c r="CJ139" s="72"/>
      <c r="CK139" s="24"/>
      <c r="CL139" s="72"/>
      <c r="CM139" s="24"/>
      <c r="CN139" s="72"/>
      <c r="CO139" s="24"/>
      <c r="CP139" s="72"/>
    </row>
    <row r="140" spans="1:94" x14ac:dyDescent="0.25">
      <c r="A140" s="41"/>
      <c r="B140" s="183"/>
      <c r="C140" s="153"/>
      <c r="D140" s="98"/>
      <c r="E140" s="15"/>
      <c r="F140" s="122">
        <v>27502.16</v>
      </c>
      <c r="G140" s="24" t="s">
        <v>10610</v>
      </c>
      <c r="H140" s="30">
        <v>115405.65</v>
      </c>
      <c r="I140" s="15" t="s">
        <v>10664</v>
      </c>
      <c r="J140" s="29">
        <v>464</v>
      </c>
      <c r="K140" s="24" t="s">
        <v>10712</v>
      </c>
      <c r="L140" s="30"/>
      <c r="M140" s="15"/>
      <c r="N140" s="122">
        <v>1995</v>
      </c>
      <c r="O140" s="24" t="s">
        <v>10794</v>
      </c>
      <c r="P140" s="30"/>
      <c r="Q140" s="15"/>
      <c r="R140" s="29"/>
      <c r="S140" s="15"/>
      <c r="T140" s="30">
        <v>705</v>
      </c>
      <c r="U140" s="15" t="s">
        <v>10902</v>
      </c>
      <c r="V140" s="29">
        <v>1099</v>
      </c>
      <c r="W140" s="24" t="s">
        <v>10934</v>
      </c>
      <c r="X140" s="29">
        <v>10000</v>
      </c>
      <c r="Y140" s="24" t="s">
        <v>11035</v>
      </c>
      <c r="Z140" s="199">
        <v>2848</v>
      </c>
      <c r="AA140" s="24" t="s">
        <v>10976</v>
      </c>
      <c r="AB140" s="30">
        <v>32707.42</v>
      </c>
      <c r="AC140" s="15" t="s">
        <v>11124</v>
      </c>
      <c r="AD140" s="29"/>
      <c r="AE140" s="85"/>
      <c r="AF140" s="29"/>
      <c r="AG140" s="85"/>
      <c r="AH140" s="30">
        <v>6960</v>
      </c>
      <c r="AI140" s="15" t="s">
        <v>11239</v>
      </c>
      <c r="AJ140" s="30">
        <v>9981.7000000000007</v>
      </c>
      <c r="AK140" s="86" t="s">
        <v>11267</v>
      </c>
      <c r="AL140" s="30">
        <v>140000</v>
      </c>
      <c r="AM140" s="15" t="s">
        <v>11302</v>
      </c>
      <c r="AN140" s="30">
        <v>5097.75</v>
      </c>
      <c r="AO140" s="15" t="s">
        <v>11343</v>
      </c>
      <c r="AP140" s="156">
        <f>+SUM(AP132:AP139)</f>
        <v>1053133</v>
      </c>
      <c r="AQ140" s="120"/>
      <c r="AR140" s="30"/>
      <c r="AS140" s="15"/>
      <c r="AT140" s="29">
        <v>1169</v>
      </c>
      <c r="AU140" s="24" t="s">
        <v>11405</v>
      </c>
      <c r="AV140" s="96">
        <v>80145.41</v>
      </c>
      <c r="AW140" s="15" t="s">
        <v>11452</v>
      </c>
      <c r="AX140" s="96">
        <v>92775.43</v>
      </c>
      <c r="AY140" s="15" t="s">
        <v>11547</v>
      </c>
      <c r="AZ140" s="30">
        <v>5000</v>
      </c>
      <c r="BA140" s="15" t="s">
        <v>11601</v>
      </c>
      <c r="BB140" s="29">
        <f>3012.21-1392</f>
        <v>1620.21</v>
      </c>
      <c r="BC140" s="15" t="s">
        <v>11663</v>
      </c>
      <c r="BD140" s="30"/>
      <c r="BE140" s="15"/>
      <c r="BF140" s="30"/>
      <c r="BG140" s="15"/>
      <c r="BH140" s="183"/>
      <c r="BI140" s="127"/>
      <c r="BJ140" s="9"/>
      <c r="BK140" s="15"/>
      <c r="BL140" s="9"/>
      <c r="BM140" s="15"/>
      <c r="BN140" s="9"/>
      <c r="BO140" s="15"/>
      <c r="BP140" s="9"/>
      <c r="BQ140" s="15"/>
      <c r="BR140" s="9"/>
      <c r="BS140" s="15"/>
      <c r="BT140" s="9"/>
      <c r="BU140" s="15"/>
      <c r="BV140" s="9"/>
      <c r="BW140" s="15"/>
      <c r="BX140" s="9"/>
      <c r="BY140" s="15"/>
      <c r="BZ140" s="9"/>
      <c r="CA140" s="15"/>
      <c r="CB140" s="9"/>
      <c r="CC140" s="15"/>
      <c r="CD140" s="9"/>
      <c r="CE140" s="15"/>
      <c r="CF140" s="9"/>
      <c r="CG140" s="15"/>
      <c r="CH140" s="9"/>
      <c r="CI140" s="15"/>
      <c r="CJ140" s="9"/>
      <c r="CK140" s="15"/>
      <c r="CL140" s="9"/>
      <c r="CM140" s="15"/>
      <c r="CN140" s="9"/>
      <c r="CO140" s="15"/>
      <c r="CP140" s="9"/>
    </row>
    <row r="141" spans="1:94" x14ac:dyDescent="0.25">
      <c r="A141" s="45"/>
      <c r="B141" s="199">
        <v>120000</v>
      </c>
      <c r="C141" s="153" t="s">
        <v>10579</v>
      </c>
      <c r="D141" s="29"/>
      <c r="E141" s="24"/>
      <c r="F141" s="96">
        <v>35356.58</v>
      </c>
      <c r="G141" s="15" t="s">
        <v>10611</v>
      </c>
      <c r="H141" s="29">
        <v>488.33</v>
      </c>
      <c r="I141" s="24" t="s">
        <v>10667</v>
      </c>
      <c r="J141" s="29">
        <v>215000</v>
      </c>
      <c r="K141" s="24" t="s">
        <v>10713</v>
      </c>
      <c r="L141" s="30">
        <v>3239</v>
      </c>
      <c r="M141" s="24" t="s">
        <v>10761</v>
      </c>
      <c r="N141" s="96">
        <v>1169</v>
      </c>
      <c r="O141" s="15" t="s">
        <v>10795</v>
      </c>
      <c r="P141" s="96"/>
      <c r="Q141" s="15"/>
      <c r="R141" s="29"/>
      <c r="S141" s="15"/>
      <c r="T141" s="29">
        <v>2390</v>
      </c>
      <c r="U141" s="24" t="s">
        <v>10906</v>
      </c>
      <c r="V141" s="29">
        <v>3239</v>
      </c>
      <c r="W141" s="24" t="s">
        <v>10936</v>
      </c>
      <c r="X141" s="29">
        <v>1169</v>
      </c>
      <c r="Y141" s="24" t="s">
        <v>11051</v>
      </c>
      <c r="Z141" s="128">
        <v>3319.99</v>
      </c>
      <c r="AA141" s="24" t="s">
        <v>10986</v>
      </c>
      <c r="AB141" s="29">
        <v>51372.91</v>
      </c>
      <c r="AC141" s="24" t="s">
        <v>11127</v>
      </c>
      <c r="AD141" s="29"/>
      <c r="AE141" s="85"/>
      <c r="AF141" s="29"/>
      <c r="AG141" s="85"/>
      <c r="AH141" s="29">
        <v>1970</v>
      </c>
      <c r="AI141" s="24" t="s">
        <v>11246</v>
      </c>
      <c r="AJ141" s="29">
        <v>20143.79</v>
      </c>
      <c r="AK141" s="85" t="s">
        <v>11268</v>
      </c>
      <c r="AL141" s="29">
        <v>10000</v>
      </c>
      <c r="AM141" s="24" t="s">
        <v>11306</v>
      </c>
      <c r="AN141" s="200">
        <f>+SUM(AN132:AN140)</f>
        <v>102634.47</v>
      </c>
      <c r="AO141" s="24"/>
      <c r="AP141" s="122"/>
      <c r="AQ141" s="184"/>
      <c r="AR141" s="98"/>
      <c r="AS141" s="24"/>
      <c r="AT141" s="96">
        <v>1169</v>
      </c>
      <c r="AU141" s="15" t="s">
        <v>11406</v>
      </c>
      <c r="AV141" s="96">
        <v>58000</v>
      </c>
      <c r="AW141" s="15" t="s">
        <v>11453</v>
      </c>
      <c r="AX141" s="96">
        <v>3498.48</v>
      </c>
      <c r="AY141" s="15" t="s">
        <v>11549</v>
      </c>
      <c r="AZ141" s="29">
        <v>10150</v>
      </c>
      <c r="BA141" s="24" t="s">
        <v>11602</v>
      </c>
      <c r="BB141" s="97">
        <f>+SUM(BB132:BB140)</f>
        <v>319790.42000000004</v>
      </c>
      <c r="BC141" s="24"/>
      <c r="BD141" s="29"/>
      <c r="BE141" s="24"/>
      <c r="BF141" s="30"/>
      <c r="BG141" s="15"/>
      <c r="BH141" s="183"/>
      <c r="BI141" s="127"/>
      <c r="BJ141" s="72"/>
      <c r="BK141" s="24"/>
      <c r="BL141" s="72"/>
      <c r="BM141" s="24"/>
      <c r="BN141" s="72"/>
      <c r="BO141" s="24"/>
      <c r="BP141" s="72"/>
      <c r="BQ141" s="24"/>
      <c r="BR141" s="72"/>
      <c r="BS141" s="24"/>
      <c r="BT141" s="72"/>
      <c r="BU141" s="24"/>
      <c r="BV141" s="72"/>
      <c r="BW141" s="24"/>
      <c r="BX141" s="72"/>
      <c r="BY141" s="24"/>
      <c r="BZ141" s="72"/>
      <c r="CA141" s="24"/>
      <c r="CB141" s="72"/>
      <c r="CC141" s="24"/>
      <c r="CD141" s="72"/>
      <c r="CE141" s="24"/>
      <c r="CF141" s="72"/>
      <c r="CG141" s="24"/>
      <c r="CH141" s="72"/>
      <c r="CI141" s="24"/>
      <c r="CJ141" s="72"/>
      <c r="CK141" s="24"/>
      <c r="CL141" s="72"/>
      <c r="CM141" s="24"/>
      <c r="CN141" s="72"/>
      <c r="CO141" s="24"/>
      <c r="CP141" s="72"/>
    </row>
    <row r="142" spans="1:94" x14ac:dyDescent="0.25">
      <c r="A142" s="45"/>
      <c r="B142" s="183"/>
      <c r="C142" s="153"/>
      <c r="D142" s="29"/>
      <c r="E142" s="24"/>
      <c r="F142" s="122">
        <v>210226.71</v>
      </c>
      <c r="G142" s="24" t="s">
        <v>10612</v>
      </c>
      <c r="H142" s="29">
        <v>17662.98</v>
      </c>
      <c r="I142" s="24" t="s">
        <v>10687</v>
      </c>
      <c r="J142" s="29">
        <v>5717.92</v>
      </c>
      <c r="K142" s="24" t="s">
        <v>10718</v>
      </c>
      <c r="L142" s="30">
        <v>1995</v>
      </c>
      <c r="M142" s="24" t="s">
        <v>10763</v>
      </c>
      <c r="N142" s="96">
        <v>4395</v>
      </c>
      <c r="O142" s="15" t="s">
        <v>10793</v>
      </c>
      <c r="P142" s="29"/>
      <c r="Q142" s="24"/>
      <c r="R142" s="29"/>
      <c r="S142" s="24"/>
      <c r="T142" s="96">
        <v>1169</v>
      </c>
      <c r="U142" s="26" t="s">
        <v>10907</v>
      </c>
      <c r="V142" s="29">
        <v>1169</v>
      </c>
      <c r="W142" s="24" t="s">
        <v>10937</v>
      </c>
      <c r="X142" s="97">
        <f>+SUM(X138:X141)</f>
        <v>992269</v>
      </c>
      <c r="Y142" s="24"/>
      <c r="Z142" s="200">
        <f>+SUM(Z132:Z141)</f>
        <v>567739.24999999988</v>
      </c>
      <c r="AA142" s="24"/>
      <c r="AB142" s="29">
        <v>894.85</v>
      </c>
      <c r="AC142" s="24" t="s">
        <v>11128</v>
      </c>
      <c r="AD142" s="29"/>
      <c r="AE142" s="85"/>
      <c r="AF142" s="29"/>
      <c r="AG142" s="85"/>
      <c r="AH142" s="96">
        <v>6435.32</v>
      </c>
      <c r="AI142" s="26" t="s">
        <v>11237</v>
      </c>
      <c r="AJ142" s="29">
        <v>2454</v>
      </c>
      <c r="AK142" s="85" t="s">
        <v>11280</v>
      </c>
      <c r="AL142" s="29">
        <v>7342</v>
      </c>
      <c r="AM142" s="24" t="s">
        <v>11307</v>
      </c>
      <c r="AN142" s="29"/>
      <c r="AO142" s="24"/>
      <c r="AP142" s="29"/>
      <c r="AQ142" s="184"/>
      <c r="AR142" s="29"/>
      <c r="AS142" s="24"/>
      <c r="AT142" s="98">
        <v>2040</v>
      </c>
      <c r="AU142" s="15" t="s">
        <v>11408</v>
      </c>
      <c r="AV142" s="105">
        <v>4272.2299999999996</v>
      </c>
      <c r="AW142" s="106" t="s">
        <v>11463</v>
      </c>
      <c r="AX142" s="105">
        <v>195.5</v>
      </c>
      <c r="AY142" s="106" t="s">
        <v>11550</v>
      </c>
      <c r="AZ142" s="29">
        <v>10055</v>
      </c>
      <c r="BA142" s="24" t="s">
        <v>11603</v>
      </c>
      <c r="BB142" s="29"/>
      <c r="BC142" s="24"/>
      <c r="BD142" s="29"/>
      <c r="BE142" s="24"/>
      <c r="BF142" s="29"/>
      <c r="BG142" s="24"/>
      <c r="BH142" s="183"/>
      <c r="BI142" s="127"/>
      <c r="BJ142" s="72"/>
      <c r="BK142" s="24"/>
      <c r="BL142" s="72"/>
      <c r="BM142" s="24"/>
      <c r="BN142" s="72"/>
      <c r="BO142" s="24"/>
      <c r="BP142" s="72"/>
      <c r="BQ142" s="24"/>
      <c r="BR142" s="72"/>
      <c r="BS142" s="24"/>
      <c r="BT142" s="72"/>
      <c r="BU142" s="24"/>
      <c r="BV142" s="72"/>
      <c r="BW142" s="24"/>
      <c r="BX142" s="72"/>
      <c r="BY142" s="24"/>
      <c r="BZ142" s="72"/>
      <c r="CA142" s="24"/>
      <c r="CB142" s="72"/>
      <c r="CC142" s="24"/>
      <c r="CD142" s="72"/>
      <c r="CE142" s="24"/>
      <c r="CF142" s="72"/>
      <c r="CG142" s="24"/>
      <c r="CH142" s="72"/>
      <c r="CI142" s="24"/>
      <c r="CJ142" s="72"/>
      <c r="CK142" s="24"/>
      <c r="CL142" s="72"/>
      <c r="CM142" s="24"/>
      <c r="CN142" s="72"/>
      <c r="CO142" s="24"/>
      <c r="CP142" s="72"/>
    </row>
    <row r="143" spans="1:94" x14ac:dyDescent="0.25">
      <c r="A143" s="45"/>
      <c r="B143" s="183"/>
      <c r="C143" s="153"/>
      <c r="D143" s="94"/>
      <c r="E143" s="24"/>
      <c r="F143" s="122">
        <v>32000</v>
      </c>
      <c r="G143" s="24" t="s">
        <v>10616</v>
      </c>
      <c r="H143" s="97">
        <f>+SUM(H134:H142)</f>
        <v>970020.72000000009</v>
      </c>
      <c r="I143" s="24"/>
      <c r="J143" s="29">
        <v>10123.959999999999</v>
      </c>
      <c r="K143" s="24" t="s">
        <v>10719</v>
      </c>
      <c r="L143" s="100">
        <f>+L141+L142</f>
        <v>5234</v>
      </c>
      <c r="M143" s="24"/>
      <c r="N143" s="29">
        <v>1995.01</v>
      </c>
      <c r="O143" s="24" t="s">
        <v>10796</v>
      </c>
      <c r="P143" s="29"/>
      <c r="Q143" s="24"/>
      <c r="R143" s="29"/>
      <c r="S143" s="15"/>
      <c r="T143" s="96">
        <v>3320</v>
      </c>
      <c r="U143" s="24" t="s">
        <v>10909</v>
      </c>
      <c r="V143" s="148">
        <f>+SUM(V132:V142)</f>
        <v>375157.02999999997</v>
      </c>
      <c r="W143" s="24"/>
      <c r="X143" s="32"/>
      <c r="Y143" s="24"/>
      <c r="Z143" s="122"/>
      <c r="AA143" s="24"/>
      <c r="AB143" s="31">
        <v>5997.77</v>
      </c>
      <c r="AC143" s="24" t="s">
        <v>11133</v>
      </c>
      <c r="AD143" s="29"/>
      <c r="AE143" s="85"/>
      <c r="AF143" s="94"/>
      <c r="AG143" s="24"/>
      <c r="AH143" s="242">
        <f>+SUM(AH136:AH142)</f>
        <v>516629.33</v>
      </c>
      <c r="AI143" s="15"/>
      <c r="AJ143" s="29">
        <v>5739</v>
      </c>
      <c r="AK143" s="85" t="s">
        <v>11290</v>
      </c>
      <c r="AL143" s="29">
        <v>1970</v>
      </c>
      <c r="AM143" s="24" t="s">
        <v>11308</v>
      </c>
      <c r="AN143" s="94">
        <v>230000</v>
      </c>
      <c r="AO143" s="24" t="s">
        <v>11348</v>
      </c>
      <c r="AP143" s="29"/>
      <c r="AQ143" s="184"/>
      <c r="AR143" s="29"/>
      <c r="AS143" s="24"/>
      <c r="AT143" s="29">
        <v>3794.7</v>
      </c>
      <c r="AU143" s="24" t="s">
        <v>11416</v>
      </c>
      <c r="AV143" s="97">
        <f>+SUM(AV132:AV142)</f>
        <v>1427689.49</v>
      </c>
      <c r="AW143" s="108"/>
      <c r="AX143" s="105">
        <v>50000</v>
      </c>
      <c r="AY143" s="106" t="s">
        <v>11551</v>
      </c>
      <c r="AZ143" s="29">
        <v>609800</v>
      </c>
      <c r="BA143" s="24" t="s">
        <v>11605</v>
      </c>
      <c r="BB143" s="29">
        <v>204000</v>
      </c>
      <c r="BC143" s="24" t="s">
        <v>11671</v>
      </c>
      <c r="BD143" s="94"/>
      <c r="BE143" s="24"/>
      <c r="BF143" s="29"/>
      <c r="BG143" s="24"/>
      <c r="BH143" s="183"/>
      <c r="BI143" s="127"/>
      <c r="BJ143" s="72"/>
      <c r="BK143" s="24"/>
      <c r="BL143" s="72"/>
      <c r="BM143" s="24"/>
      <c r="BN143" s="72"/>
      <c r="BO143" s="24"/>
      <c r="BP143" s="72"/>
      <c r="BQ143" s="24"/>
      <c r="BR143" s="72"/>
      <c r="BS143" s="24"/>
      <c r="BT143" s="72"/>
      <c r="BU143" s="24"/>
      <c r="BV143" s="72"/>
      <c r="BW143" s="24"/>
      <c r="BX143" s="72"/>
      <c r="BY143" s="24"/>
      <c r="BZ143" s="72"/>
      <c r="CA143" s="24"/>
      <c r="CB143" s="72"/>
      <c r="CC143" s="24"/>
      <c r="CD143" s="72"/>
      <c r="CE143" s="24"/>
      <c r="CF143" s="72"/>
      <c r="CG143" s="24"/>
      <c r="CH143" s="72"/>
      <c r="CI143" s="24"/>
      <c r="CJ143" s="72"/>
      <c r="CK143" s="24"/>
      <c r="CL143" s="72"/>
      <c r="CM143" s="24"/>
      <c r="CN143" s="72"/>
      <c r="CO143" s="24"/>
      <c r="CP143" s="72"/>
    </row>
    <row r="144" spans="1:94" x14ac:dyDescent="0.25">
      <c r="A144" s="45"/>
      <c r="B144" s="183"/>
      <c r="C144" s="153"/>
      <c r="D144" s="29"/>
      <c r="E144" s="24"/>
      <c r="F144" s="122">
        <v>3250</v>
      </c>
      <c r="G144" s="24" t="s">
        <v>10618</v>
      </c>
      <c r="H144" s="29"/>
      <c r="I144" s="24"/>
      <c r="J144" s="31">
        <v>100000</v>
      </c>
      <c r="K144" s="15" t="s">
        <v>10721</v>
      </c>
      <c r="L144" s="30"/>
      <c r="M144" s="24"/>
      <c r="N144" s="29">
        <v>2040</v>
      </c>
      <c r="O144" s="24" t="s">
        <v>10802</v>
      </c>
      <c r="P144" s="29"/>
      <c r="Q144" s="24"/>
      <c r="R144" s="29"/>
      <c r="S144" s="24"/>
      <c r="T144" s="122">
        <v>2935.99</v>
      </c>
      <c r="U144" s="24" t="s">
        <v>10911</v>
      </c>
      <c r="V144" s="31"/>
      <c r="W144" s="24"/>
      <c r="X144" s="32"/>
      <c r="Y144" s="24"/>
      <c r="Z144" s="122">
        <v>232500</v>
      </c>
      <c r="AA144" s="24" t="s">
        <v>11060</v>
      </c>
      <c r="AB144" s="97">
        <f>+SUM(AB140:AB143)</f>
        <v>90972.950000000012</v>
      </c>
      <c r="AC144" s="24"/>
      <c r="AD144" s="31"/>
      <c r="AE144" s="85"/>
      <c r="AF144" s="29"/>
      <c r="AG144" s="24"/>
      <c r="AH144" s="96"/>
      <c r="AI144" s="15"/>
      <c r="AJ144" s="97">
        <f>+SUM(AJ137:AJ143)</f>
        <v>388074.86</v>
      </c>
      <c r="AK144" s="85"/>
      <c r="AL144" s="29">
        <v>3250</v>
      </c>
      <c r="AM144" s="24" t="s">
        <v>11311</v>
      </c>
      <c r="AN144" s="29">
        <v>18257.34</v>
      </c>
      <c r="AO144" s="24" t="s">
        <v>11349</v>
      </c>
      <c r="AP144" s="29"/>
      <c r="AQ144" s="184"/>
      <c r="AR144" s="29"/>
      <c r="AS144" s="24"/>
      <c r="AT144" s="96">
        <v>103358.13</v>
      </c>
      <c r="AU144" s="15" t="s">
        <v>11391</v>
      </c>
      <c r="AV144" s="30"/>
      <c r="AW144" s="106"/>
      <c r="AX144" s="105">
        <v>1169</v>
      </c>
      <c r="AY144" s="106" t="s">
        <v>11555</v>
      </c>
      <c r="AZ144" s="29">
        <v>609800</v>
      </c>
      <c r="BA144" s="24" t="s">
        <v>11606</v>
      </c>
      <c r="BB144" s="29">
        <v>1645</v>
      </c>
      <c r="BC144" s="24" t="s">
        <v>11672</v>
      </c>
      <c r="BD144" s="29"/>
      <c r="BE144" s="24"/>
      <c r="BF144" s="29"/>
      <c r="BG144" s="24"/>
      <c r="BH144" s="96"/>
      <c r="BI144" s="15"/>
      <c r="BJ144" s="72"/>
      <c r="BK144" s="24"/>
      <c r="BL144" s="72"/>
      <c r="BM144" s="24"/>
      <c r="BN144" s="72"/>
      <c r="BO144" s="24"/>
      <c r="BP144" s="72"/>
      <c r="BQ144" s="24"/>
      <c r="BR144" s="72"/>
      <c r="BS144" s="24"/>
      <c r="BT144" s="72"/>
      <c r="BU144" s="24"/>
      <c r="BV144" s="72"/>
      <c r="BW144" s="24"/>
      <c r="BX144" s="72"/>
      <c r="BY144" s="24"/>
      <c r="BZ144" s="72"/>
      <c r="CA144" s="24"/>
      <c r="CB144" s="72"/>
      <c r="CC144" s="24"/>
      <c r="CD144" s="72"/>
      <c r="CE144" s="24"/>
      <c r="CF144" s="72"/>
      <c r="CG144" s="24"/>
      <c r="CH144" s="72"/>
      <c r="CI144" s="24"/>
      <c r="CJ144" s="72"/>
      <c r="CK144" s="24"/>
      <c r="CL144" s="72"/>
      <c r="CM144" s="24"/>
      <c r="CN144" s="72"/>
      <c r="CO144" s="24"/>
      <c r="CP144" s="72"/>
    </row>
    <row r="145" spans="1:94" x14ac:dyDescent="0.25">
      <c r="A145" s="45"/>
      <c r="B145" s="183"/>
      <c r="C145" s="153"/>
      <c r="D145" s="29"/>
      <c r="E145" s="24"/>
      <c r="F145" s="122">
        <v>11609.72</v>
      </c>
      <c r="G145" s="24" t="s">
        <v>10626</v>
      </c>
      <c r="H145" s="31"/>
      <c r="I145" s="15"/>
      <c r="J145" s="101">
        <v>1970</v>
      </c>
      <c r="K145" s="57" t="s">
        <v>10735</v>
      </c>
      <c r="L145" s="29"/>
      <c r="M145" s="24"/>
      <c r="N145" s="29">
        <v>4465</v>
      </c>
      <c r="O145" s="24" t="s">
        <v>10805</v>
      </c>
      <c r="P145" s="31"/>
      <c r="Q145" s="24"/>
      <c r="R145" s="31"/>
      <c r="S145" s="24"/>
      <c r="T145" s="115">
        <f>+SUM(T137:T144)</f>
        <v>148524.96</v>
      </c>
      <c r="U145" s="24"/>
      <c r="V145" s="122">
        <v>332499.09000000003</v>
      </c>
      <c r="W145" s="24" t="s">
        <v>10991</v>
      </c>
      <c r="X145" s="29"/>
      <c r="Y145" s="24"/>
      <c r="Z145" s="94">
        <v>5000</v>
      </c>
      <c r="AA145" s="24" t="s">
        <v>11061</v>
      </c>
      <c r="AB145" s="29"/>
      <c r="AC145" s="24"/>
      <c r="AD145" s="31"/>
      <c r="AE145" s="85"/>
      <c r="AF145" s="29"/>
      <c r="AG145" s="24"/>
      <c r="AH145" s="29"/>
      <c r="AI145" s="24"/>
      <c r="AJ145" s="29"/>
      <c r="AK145" s="85"/>
      <c r="AL145" s="29">
        <v>1169</v>
      </c>
      <c r="AM145" s="24" t="s">
        <v>11312</v>
      </c>
      <c r="AN145" s="29">
        <v>29896.68</v>
      </c>
      <c r="AO145" s="24" t="s">
        <v>11350</v>
      </c>
      <c r="AP145" s="29"/>
      <c r="AQ145" s="184"/>
      <c r="AR145" s="29"/>
      <c r="AS145" s="24"/>
      <c r="AT145" s="96">
        <v>57306.91</v>
      </c>
      <c r="AU145" s="15" t="s">
        <v>11419</v>
      </c>
      <c r="AV145" s="29">
        <v>114285.36</v>
      </c>
      <c r="AW145" s="108" t="s">
        <v>11513</v>
      </c>
      <c r="AX145" s="97">
        <f>+SUM(AX137:AX144)</f>
        <v>346308.16</v>
      </c>
      <c r="AY145" s="108"/>
      <c r="AZ145" s="30">
        <v>619800</v>
      </c>
      <c r="BA145" s="24" t="s">
        <v>11607</v>
      </c>
      <c r="BB145" s="29">
        <v>47726.77</v>
      </c>
      <c r="BC145" s="24" t="s">
        <v>11673</v>
      </c>
      <c r="BD145" s="29"/>
      <c r="BE145" s="24"/>
      <c r="BF145" s="29"/>
      <c r="BG145" s="24"/>
      <c r="BH145" s="96"/>
      <c r="BI145" s="15"/>
      <c r="BJ145" s="72"/>
      <c r="BK145" s="24"/>
      <c r="BL145" s="72"/>
      <c r="BM145" s="24"/>
      <c r="BN145" s="72"/>
      <c r="BO145" s="24"/>
      <c r="BP145" s="24"/>
      <c r="BQ145" s="24"/>
      <c r="BR145" s="72"/>
      <c r="BS145" s="24"/>
      <c r="BT145" s="72"/>
      <c r="BU145" s="24"/>
      <c r="BV145" s="72"/>
      <c r="BW145" s="24"/>
      <c r="BX145" s="72"/>
      <c r="BY145" s="24"/>
      <c r="BZ145" s="72"/>
      <c r="CA145" s="24"/>
      <c r="CB145" s="72"/>
      <c r="CC145" s="24"/>
      <c r="CD145" s="72"/>
      <c r="CE145" s="24"/>
      <c r="CF145" s="72"/>
      <c r="CG145" s="24"/>
      <c r="CH145" s="72"/>
      <c r="CI145" s="24"/>
      <c r="CJ145" s="72"/>
      <c r="CK145" s="24"/>
      <c r="CL145" s="72"/>
      <c r="CM145" s="24"/>
      <c r="CN145" s="72"/>
      <c r="CO145" s="24"/>
      <c r="CP145" s="72"/>
    </row>
    <row r="146" spans="1:94" x14ac:dyDescent="0.25">
      <c r="A146" s="41"/>
      <c r="B146" s="116"/>
      <c r="C146" s="24"/>
      <c r="D146" s="96"/>
      <c r="E146" s="26"/>
      <c r="F146" s="115">
        <f>+SUM(F136:F145)</f>
        <v>636682.57999999996</v>
      </c>
      <c r="G146" s="15"/>
      <c r="H146" s="96"/>
      <c r="I146" s="15"/>
      <c r="J146" s="31">
        <v>1995</v>
      </c>
      <c r="K146" s="24" t="s">
        <v>10737</v>
      </c>
      <c r="L146" s="30"/>
      <c r="M146" s="15"/>
      <c r="N146" s="30">
        <v>2040</v>
      </c>
      <c r="O146" s="15" t="s">
        <v>10808</v>
      </c>
      <c r="P146" s="30"/>
      <c r="Q146" s="15"/>
      <c r="R146" s="31"/>
      <c r="S146" s="15"/>
      <c r="T146" s="96"/>
      <c r="U146" s="15"/>
      <c r="V146" s="30">
        <v>90000</v>
      </c>
      <c r="W146" s="15" t="s">
        <v>10994</v>
      </c>
      <c r="X146" s="30"/>
      <c r="Y146" s="15"/>
      <c r="Z146" s="30">
        <v>75000</v>
      </c>
      <c r="AA146" s="15" t="s">
        <v>11063</v>
      </c>
      <c r="AB146" s="30"/>
      <c r="AC146" s="15"/>
      <c r="AD146" s="31"/>
      <c r="AE146" s="86"/>
      <c r="AF146" s="29"/>
      <c r="AG146" s="24"/>
      <c r="AH146" s="30"/>
      <c r="AI146" s="15"/>
      <c r="AJ146" s="30"/>
      <c r="AK146" s="15"/>
      <c r="AL146" s="30">
        <v>1169</v>
      </c>
      <c r="AM146" s="15" t="s">
        <v>11316</v>
      </c>
      <c r="AN146" s="30">
        <v>106727.97</v>
      </c>
      <c r="AO146" s="15" t="s">
        <v>11351</v>
      </c>
      <c r="AP146" s="30"/>
      <c r="AQ146" s="185"/>
      <c r="AR146" s="30"/>
      <c r="AS146" s="15"/>
      <c r="AT146" s="97">
        <f>+SUM(AT132:AT145)</f>
        <v>1451758.5599999998</v>
      </c>
      <c r="AU146" s="24"/>
      <c r="AV146" s="30">
        <v>253929.54</v>
      </c>
      <c r="AW146" s="108" t="s">
        <v>11514</v>
      </c>
      <c r="AX146" s="30"/>
      <c r="AY146" s="106"/>
      <c r="AZ146" s="30">
        <v>609800</v>
      </c>
      <c r="BA146" s="15" t="s">
        <v>11608</v>
      </c>
      <c r="BB146" s="30">
        <v>898800</v>
      </c>
      <c r="BC146" s="15" t="s">
        <v>11674</v>
      </c>
      <c r="BD146" s="30"/>
      <c r="BE146" s="15"/>
      <c r="BF146" s="30"/>
      <c r="BG146" s="15"/>
      <c r="BH146" s="183"/>
      <c r="BI146" s="127"/>
      <c r="BJ146" s="72"/>
      <c r="BK146" s="15"/>
      <c r="BL146" s="9"/>
      <c r="BM146" s="15"/>
      <c r="BN146" s="9"/>
      <c r="BO146" s="15"/>
      <c r="BP146" s="9"/>
      <c r="BQ146" s="15"/>
      <c r="BR146" s="9"/>
      <c r="BS146" s="15"/>
      <c r="BT146" s="9"/>
      <c r="BU146" s="15"/>
      <c r="BV146" s="9"/>
      <c r="BW146" s="15"/>
      <c r="BX146" s="9"/>
      <c r="BY146" s="15"/>
      <c r="BZ146" s="9"/>
      <c r="CA146" s="15"/>
      <c r="CB146" s="9"/>
      <c r="CC146" s="15"/>
      <c r="CD146" s="9"/>
      <c r="CE146" s="15"/>
      <c r="CF146" s="9"/>
      <c r="CG146" s="15"/>
      <c r="CH146" s="9"/>
      <c r="CI146" s="15"/>
      <c r="CJ146" s="9"/>
      <c r="CK146" s="15"/>
      <c r="CL146" s="9"/>
      <c r="CM146" s="15"/>
      <c r="CN146" s="9"/>
      <c r="CO146" s="15"/>
      <c r="CP146" s="9"/>
    </row>
    <row r="147" spans="1:94" x14ac:dyDescent="0.25">
      <c r="A147" s="50"/>
      <c r="B147" s="104"/>
      <c r="C147" s="24"/>
      <c r="D147" s="32"/>
      <c r="E147" s="57"/>
      <c r="F147" s="165"/>
      <c r="G147" s="57"/>
      <c r="H147" s="31"/>
      <c r="I147" s="24"/>
      <c r="J147" s="261">
        <f>+SUM(J137:J146)</f>
        <v>595213.98</v>
      </c>
      <c r="K147" s="24"/>
      <c r="L147" s="104"/>
      <c r="M147" s="57"/>
      <c r="N147" s="97">
        <f>+SUM(N132:N146)</f>
        <v>234896.30000000002</v>
      </c>
      <c r="O147" s="57"/>
      <c r="P147" s="101"/>
      <c r="Q147" s="57"/>
      <c r="R147" s="101"/>
      <c r="S147" s="57"/>
      <c r="T147" s="165"/>
      <c r="U147" s="57"/>
      <c r="V147" s="63">
        <v>80000</v>
      </c>
      <c r="W147" s="57" t="s">
        <v>10995</v>
      </c>
      <c r="X147" s="63"/>
      <c r="Y147" s="57"/>
      <c r="Z147" s="63">
        <v>5500</v>
      </c>
      <c r="AA147" s="57" t="s">
        <v>11064</v>
      </c>
      <c r="AB147" s="101"/>
      <c r="AC147" s="57"/>
      <c r="AD147" s="31"/>
      <c r="AE147" s="86"/>
      <c r="AF147" s="29"/>
      <c r="AG147" s="24"/>
      <c r="AH147" s="101"/>
      <c r="AI147" s="57"/>
      <c r="AJ147" s="63"/>
      <c r="AK147" s="57"/>
      <c r="AL147" s="169">
        <f>+SUM(AL136:AL146)</f>
        <v>509900</v>
      </c>
      <c r="AM147" s="57"/>
      <c r="AN147" s="29">
        <v>236677.92</v>
      </c>
      <c r="AO147" s="57" t="s">
        <v>11352</v>
      </c>
      <c r="AP147" s="63"/>
      <c r="AQ147" s="186"/>
      <c r="AR147" s="101"/>
      <c r="AS147" s="57"/>
      <c r="AT147" s="98"/>
      <c r="AU147" s="57"/>
      <c r="AV147" s="29">
        <v>2065</v>
      </c>
      <c r="AW147" s="108" t="s">
        <v>11515</v>
      </c>
      <c r="AX147" s="29"/>
      <c r="AY147" s="108"/>
      <c r="AZ147" s="96">
        <v>3500</v>
      </c>
      <c r="BA147" s="26" t="s">
        <v>11609</v>
      </c>
      <c r="BB147" s="101">
        <v>41695.300000000003</v>
      </c>
      <c r="BC147" s="57" t="s">
        <v>11676</v>
      </c>
      <c r="BD147" s="101"/>
      <c r="BE147" s="57"/>
      <c r="BF147" s="101"/>
      <c r="BG147" s="57"/>
      <c r="BH147" s="183"/>
      <c r="BI147" s="127"/>
      <c r="BJ147" s="73"/>
      <c r="BK147" s="57"/>
      <c r="BL147" s="73"/>
      <c r="BM147" s="57"/>
      <c r="BN147" s="57"/>
      <c r="BO147" s="57"/>
      <c r="BP147" s="73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</row>
    <row r="148" spans="1:94" x14ac:dyDescent="0.25">
      <c r="A148" s="46"/>
      <c r="B148" s="114"/>
      <c r="C148" s="13"/>
      <c r="D148" s="31"/>
      <c r="E148" s="24"/>
      <c r="F148" s="104"/>
      <c r="G148" s="24"/>
      <c r="H148" s="32"/>
      <c r="I148" s="24"/>
      <c r="J148" s="31"/>
      <c r="K148" s="24"/>
      <c r="L148" s="104"/>
      <c r="M148" s="24"/>
      <c r="N148" s="31"/>
      <c r="O148" s="24"/>
      <c r="P148" s="31"/>
      <c r="Q148" s="24"/>
      <c r="R148" s="31"/>
      <c r="S148" s="24"/>
      <c r="T148" s="104"/>
      <c r="U148" s="24"/>
      <c r="V148" s="31">
        <v>9221.6299999999992</v>
      </c>
      <c r="W148" s="24" t="s">
        <v>10996</v>
      </c>
      <c r="X148" s="31"/>
      <c r="Y148" s="24"/>
      <c r="Z148" s="31">
        <v>100000</v>
      </c>
      <c r="AA148" s="24" t="s">
        <v>11065</v>
      </c>
      <c r="AB148" s="31"/>
      <c r="AC148" s="24"/>
      <c r="AD148" s="32"/>
      <c r="AE148" s="85"/>
      <c r="AF148" s="29"/>
      <c r="AG148" s="24"/>
      <c r="AH148" s="32"/>
      <c r="AI148" s="24"/>
      <c r="AJ148" s="31"/>
      <c r="AK148" s="24"/>
      <c r="AL148" s="32"/>
      <c r="AM148" s="24"/>
      <c r="AN148" s="31">
        <v>17200</v>
      </c>
      <c r="AO148" s="24" t="s">
        <v>11353</v>
      </c>
      <c r="AP148" s="31"/>
      <c r="AQ148" s="184"/>
      <c r="AR148" s="31"/>
      <c r="AS148" s="24"/>
      <c r="AT148" s="30">
        <v>2800</v>
      </c>
      <c r="AU148" s="24" t="s">
        <v>11424</v>
      </c>
      <c r="AV148" s="78">
        <v>2485.0700000000002</v>
      </c>
      <c r="AW148" s="106" t="s">
        <v>11518</v>
      </c>
      <c r="AX148" s="78"/>
      <c r="AY148" s="106"/>
      <c r="AZ148" s="31">
        <v>2500</v>
      </c>
      <c r="BA148" s="24" t="s">
        <v>11611</v>
      </c>
      <c r="BB148" s="122">
        <v>52493</v>
      </c>
      <c r="BC148" s="24" t="s">
        <v>11677</v>
      </c>
      <c r="BD148" s="104"/>
      <c r="BE148" s="24"/>
      <c r="BF148" s="104"/>
      <c r="BG148" s="24"/>
      <c r="BH148" s="183"/>
      <c r="BI148" s="127"/>
      <c r="BJ148" s="72"/>
      <c r="BK148" s="24"/>
      <c r="BL148" s="72"/>
      <c r="BM148" s="24"/>
      <c r="BN148" s="72"/>
      <c r="BO148" s="24"/>
      <c r="BP148" s="72"/>
      <c r="BQ148" s="24"/>
      <c r="BR148" s="72"/>
      <c r="BS148" s="24"/>
      <c r="BT148" s="72"/>
      <c r="BU148" s="24"/>
      <c r="BV148" s="72"/>
      <c r="BW148" s="24"/>
      <c r="BX148" s="72"/>
      <c r="BY148" s="24"/>
      <c r="BZ148" s="72"/>
      <c r="CA148" s="24"/>
      <c r="CB148" s="72"/>
      <c r="CC148" s="24"/>
      <c r="CD148" s="72"/>
      <c r="CE148" s="24"/>
      <c r="CF148" s="72"/>
      <c r="CG148" s="24"/>
      <c r="CH148" s="72"/>
      <c r="CI148" s="24"/>
      <c r="CJ148" s="72"/>
      <c r="CK148" s="24"/>
      <c r="CL148" s="72"/>
      <c r="CM148" s="24"/>
      <c r="CN148" s="72"/>
      <c r="CO148" s="24"/>
      <c r="CP148" s="72"/>
    </row>
    <row r="149" spans="1:94" x14ac:dyDescent="0.25">
      <c r="A149" s="46"/>
      <c r="B149" s="96"/>
      <c r="C149" s="15"/>
      <c r="D149" s="31"/>
      <c r="E149" s="24"/>
      <c r="F149" s="104"/>
      <c r="G149" s="24"/>
      <c r="H149" s="31"/>
      <c r="I149" s="24"/>
      <c r="J149" s="104"/>
      <c r="K149" s="24"/>
      <c r="L149" s="31"/>
      <c r="M149" s="24"/>
      <c r="N149" s="104">
        <v>3500</v>
      </c>
      <c r="O149" s="24" t="s">
        <v>10813</v>
      </c>
      <c r="P149" s="104"/>
      <c r="Q149" s="24"/>
      <c r="R149" s="31"/>
      <c r="S149" s="24"/>
      <c r="T149" s="96"/>
      <c r="U149" s="26"/>
      <c r="V149" s="31">
        <v>18308.490000000002</v>
      </c>
      <c r="W149" s="24" t="s">
        <v>10997</v>
      </c>
      <c r="X149" s="31"/>
      <c r="Y149" s="24"/>
      <c r="Z149" s="31">
        <v>8520.61</v>
      </c>
      <c r="AA149" s="24" t="s">
        <v>11067</v>
      </c>
      <c r="AB149" s="104"/>
      <c r="AC149" s="24"/>
      <c r="AD149" s="31"/>
      <c r="AE149" s="24"/>
      <c r="AF149" s="29"/>
      <c r="AG149" s="24"/>
      <c r="AH149" s="32"/>
      <c r="AI149" s="24"/>
      <c r="AJ149" s="32"/>
      <c r="AK149" s="24"/>
      <c r="AL149" s="32"/>
      <c r="AM149" s="24"/>
      <c r="AN149" s="31">
        <v>150000</v>
      </c>
      <c r="AO149" s="24" t="s">
        <v>11354</v>
      </c>
      <c r="AP149" s="104"/>
      <c r="AQ149" s="185"/>
      <c r="AR149" s="31"/>
      <c r="AS149" s="24"/>
      <c r="AT149" s="104">
        <v>2835</v>
      </c>
      <c r="AU149" s="26" t="s">
        <v>11431</v>
      </c>
      <c r="AV149" s="78">
        <v>2040</v>
      </c>
      <c r="AW149" s="106" t="s">
        <v>11522</v>
      </c>
      <c r="AX149" s="78"/>
      <c r="AY149" s="106"/>
      <c r="AZ149" s="31">
        <v>4465</v>
      </c>
      <c r="BA149" s="24" t="s">
        <v>11613</v>
      </c>
      <c r="BB149" s="104">
        <v>40000</v>
      </c>
      <c r="BC149" s="24" t="s">
        <v>11679</v>
      </c>
      <c r="BD149" s="104"/>
      <c r="BE149" s="24"/>
      <c r="BF149" s="116"/>
      <c r="BG149" s="24"/>
      <c r="BH149" s="183"/>
      <c r="BI149" s="127"/>
      <c r="BJ149" s="72"/>
      <c r="BK149" s="24"/>
      <c r="BL149" s="72"/>
      <c r="BM149" s="24"/>
      <c r="BN149" s="72"/>
      <c r="BO149" s="24"/>
      <c r="BP149" s="72"/>
      <c r="BQ149" s="24"/>
      <c r="BR149" s="72"/>
      <c r="BS149" s="24"/>
      <c r="BT149" s="72"/>
      <c r="BU149" s="24"/>
      <c r="BV149" s="72"/>
      <c r="BW149" s="24"/>
      <c r="BX149" s="72"/>
      <c r="BY149" s="24"/>
      <c r="BZ149" s="72"/>
      <c r="CA149" s="24"/>
      <c r="CB149" s="72"/>
      <c r="CC149" s="24"/>
      <c r="CD149" s="72"/>
      <c r="CE149" s="24"/>
      <c r="CF149" s="72"/>
      <c r="CG149" s="24"/>
      <c r="CH149" s="72"/>
      <c r="CI149" s="24"/>
      <c r="CJ149" s="72"/>
      <c r="CK149" s="24"/>
      <c r="CL149" s="72"/>
      <c r="CM149" s="24"/>
      <c r="CN149" s="72"/>
      <c r="CO149" s="24"/>
      <c r="CP149" s="72"/>
    </row>
    <row r="150" spans="1:94" x14ac:dyDescent="0.25">
      <c r="B150" s="24"/>
      <c r="C150" s="24"/>
      <c r="D150" s="127"/>
      <c r="E150" s="127"/>
      <c r="F150" s="146"/>
      <c r="G150" s="24"/>
      <c r="H150" s="127"/>
      <c r="I150" s="127"/>
      <c r="J150" s="146"/>
      <c r="K150" s="24"/>
      <c r="L150" s="146"/>
      <c r="M150" s="127"/>
      <c r="N150" s="199">
        <v>199000</v>
      </c>
      <c r="O150" s="24" t="s">
        <v>10814</v>
      </c>
      <c r="P150" s="250"/>
      <c r="Q150" s="24"/>
      <c r="R150" s="199"/>
      <c r="S150" s="24"/>
      <c r="T150" s="191"/>
      <c r="U150" s="24"/>
      <c r="V150" s="128">
        <v>119314.07</v>
      </c>
      <c r="W150" s="24" t="s">
        <v>10998</v>
      </c>
      <c r="X150" s="120"/>
      <c r="Y150" s="120"/>
      <c r="Z150" s="128">
        <v>2250</v>
      </c>
      <c r="AA150" s="24" t="s">
        <v>11072</v>
      </c>
      <c r="AB150" s="104"/>
      <c r="AC150" s="24"/>
      <c r="AD150" s="31"/>
      <c r="AE150" s="85"/>
      <c r="AF150" s="29"/>
      <c r="AG150" s="24"/>
      <c r="AH150" s="96"/>
      <c r="AI150" s="127"/>
      <c r="AJ150" s="120"/>
      <c r="AK150" s="120"/>
      <c r="AL150" s="120"/>
      <c r="AM150" s="120"/>
      <c r="AN150" s="199">
        <v>1110</v>
      </c>
      <c r="AO150" s="24" t="s">
        <v>11355</v>
      </c>
      <c r="AP150" s="256"/>
      <c r="AQ150" s="189"/>
      <c r="AR150" s="30"/>
      <c r="AS150" s="24"/>
      <c r="AT150" s="96">
        <v>1099</v>
      </c>
      <c r="AU150" s="120" t="s">
        <v>11437</v>
      </c>
      <c r="AV150" s="150">
        <v>7007.1</v>
      </c>
      <c r="AW150" s="106" t="s">
        <v>11525</v>
      </c>
      <c r="AX150" s="208"/>
      <c r="AY150" s="120"/>
      <c r="AZ150" s="96">
        <v>1099.01</v>
      </c>
      <c r="BA150" s="26" t="s">
        <v>11616</v>
      </c>
      <c r="BB150" s="183">
        <v>629800</v>
      </c>
      <c r="BC150" s="24" t="s">
        <v>11680</v>
      </c>
      <c r="BD150" s="199"/>
      <c r="BE150" s="24"/>
      <c r="BF150" s="227"/>
      <c r="BG150" s="24"/>
      <c r="BH150" s="183"/>
      <c r="BI150" s="127"/>
      <c r="BJ150" s="127"/>
      <c r="BK150" s="24"/>
      <c r="BL150" s="127"/>
      <c r="BM150" s="24"/>
      <c r="BN150" s="127"/>
      <c r="BO150" s="127"/>
      <c r="BP150" s="236"/>
      <c r="BQ150" s="127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</row>
    <row r="151" spans="1:94" x14ac:dyDescent="0.25">
      <c r="B151" s="24"/>
      <c r="C151" s="24"/>
      <c r="D151" s="127"/>
      <c r="E151" s="127"/>
      <c r="F151" s="237"/>
      <c r="G151" s="127"/>
      <c r="H151" s="127"/>
      <c r="I151" s="239"/>
      <c r="J151" s="9"/>
      <c r="K151" s="15"/>
      <c r="L151" s="127"/>
      <c r="M151" s="127"/>
      <c r="N151" s="128">
        <v>218105.73</v>
      </c>
      <c r="O151" s="24" t="s">
        <v>10816</v>
      </c>
      <c r="P151" s="258"/>
      <c r="Q151" s="120"/>
      <c r="R151" s="183"/>
      <c r="S151" s="24"/>
      <c r="T151" s="173"/>
      <c r="U151" s="24"/>
      <c r="V151" s="128">
        <v>3462</v>
      </c>
      <c r="W151" s="24" t="s">
        <v>10999</v>
      </c>
      <c r="X151" s="120"/>
      <c r="Y151" s="120"/>
      <c r="Z151" s="128">
        <v>2460</v>
      </c>
      <c r="AA151" s="24" t="s">
        <v>11073</v>
      </c>
      <c r="AB151" s="116"/>
      <c r="AC151" s="24"/>
      <c r="AD151" s="237"/>
      <c r="AE151" s="127"/>
      <c r="AF151" s="127"/>
      <c r="AG151" s="24"/>
      <c r="AH151" s="179"/>
      <c r="AI151" s="127"/>
      <c r="AJ151" s="120"/>
      <c r="AK151" s="120"/>
      <c r="AL151" s="120"/>
      <c r="AM151" s="120"/>
      <c r="AN151" s="199">
        <v>2520</v>
      </c>
      <c r="AO151" s="24" t="s">
        <v>11357</v>
      </c>
      <c r="AP151" s="183"/>
      <c r="AQ151" s="189"/>
      <c r="AR151" s="98"/>
      <c r="AS151" s="24"/>
      <c r="AT151" s="262">
        <f>+SUM(AT148:AT150)</f>
        <v>6734</v>
      </c>
      <c r="AU151" s="120"/>
      <c r="AV151" s="129">
        <f>+SUM(AV145:AV150)</f>
        <v>381812.07</v>
      </c>
      <c r="AW151" s="106"/>
      <c r="AX151" s="120"/>
      <c r="AY151" s="120"/>
      <c r="AZ151" s="199">
        <v>1970</v>
      </c>
      <c r="BA151" s="15" t="s">
        <v>11617</v>
      </c>
      <c r="BB151" s="183">
        <v>629800</v>
      </c>
      <c r="BC151" s="24" t="s">
        <v>11681</v>
      </c>
      <c r="BD151" s="183"/>
      <c r="BE151" s="24"/>
      <c r="BF151" s="208"/>
      <c r="BG151" s="24"/>
      <c r="BH151" s="183"/>
      <c r="BI151" s="127"/>
      <c r="BJ151" s="9"/>
      <c r="BK151" s="15"/>
      <c r="BL151" s="127"/>
      <c r="BM151" s="24"/>
      <c r="BN151" s="127"/>
      <c r="BO151" s="127"/>
      <c r="BP151" s="127"/>
      <c r="BQ151" s="127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</row>
    <row r="152" spans="1:94" x14ac:dyDescent="0.25">
      <c r="B152" s="24"/>
      <c r="C152" s="24"/>
      <c r="D152" s="127"/>
      <c r="E152" s="127"/>
      <c r="F152" s="127"/>
      <c r="G152" s="127"/>
      <c r="H152" s="127"/>
      <c r="I152" s="127"/>
      <c r="J152" s="237"/>
      <c r="K152" s="127"/>
      <c r="L152" s="127"/>
      <c r="M152" s="127"/>
      <c r="N152" s="128">
        <v>94900</v>
      </c>
      <c r="O152" s="24" t="s">
        <v>10817</v>
      </c>
      <c r="P152" s="120"/>
      <c r="Q152" s="120"/>
      <c r="R152" s="183"/>
      <c r="S152" s="24"/>
      <c r="T152" s="249"/>
      <c r="U152" s="24"/>
      <c r="V152" s="128">
        <v>1169</v>
      </c>
      <c r="W152" s="24" t="s">
        <v>11017</v>
      </c>
      <c r="X152" s="120"/>
      <c r="Y152" s="120"/>
      <c r="Z152" s="128">
        <v>1169</v>
      </c>
      <c r="AA152" s="24" t="s">
        <v>11074</v>
      </c>
      <c r="AB152" s="104"/>
      <c r="AC152" s="24"/>
      <c r="AD152" s="127"/>
      <c r="AE152" s="127"/>
      <c r="AF152" s="127"/>
      <c r="AG152" s="24"/>
      <c r="AH152" s="128"/>
      <c r="AI152" s="120"/>
      <c r="AJ152" s="120"/>
      <c r="AK152" s="120"/>
      <c r="AL152" s="120"/>
      <c r="AM152" s="120"/>
      <c r="AN152" s="199">
        <v>4169</v>
      </c>
      <c r="AO152" s="24" t="s">
        <v>11357</v>
      </c>
      <c r="AP152" s="128"/>
      <c r="AQ152" s="189"/>
      <c r="AR152" s="32"/>
      <c r="AS152" s="127"/>
      <c r="AT152" s="245"/>
      <c r="AU152" s="120"/>
      <c r="AV152" s="199"/>
      <c r="AW152" s="106"/>
      <c r="AX152" s="120"/>
      <c r="AY152" s="120"/>
      <c r="AZ152" s="128">
        <v>1970</v>
      </c>
      <c r="BA152" s="15" t="s">
        <v>11627</v>
      </c>
      <c r="BB152" s="183">
        <v>10500</v>
      </c>
      <c r="BC152" s="24" t="s">
        <v>11682</v>
      </c>
      <c r="BD152" s="183"/>
      <c r="BE152" s="24"/>
      <c r="BF152" s="128"/>
      <c r="BG152" s="24"/>
      <c r="BH152" s="183"/>
      <c r="BI152" s="153"/>
      <c r="BJ152" s="237"/>
      <c r="BK152" s="127"/>
      <c r="BL152" s="127"/>
      <c r="BM152" s="24"/>
      <c r="BN152" s="127"/>
      <c r="BO152" s="127"/>
      <c r="BP152" s="127"/>
      <c r="BQ152" s="127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</row>
    <row r="153" spans="1:94" x14ac:dyDescent="0.25">
      <c r="B153" s="24"/>
      <c r="C153" s="24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8">
        <v>40000</v>
      </c>
      <c r="O153" s="24" t="s">
        <v>10819</v>
      </c>
      <c r="P153" s="120"/>
      <c r="Q153" s="120"/>
      <c r="R153" s="96"/>
      <c r="S153" s="15"/>
      <c r="T153" s="173"/>
      <c r="U153" s="24"/>
      <c r="V153" s="151">
        <f>+SUM(V145:V152)</f>
        <v>653974.28</v>
      </c>
      <c r="W153" s="24"/>
      <c r="X153" s="120"/>
      <c r="Y153" s="120"/>
      <c r="Z153" s="199">
        <v>1099</v>
      </c>
      <c r="AA153" s="24" t="s">
        <v>11090</v>
      </c>
      <c r="AB153" s="104"/>
      <c r="AC153" s="24"/>
      <c r="AD153" s="127"/>
      <c r="AE153" s="127"/>
      <c r="AF153" s="127"/>
      <c r="AG153" s="24"/>
      <c r="AH153" s="128"/>
      <c r="AI153" s="127"/>
      <c r="AJ153" s="120"/>
      <c r="AK153" s="120"/>
      <c r="AL153" s="120"/>
      <c r="AM153" s="120"/>
      <c r="AN153" s="199">
        <v>2895</v>
      </c>
      <c r="AO153" s="24" t="s">
        <v>11366</v>
      </c>
      <c r="AP153" s="146"/>
      <c r="AQ153" s="189"/>
      <c r="AR153" s="128"/>
      <c r="AS153" s="127"/>
      <c r="AT153" s="257"/>
      <c r="AU153" s="120"/>
      <c r="AV153" s="128"/>
      <c r="AW153" s="106"/>
      <c r="AX153" s="120"/>
      <c r="AY153" s="120"/>
      <c r="AZ153" s="128">
        <v>2528.0100000000002</v>
      </c>
      <c r="BA153" s="15" t="s">
        <v>11630</v>
      </c>
      <c r="BB153" s="199">
        <v>286300</v>
      </c>
      <c r="BC153" s="239" t="s">
        <v>11685</v>
      </c>
      <c r="BD153" s="183"/>
      <c r="BE153" s="24"/>
      <c r="BF153" s="128"/>
      <c r="BG153" s="24"/>
      <c r="BH153" s="199"/>
      <c r="BI153" s="127"/>
      <c r="BJ153" s="127"/>
      <c r="BK153" s="127"/>
      <c r="BL153" s="127"/>
      <c r="BM153" s="24"/>
      <c r="BN153" s="127"/>
      <c r="BO153" s="127"/>
      <c r="BP153" s="127"/>
      <c r="BQ153" s="127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</row>
    <row r="154" spans="1:94" x14ac:dyDescent="0.25">
      <c r="B154" s="72"/>
      <c r="C154" s="24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8">
        <v>127000</v>
      </c>
      <c r="O154" s="24" t="s">
        <v>10820</v>
      </c>
      <c r="P154" s="120"/>
      <c r="Q154" s="120"/>
      <c r="R154" s="146"/>
      <c r="S154" s="120"/>
      <c r="T154" s="191"/>
      <c r="U154" s="120"/>
      <c r="V154" s="128"/>
      <c r="W154" s="24"/>
      <c r="X154" s="120"/>
      <c r="Y154" s="120"/>
      <c r="Z154" s="128">
        <v>2445</v>
      </c>
      <c r="AA154" s="24" t="s">
        <v>11092</v>
      </c>
      <c r="AB154" s="104"/>
      <c r="AC154" s="24"/>
      <c r="AD154" s="127"/>
      <c r="AE154" s="127"/>
      <c r="AF154" s="127"/>
      <c r="AG154" s="24"/>
      <c r="AH154" s="146"/>
      <c r="AI154" s="120"/>
      <c r="AJ154" s="120"/>
      <c r="AK154" s="120"/>
      <c r="AL154" s="120"/>
      <c r="AM154" s="120"/>
      <c r="AN154" s="128">
        <v>4395</v>
      </c>
      <c r="AO154" s="24" t="s">
        <v>11374</v>
      </c>
      <c r="AP154" s="146"/>
      <c r="AQ154" s="127"/>
      <c r="AR154" s="128"/>
      <c r="AS154" s="127"/>
      <c r="AT154" s="120"/>
      <c r="AU154" s="120"/>
      <c r="AV154" s="146"/>
      <c r="AW154" s="106"/>
      <c r="AX154" s="120"/>
      <c r="AY154" s="120"/>
      <c r="AZ154" s="151">
        <f>+SUM(AZ138:AZ153)</f>
        <v>2516945.8899999997</v>
      </c>
      <c r="BA154" s="127"/>
      <c r="BB154" s="183">
        <v>696</v>
      </c>
      <c r="BC154" s="24" t="s">
        <v>11686</v>
      </c>
      <c r="BD154" s="183"/>
      <c r="BE154" s="24"/>
      <c r="BF154" s="128"/>
      <c r="BG154" s="24"/>
      <c r="BH154" s="183"/>
      <c r="BI154" s="127"/>
      <c r="BJ154" s="127"/>
      <c r="BK154" s="127"/>
      <c r="BL154" s="9"/>
      <c r="BM154" s="15"/>
      <c r="BN154" s="127"/>
      <c r="BO154" s="127"/>
      <c r="BP154" s="127"/>
      <c r="BQ154" s="127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</row>
    <row r="155" spans="1:94" x14ac:dyDescent="0.25">
      <c r="B155" s="54"/>
      <c r="C155" s="54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8">
        <v>25852.91</v>
      </c>
      <c r="O155" s="24" t="s">
        <v>10821</v>
      </c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95">
        <f>+SUM(Z144:Z154)</f>
        <v>435943.61</v>
      </c>
      <c r="AA155" s="15"/>
      <c r="AB155" s="104"/>
      <c r="AC155" s="24"/>
      <c r="AD155" s="127"/>
      <c r="AE155" s="127"/>
      <c r="AF155" s="127"/>
      <c r="AG155" s="24"/>
      <c r="AH155" s="128"/>
      <c r="AI155" s="120"/>
      <c r="AJ155" s="120"/>
      <c r="AK155" s="120"/>
      <c r="AL155" s="120"/>
      <c r="AM155" s="120"/>
      <c r="AN155" s="128">
        <v>4395</v>
      </c>
      <c r="AO155" s="24" t="s">
        <v>11375</v>
      </c>
      <c r="AP155" s="128"/>
      <c r="AQ155" s="120"/>
      <c r="AR155" s="128"/>
      <c r="AS155" s="127"/>
      <c r="AT155" s="120"/>
      <c r="AU155" s="120"/>
      <c r="AV155" s="120"/>
      <c r="AW155" s="106"/>
      <c r="AX155" s="120"/>
      <c r="AY155" s="120"/>
      <c r="AZ155" s="128"/>
      <c r="BA155" s="127"/>
      <c r="BB155" s="183">
        <v>1099</v>
      </c>
      <c r="BC155" s="24" t="s">
        <v>11688</v>
      </c>
      <c r="BD155" s="183"/>
      <c r="BE155" s="24"/>
      <c r="BF155" s="150"/>
      <c r="BG155" s="120"/>
      <c r="BH155" s="240"/>
      <c r="BI155" s="120"/>
      <c r="BJ155" s="127"/>
      <c r="BK155" s="127"/>
      <c r="BL155" s="229"/>
      <c r="BM155" s="127"/>
      <c r="BN155" s="127"/>
      <c r="BO155" s="127"/>
      <c r="BP155" s="127"/>
      <c r="BQ155" s="127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</row>
    <row r="156" spans="1:94" x14ac:dyDescent="0.25">
      <c r="B156" s="72"/>
      <c r="C156" s="24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8">
        <v>178754.25</v>
      </c>
      <c r="O156" s="24" t="s">
        <v>10822</v>
      </c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237"/>
      <c r="AA156" s="127"/>
      <c r="AB156" s="146"/>
      <c r="AC156" s="127"/>
      <c r="AD156" s="127"/>
      <c r="AE156" s="127"/>
      <c r="AF156" s="127"/>
      <c r="AG156" s="24"/>
      <c r="AH156" s="120"/>
      <c r="AI156" s="120"/>
      <c r="AJ156" s="120"/>
      <c r="AK156" s="120"/>
      <c r="AL156" s="120"/>
      <c r="AM156" s="120"/>
      <c r="AN156" s="151">
        <f>+SUM(AN143:AN155)</f>
        <v>808243.91</v>
      </c>
      <c r="AO156" s="24"/>
      <c r="AP156" s="120"/>
      <c r="AQ156" s="120"/>
      <c r="AR156" s="240"/>
      <c r="AS156" s="127"/>
      <c r="AT156" s="120"/>
      <c r="AU156" s="120"/>
      <c r="AV156" s="127"/>
      <c r="AW156" s="106"/>
      <c r="AX156" s="120"/>
      <c r="AY156" s="120"/>
      <c r="AZ156" s="128"/>
      <c r="BA156" s="127"/>
      <c r="BB156" s="183">
        <v>2040.01</v>
      </c>
      <c r="BC156" s="24" t="s">
        <v>11689</v>
      </c>
      <c r="BD156" s="199"/>
      <c r="BE156" s="24"/>
      <c r="BF156" s="120"/>
      <c r="BG156" s="120"/>
      <c r="BH156" s="128"/>
      <c r="BI156" s="120"/>
      <c r="BJ156" s="127"/>
      <c r="BK156" s="127"/>
      <c r="BL156" s="127"/>
      <c r="BM156" s="127"/>
      <c r="BN156" s="127"/>
      <c r="BO156" s="127"/>
      <c r="BP156" s="127"/>
      <c r="BQ156" s="127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</row>
    <row r="157" spans="1:94" x14ac:dyDescent="0.25">
      <c r="B157" s="72"/>
      <c r="C157" s="24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8">
        <v>5617.68</v>
      </c>
      <c r="O157" s="24" t="s">
        <v>10823</v>
      </c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7"/>
      <c r="AA157" s="127"/>
      <c r="AB157" s="127"/>
      <c r="AC157" s="127"/>
      <c r="AD157" s="127"/>
      <c r="AE157" s="127"/>
      <c r="AF157" s="237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7"/>
      <c r="AT157" s="120"/>
      <c r="AU157" s="120"/>
      <c r="AV157" s="127"/>
      <c r="AW157" s="106"/>
      <c r="AX157" s="120"/>
      <c r="AY157" s="120"/>
      <c r="AZ157" s="146"/>
      <c r="BA157" s="120"/>
      <c r="BB157" s="199">
        <v>11009.91</v>
      </c>
      <c r="BC157" s="24" t="s">
        <v>11704</v>
      </c>
      <c r="BD157" s="199"/>
      <c r="BE157" s="24"/>
      <c r="BF157" s="120"/>
      <c r="BG157" s="120"/>
      <c r="BH157" s="120"/>
      <c r="BI157" s="120"/>
      <c r="BJ157" s="127"/>
      <c r="BK157" s="127"/>
      <c r="BL157" s="127"/>
      <c r="BM157" s="127"/>
      <c r="BN157" s="127"/>
      <c r="BO157" s="127"/>
      <c r="BP157" s="127"/>
      <c r="BQ157" s="127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</row>
    <row r="158" spans="1:94" x14ac:dyDescent="0.25">
      <c r="B158" s="72"/>
      <c r="C158" s="24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8">
        <v>3319.99</v>
      </c>
      <c r="O158" s="24" t="s">
        <v>10835</v>
      </c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7"/>
      <c r="AA158" s="127"/>
      <c r="AB158" s="127"/>
      <c r="AC158" s="127"/>
      <c r="AD158" s="127"/>
      <c r="AE158" s="127"/>
      <c r="AF158" s="127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7"/>
      <c r="AT158" s="120"/>
      <c r="AU158" s="120"/>
      <c r="AV158" s="127"/>
      <c r="AW158" s="106"/>
      <c r="AX158" s="120"/>
      <c r="AY158" s="120"/>
      <c r="AZ158" s="128"/>
      <c r="BA158" s="127"/>
      <c r="BB158" s="151">
        <f>+SUM(BB143:BB157)</f>
        <v>2857604.99</v>
      </c>
      <c r="BC158" s="127"/>
      <c r="BD158" s="29"/>
      <c r="BE158" s="15"/>
      <c r="BF158" s="9"/>
      <c r="BG158" s="120"/>
      <c r="BH158" s="120"/>
      <c r="BI158" s="120"/>
      <c r="BJ158" s="127"/>
      <c r="BK158" s="127"/>
      <c r="BL158" s="127"/>
      <c r="BM158" s="127"/>
      <c r="BN158" s="127"/>
      <c r="BO158" s="127"/>
      <c r="BP158" s="127"/>
      <c r="BQ158" s="127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</row>
    <row r="159" spans="1:94" x14ac:dyDescent="0.25">
      <c r="B159" s="74"/>
      <c r="C159" s="58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8">
        <v>7150.77</v>
      </c>
      <c r="O159" s="24" t="s">
        <v>10837</v>
      </c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7"/>
      <c r="AA159" s="127"/>
      <c r="AB159" s="127"/>
      <c r="AC159" s="127"/>
      <c r="AD159" s="127"/>
      <c r="AE159" s="127"/>
      <c r="AF159" s="127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7"/>
      <c r="AT159" s="120"/>
      <c r="AU159" s="120"/>
      <c r="AV159" s="127"/>
      <c r="AW159" s="106"/>
      <c r="AX159" s="120"/>
      <c r="AY159" s="120"/>
      <c r="AZ159" s="120"/>
      <c r="BA159" s="120"/>
      <c r="BB159" s="120"/>
      <c r="BC159" s="127"/>
      <c r="BD159" s="29"/>
      <c r="BE159" s="24"/>
      <c r="BF159" s="120"/>
      <c r="BG159" s="120"/>
      <c r="BH159" s="120"/>
      <c r="BI159" s="120"/>
      <c r="BJ159" s="127"/>
      <c r="BK159" s="127"/>
      <c r="BL159" s="228"/>
      <c r="BM159" s="127"/>
      <c r="BN159" s="127"/>
      <c r="BO159" s="127"/>
      <c r="BP159" s="127"/>
      <c r="BQ159" s="127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</row>
    <row r="160" spans="1:94" x14ac:dyDescent="0.25">
      <c r="B160" s="72"/>
      <c r="C160" s="24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8">
        <v>9000</v>
      </c>
      <c r="O160" s="24" t="s">
        <v>10840</v>
      </c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7"/>
      <c r="AT160" s="120"/>
      <c r="AU160" s="120"/>
      <c r="AV160" s="259"/>
      <c r="AW160" s="120"/>
      <c r="AX160" s="120"/>
      <c r="AY160" s="120"/>
      <c r="AZ160" s="120"/>
      <c r="BA160" s="120"/>
      <c r="BB160" s="120"/>
      <c r="BC160" s="120"/>
      <c r="BD160" s="146"/>
      <c r="BE160" s="120"/>
      <c r="BF160" s="120"/>
      <c r="BG160" s="120"/>
      <c r="BH160" s="120"/>
      <c r="BI160" s="120"/>
      <c r="BJ160" s="127"/>
      <c r="BK160" s="127"/>
      <c r="BL160" s="127"/>
      <c r="BM160" s="127"/>
      <c r="BN160" s="127"/>
      <c r="BO160" s="127"/>
      <c r="BP160" s="127"/>
      <c r="BQ160" s="127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</row>
    <row r="161" spans="2:69" x14ac:dyDescent="0.25">
      <c r="B161" s="11"/>
      <c r="C161" s="13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8">
        <v>6453.02</v>
      </c>
      <c r="O161" s="24" t="s">
        <v>10841</v>
      </c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7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5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</row>
    <row r="162" spans="2:69" x14ac:dyDescent="0.25"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51">
        <f>+SUM(N149:N161)</f>
        <v>918654.35000000009</v>
      </c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7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4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</row>
    <row r="163" spans="2:69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</row>
    <row r="164" spans="2:69" x14ac:dyDescent="0.25"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</row>
    <row r="165" spans="2:69" x14ac:dyDescent="0.25"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</row>
    <row r="166" spans="2:69" x14ac:dyDescent="0.25"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</row>
    <row r="167" spans="2:69" x14ac:dyDescent="0.25"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</row>
    <row r="168" spans="2:69" x14ac:dyDescent="0.25"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</row>
    <row r="169" spans="2:69" x14ac:dyDescent="0.25"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</row>
    <row r="170" spans="2:69" x14ac:dyDescent="0.25"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</row>
    <row r="171" spans="2:69" x14ac:dyDescent="0.25"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</row>
    <row r="172" spans="2:69" x14ac:dyDescent="0.25"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</row>
    <row r="173" spans="2:69" x14ac:dyDescent="0.25"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</row>
    <row r="174" spans="2:69" x14ac:dyDescent="0.25"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</row>
    <row r="175" spans="2:69" x14ac:dyDescent="0.25"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</row>
    <row r="176" spans="2:69" x14ac:dyDescent="0.25"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</row>
    <row r="177" spans="2:49" x14ac:dyDescent="0.25"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</row>
    <row r="178" spans="2:49" x14ac:dyDescent="0.25"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</row>
    <row r="179" spans="2:49" x14ac:dyDescent="0.25"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</row>
    <row r="180" spans="2:49" x14ac:dyDescent="0.25"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</row>
    <row r="181" spans="2:49" x14ac:dyDescent="0.25"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</row>
    <row r="182" spans="2:49" x14ac:dyDescent="0.25"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</row>
    <row r="183" spans="2:49" x14ac:dyDescent="0.25"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</row>
    <row r="184" spans="2:49" x14ac:dyDescent="0.25"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</row>
    <row r="185" spans="2:49" x14ac:dyDescent="0.25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</row>
    <row r="186" spans="2:49" x14ac:dyDescent="0.25"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</row>
    <row r="187" spans="2:49" x14ac:dyDescent="0.25"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QMContabilidad12</dc:creator>
  <cp:lastModifiedBy>cqqcontabilidad</cp:lastModifiedBy>
  <dcterms:created xsi:type="dcterms:W3CDTF">2017-01-11T23:45:07Z</dcterms:created>
  <dcterms:modified xsi:type="dcterms:W3CDTF">2018-03-01T16:58:57Z</dcterms:modified>
</cp:coreProperties>
</file>