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Grupo LMJS\CELAYA\Conciliacion de cuentas contables Celaya\CELAYA 2016\"/>
    </mc:Choice>
  </mc:AlternateContent>
  <bookViews>
    <workbookView xWindow="0" yWindow="0" windowWidth="28800" windowHeight="12045" tabRatio="445" activeTab="1"/>
  </bookViews>
  <sheets>
    <sheet name="Hoja1" sheetId="1" r:id="rId1"/>
    <sheet name="calculo" sheetId="4" r:id="rId2"/>
    <sheet name="INDICES" sheetId="2" r:id="rId3"/>
    <sheet name="Hoja3" sheetId="3" r:id="rId4"/>
  </sheets>
  <externalReferences>
    <externalReference r:id="rId5"/>
  </externalReferences>
  <definedNames>
    <definedName name="_xlnm._FilterDatabase" localSheetId="1" hidden="1">calculo!$A$7:$Q$160</definedName>
    <definedName name="_xlnm.Print_Area" localSheetId="1">calculo!$A$1:$Q$132</definedName>
    <definedName name="_xlnm.Print_Area" localSheetId="0">Hoja1!$A$1:$M$23</definedName>
  </definedNames>
  <calcPr calcId="152511"/>
</workbook>
</file>

<file path=xl/calcChain.xml><?xml version="1.0" encoding="utf-8"?>
<calcChain xmlns="http://schemas.openxmlformats.org/spreadsheetml/2006/main">
  <c r="E114" i="4" l="1"/>
  <c r="F114" i="4"/>
  <c r="H114" i="4"/>
  <c r="J114" i="4"/>
  <c r="E115" i="4"/>
  <c r="F115" i="4"/>
  <c r="H115" i="4"/>
  <c r="J115" i="4"/>
  <c r="E116" i="4"/>
  <c r="F116" i="4"/>
  <c r="H116" i="4"/>
  <c r="J116" i="4"/>
  <c r="E117" i="4"/>
  <c r="F117" i="4"/>
  <c r="H117" i="4"/>
  <c r="J117" i="4"/>
  <c r="E118" i="4"/>
  <c r="F118" i="4"/>
  <c r="H118" i="4"/>
  <c r="J118" i="4"/>
  <c r="E119" i="4"/>
  <c r="F119" i="4"/>
  <c r="H119" i="4"/>
  <c r="J119" i="4"/>
  <c r="E120" i="4"/>
  <c r="F120" i="4"/>
  <c r="H120" i="4"/>
  <c r="J120" i="4"/>
  <c r="E121" i="4"/>
  <c r="F121" i="4"/>
  <c r="H121" i="4"/>
  <c r="J121" i="4"/>
  <c r="E122" i="4"/>
  <c r="F122" i="4"/>
  <c r="H122" i="4"/>
  <c r="J122" i="4"/>
  <c r="E123" i="4"/>
  <c r="F123" i="4"/>
  <c r="H123" i="4"/>
  <c r="J123" i="4"/>
  <c r="E124" i="4"/>
  <c r="F124" i="4"/>
  <c r="H124" i="4"/>
  <c r="J124" i="4"/>
  <c r="E125" i="4"/>
  <c r="F125" i="4"/>
  <c r="H125" i="4"/>
  <c r="J125" i="4"/>
  <c r="E126" i="4"/>
  <c r="F126" i="4"/>
  <c r="H126" i="4"/>
  <c r="J126" i="4"/>
  <c r="E127" i="4"/>
  <c r="F127" i="4"/>
  <c r="H127" i="4"/>
  <c r="J127" i="4"/>
  <c r="E128" i="4"/>
  <c r="F128" i="4"/>
  <c r="H128" i="4"/>
  <c r="J128" i="4"/>
  <c r="E129" i="4"/>
  <c r="F129" i="4"/>
  <c r="H129" i="4"/>
  <c r="J129" i="4"/>
  <c r="E130" i="4"/>
  <c r="F130" i="4"/>
  <c r="H130" i="4"/>
  <c r="J130" i="4"/>
  <c r="E131" i="4"/>
  <c r="F131" i="4"/>
  <c r="H131" i="4"/>
  <c r="J131" i="4"/>
  <c r="E132" i="4"/>
  <c r="F132" i="4"/>
  <c r="H132" i="4"/>
  <c r="J132" i="4"/>
  <c r="E133" i="4"/>
  <c r="F133" i="4"/>
  <c r="H133" i="4"/>
  <c r="J133" i="4"/>
  <c r="E134" i="4"/>
  <c r="F134" i="4"/>
  <c r="H134" i="4"/>
  <c r="J134" i="4"/>
  <c r="E135" i="4"/>
  <c r="F135" i="4"/>
  <c r="H135" i="4"/>
  <c r="J135" i="4"/>
  <c r="E136" i="4"/>
  <c r="F136" i="4"/>
  <c r="H136" i="4"/>
  <c r="J136" i="4"/>
  <c r="E137" i="4"/>
  <c r="F137" i="4"/>
  <c r="H137" i="4"/>
  <c r="J137" i="4"/>
  <c r="E138" i="4"/>
  <c r="F138" i="4"/>
  <c r="H138" i="4"/>
  <c r="J138" i="4"/>
  <c r="E139" i="4"/>
  <c r="F139" i="4"/>
  <c r="H139" i="4"/>
  <c r="J139" i="4"/>
  <c r="E140" i="4"/>
  <c r="F140" i="4"/>
  <c r="H140" i="4"/>
  <c r="J140" i="4"/>
  <c r="M9" i="4"/>
  <c r="I9" i="4"/>
  <c r="F9" i="4"/>
  <c r="E9" i="4"/>
  <c r="M8" i="4"/>
  <c r="I8" i="4"/>
  <c r="H8" i="4"/>
  <c r="J8" i="4" s="1"/>
  <c r="L8" i="4" s="1"/>
  <c r="N8" i="4" s="1"/>
  <c r="O8" i="4" s="1"/>
  <c r="F8" i="4"/>
  <c r="E8" i="4"/>
  <c r="M5" i="4"/>
  <c r="H9" i="4" l="1"/>
  <c r="J9" i="4" s="1"/>
  <c r="L9" i="4" s="1"/>
  <c r="O160" i="4" l="1"/>
  <c r="E141" i="4" l="1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E158" i="4"/>
  <c r="F158" i="4"/>
  <c r="E159" i="4"/>
  <c r="F159" i="4"/>
  <c r="L120" i="4" l="1"/>
  <c r="N120" i="4" s="1"/>
  <c r="H141" i="4"/>
  <c r="J141" i="4" s="1"/>
  <c r="L141" i="4" s="1"/>
  <c r="N141" i="4" s="1"/>
  <c r="L135" i="4"/>
  <c r="N135" i="4" s="1"/>
  <c r="O135" i="4" s="1"/>
  <c r="L133" i="4"/>
  <c r="N133" i="4" s="1"/>
  <c r="O133" i="4" s="1"/>
  <c r="L131" i="4"/>
  <c r="N131" i="4" s="1"/>
  <c r="O131" i="4" s="1"/>
  <c r="L125" i="4"/>
  <c r="N125" i="4" s="1"/>
  <c r="O125" i="4" s="1"/>
  <c r="L127" i="4"/>
  <c r="N127" i="4" s="1"/>
  <c r="O127" i="4" s="1"/>
  <c r="L122" i="4"/>
  <c r="N122" i="4" s="1"/>
  <c r="L119" i="4"/>
  <c r="N119" i="4" s="1"/>
  <c r="O119" i="4" s="1"/>
  <c r="L117" i="4"/>
  <c r="N117" i="4" s="1"/>
  <c r="O117" i="4" s="1"/>
  <c r="H156" i="4"/>
  <c r="J156" i="4" s="1"/>
  <c r="L156" i="4" s="1"/>
  <c r="N156" i="4" s="1"/>
  <c r="O156" i="4" s="1"/>
  <c r="H152" i="4"/>
  <c r="J152" i="4" s="1"/>
  <c r="L152" i="4" s="1"/>
  <c r="N152" i="4" s="1"/>
  <c r="O152" i="4" s="1"/>
  <c r="H148" i="4"/>
  <c r="J148" i="4" s="1"/>
  <c r="L148" i="4" s="1"/>
  <c r="N148" i="4" s="1"/>
  <c r="O148" i="4" s="1"/>
  <c r="H142" i="4"/>
  <c r="J142" i="4" s="1"/>
  <c r="L142" i="4" s="1"/>
  <c r="N142" i="4" s="1"/>
  <c r="O142" i="4" s="1"/>
  <c r="L137" i="4"/>
  <c r="N137" i="4" s="1"/>
  <c r="L129" i="4"/>
  <c r="N129" i="4" s="1"/>
  <c r="O129" i="4" s="1"/>
  <c r="L123" i="4"/>
  <c r="N123" i="4" s="1"/>
  <c r="O123" i="4" s="1"/>
  <c r="L115" i="4"/>
  <c r="N115" i="4" s="1"/>
  <c r="O115" i="4" s="1"/>
  <c r="L121" i="4"/>
  <c r="N121" i="4" s="1"/>
  <c r="O121" i="4" s="1"/>
  <c r="H158" i="4"/>
  <c r="J158" i="4" s="1"/>
  <c r="L158" i="4" s="1"/>
  <c r="N158" i="4" s="1"/>
  <c r="O158" i="4" s="1"/>
  <c r="H154" i="4"/>
  <c r="J154" i="4" s="1"/>
  <c r="L154" i="4" s="1"/>
  <c r="N154" i="4" s="1"/>
  <c r="O154" i="4" s="1"/>
  <c r="H150" i="4"/>
  <c r="J150" i="4" s="1"/>
  <c r="L150" i="4" s="1"/>
  <c r="N150" i="4" s="1"/>
  <c r="H146" i="4"/>
  <c r="J146" i="4" s="1"/>
  <c r="L146" i="4" s="1"/>
  <c r="N146" i="4" s="1"/>
  <c r="O146" i="4" s="1"/>
  <c r="H144" i="4"/>
  <c r="J144" i="4" s="1"/>
  <c r="L144" i="4" s="1"/>
  <c r="N144" i="4" s="1"/>
  <c r="O144" i="4" s="1"/>
  <c r="L139" i="4"/>
  <c r="N139" i="4" s="1"/>
  <c r="O139" i="4" s="1"/>
  <c r="H159" i="4"/>
  <c r="J159" i="4" s="1"/>
  <c r="L159" i="4" s="1"/>
  <c r="N159" i="4" s="1"/>
  <c r="O159" i="4" s="1"/>
  <c r="H157" i="4"/>
  <c r="J157" i="4" s="1"/>
  <c r="L157" i="4" s="1"/>
  <c r="N157" i="4" s="1"/>
  <c r="O157" i="4" s="1"/>
  <c r="H155" i="4"/>
  <c r="J155" i="4" s="1"/>
  <c r="L155" i="4" s="1"/>
  <c r="N155" i="4" s="1"/>
  <c r="O155" i="4" s="1"/>
  <c r="H153" i="4"/>
  <c r="J153" i="4" s="1"/>
  <c r="L153" i="4" s="1"/>
  <c r="N153" i="4" s="1"/>
  <c r="O153" i="4" s="1"/>
  <c r="H151" i="4"/>
  <c r="J151" i="4" s="1"/>
  <c r="L151" i="4" s="1"/>
  <c r="N151" i="4" s="1"/>
  <c r="O151" i="4" s="1"/>
  <c r="H149" i="4"/>
  <c r="J149" i="4" s="1"/>
  <c r="L149" i="4" s="1"/>
  <c r="N149" i="4" s="1"/>
  <c r="O149" i="4" s="1"/>
  <c r="H147" i="4"/>
  <c r="J147" i="4" s="1"/>
  <c r="L147" i="4" s="1"/>
  <c r="N147" i="4" s="1"/>
  <c r="O147" i="4" s="1"/>
  <c r="H145" i="4"/>
  <c r="J145" i="4" s="1"/>
  <c r="L145" i="4" s="1"/>
  <c r="N145" i="4" s="1"/>
  <c r="O145" i="4" s="1"/>
  <c r="H143" i="4"/>
  <c r="J143" i="4" s="1"/>
  <c r="L143" i="4" s="1"/>
  <c r="N143" i="4" s="1"/>
  <c r="O143" i="4" s="1"/>
  <c r="L140" i="4"/>
  <c r="N140" i="4" s="1"/>
  <c r="L138" i="4"/>
  <c r="N138" i="4" s="1"/>
  <c r="O138" i="4" s="1"/>
  <c r="L136" i="4"/>
  <c r="N136" i="4" s="1"/>
  <c r="O136" i="4" s="1"/>
  <c r="L134" i="4"/>
  <c r="N134" i="4" s="1"/>
  <c r="O134" i="4" s="1"/>
  <c r="L132" i="4"/>
  <c r="N132" i="4" s="1"/>
  <c r="O132" i="4" s="1"/>
  <c r="L130" i="4"/>
  <c r="N130" i="4" s="1"/>
  <c r="O130" i="4" s="1"/>
  <c r="L128" i="4"/>
  <c r="N128" i="4" s="1"/>
  <c r="O128" i="4" s="1"/>
  <c r="L126" i="4"/>
  <c r="N126" i="4" s="1"/>
  <c r="O126" i="4" s="1"/>
  <c r="L124" i="4"/>
  <c r="N124" i="4" s="1"/>
  <c r="O124" i="4" s="1"/>
  <c r="L118" i="4"/>
  <c r="N118" i="4" s="1"/>
  <c r="O118" i="4" s="1"/>
  <c r="L116" i="4"/>
  <c r="N116" i="4" s="1"/>
  <c r="L114" i="4"/>
  <c r="N114" i="4" s="1"/>
  <c r="O114" i="4" s="1"/>
  <c r="B48" i="2"/>
  <c r="O40" i="2"/>
  <c r="K1" i="1"/>
  <c r="E4" i="1"/>
  <c r="F4" i="1"/>
  <c r="H4" i="1" s="1"/>
  <c r="J4" i="1" s="1"/>
  <c r="K4" i="1" s="1"/>
  <c r="S4" i="1"/>
  <c r="T4" i="1" s="1"/>
  <c r="E5" i="1"/>
  <c r="H5" i="1" s="1"/>
  <c r="J5" i="1" s="1"/>
  <c r="K5" i="1" s="1"/>
  <c r="F5" i="1"/>
  <c r="E6" i="1"/>
  <c r="F6" i="1"/>
  <c r="H6" i="1" s="1"/>
  <c r="J6" i="1" s="1"/>
  <c r="K6" i="1" s="1"/>
  <c r="E7" i="1"/>
  <c r="F7" i="1"/>
  <c r="E8" i="1"/>
  <c r="F8" i="1"/>
  <c r="Q8" i="1"/>
  <c r="E9" i="1"/>
  <c r="H9" i="1" s="1"/>
  <c r="J9" i="1" s="1"/>
  <c r="K9" i="1" s="1"/>
  <c r="F9" i="1"/>
  <c r="Q9" i="1"/>
  <c r="E10" i="1"/>
  <c r="F10" i="1"/>
  <c r="Q10" i="1"/>
  <c r="E11" i="1"/>
  <c r="H11" i="1" s="1"/>
  <c r="J11" i="1" s="1"/>
  <c r="K11" i="1" s="1"/>
  <c r="F11" i="1"/>
  <c r="Q11" i="1"/>
  <c r="E12" i="1"/>
  <c r="F12" i="1"/>
  <c r="Q12" i="1"/>
  <c r="E13" i="1"/>
  <c r="F13" i="1"/>
  <c r="H13" i="1" s="1"/>
  <c r="J13" i="1" s="1"/>
  <c r="K13" i="1" s="1"/>
  <c r="Q13" i="1"/>
  <c r="E14" i="1"/>
  <c r="F14" i="1"/>
  <c r="E15" i="1"/>
  <c r="F15" i="1"/>
  <c r="E16" i="1"/>
  <c r="H16" i="1" s="1"/>
  <c r="J16" i="1" s="1"/>
  <c r="K16" i="1" s="1"/>
  <c r="F16" i="1"/>
  <c r="E17" i="1"/>
  <c r="F17" i="1"/>
  <c r="E18" i="1"/>
  <c r="H18" i="1" s="1"/>
  <c r="J18" i="1" s="1"/>
  <c r="K18" i="1" s="1"/>
  <c r="F18" i="1"/>
  <c r="E19" i="1"/>
  <c r="F19" i="1"/>
  <c r="E20" i="1"/>
  <c r="F20" i="1"/>
  <c r="E21" i="1"/>
  <c r="F21" i="1"/>
  <c r="E22" i="1"/>
  <c r="F22" i="1"/>
  <c r="W8" i="4"/>
  <c r="X8" i="4" s="1"/>
  <c r="N12" i="2"/>
  <c r="B13" i="2"/>
  <c r="M13" i="2"/>
  <c r="N13" i="2"/>
  <c r="B14" i="2" s="1"/>
  <c r="M14" i="2"/>
  <c r="N14" i="2"/>
  <c r="B15" i="2" s="1"/>
  <c r="M15" i="2"/>
  <c r="N15" i="2"/>
  <c r="B16" i="2" s="1"/>
  <c r="M16" i="2"/>
  <c r="N16" i="2"/>
  <c r="B17" i="2" s="1"/>
  <c r="M17" i="2"/>
  <c r="N17" i="2"/>
  <c r="B18" i="2" s="1"/>
  <c r="M18" i="2"/>
  <c r="N18" i="2"/>
  <c r="B19" i="2" s="1"/>
  <c r="M19" i="2"/>
  <c r="N19" i="2"/>
  <c r="B20" i="2" s="1"/>
  <c r="M20" i="2"/>
  <c r="N20" i="2"/>
  <c r="B21" i="2"/>
  <c r="M21" i="2"/>
  <c r="N21" i="2"/>
  <c r="B22" i="2" s="1"/>
  <c r="M22" i="2"/>
  <c r="N22" i="2"/>
  <c r="B23" i="2" s="1"/>
  <c r="M23" i="2"/>
  <c r="N23" i="2"/>
  <c r="B24" i="2" s="1"/>
  <c r="M24" i="2"/>
  <c r="N24" i="2"/>
  <c r="B25" i="2" s="1"/>
  <c r="B26" i="2"/>
  <c r="B27" i="2"/>
  <c r="B28" i="2"/>
  <c r="B29" i="2"/>
  <c r="B30" i="2"/>
  <c r="B31" i="2"/>
  <c r="B32" i="2"/>
  <c r="B33" i="2"/>
  <c r="B34" i="2"/>
  <c r="B35" i="2"/>
  <c r="B36" i="2"/>
  <c r="O36" i="2"/>
  <c r="P36" i="2" s="1"/>
  <c r="O37" i="2"/>
  <c r="P37" i="2" s="1"/>
  <c r="O38" i="2"/>
  <c r="P38" i="2" s="1"/>
  <c r="O39" i="2"/>
  <c r="P39" i="2" s="1"/>
  <c r="P40" i="2"/>
  <c r="O41" i="2"/>
  <c r="P41" i="2" s="1"/>
  <c r="O42" i="2"/>
  <c r="P42" i="2"/>
  <c r="B43" i="2"/>
  <c r="O43" i="2"/>
  <c r="P43" i="2" s="1"/>
  <c r="B44" i="2"/>
  <c r="O44" i="2"/>
  <c r="P44" i="2" s="1"/>
  <c r="B45" i="2"/>
  <c r="O45" i="2"/>
  <c r="P45" i="2" s="1"/>
  <c r="B46" i="2"/>
  <c r="O46" i="2"/>
  <c r="P46" i="2" s="1"/>
  <c r="B47" i="2"/>
  <c r="E348" i="2"/>
  <c r="H20" i="1" l="1"/>
  <c r="J20" i="1" s="1"/>
  <c r="K20" i="1" s="1"/>
  <c r="H12" i="1"/>
  <c r="J12" i="1" s="1"/>
  <c r="K12" i="1" s="1"/>
  <c r="H8" i="1"/>
  <c r="J8" i="1" s="1"/>
  <c r="K8" i="1" s="1"/>
  <c r="H19" i="1"/>
  <c r="J19" i="1" s="1"/>
  <c r="K19" i="1" s="1"/>
  <c r="H17" i="1"/>
  <c r="J17" i="1" s="1"/>
  <c r="K17" i="1" s="1"/>
  <c r="H15" i="1"/>
  <c r="J15" i="1" s="1"/>
  <c r="K15" i="1" s="1"/>
  <c r="H10" i="1"/>
  <c r="J10" i="1" s="1"/>
  <c r="K10" i="1" s="1"/>
  <c r="H7" i="1"/>
  <c r="J7" i="1" s="1"/>
  <c r="K7" i="1" s="1"/>
  <c r="H22" i="1"/>
  <c r="J22" i="1" s="1"/>
  <c r="K22" i="1" s="1"/>
  <c r="H14" i="1"/>
  <c r="J14" i="1" s="1"/>
  <c r="K14" i="1" s="1"/>
  <c r="H21" i="1"/>
  <c r="J21" i="1" s="1"/>
  <c r="K21" i="1" s="1"/>
</calcChain>
</file>

<file path=xl/sharedStrings.xml><?xml version="1.0" encoding="utf-8"?>
<sst xmlns="http://schemas.openxmlformats.org/spreadsheetml/2006/main" count="192" uniqueCount="162">
  <si>
    <t>VEHICULO</t>
  </si>
  <si>
    <t>FECHA DE ADQUISICIÓN</t>
  </si>
  <si>
    <t>FECHA DE ENAJENACIÓN</t>
  </si>
  <si>
    <t>MESES DE USO</t>
  </si>
  <si>
    <t>FACTOR DE DEP. MENS</t>
  </si>
  <si>
    <t>VALOR FACTURA</t>
  </si>
  <si>
    <t>VALOR ACTUAL</t>
  </si>
  <si>
    <t>PRECIO COMPRA</t>
  </si>
  <si>
    <t>DIFERENCIAL</t>
  </si>
  <si>
    <t>RETENCIÓN ISR</t>
  </si>
  <si>
    <t>ASESOR</t>
  </si>
  <si>
    <t>COMENTARIOS</t>
  </si>
  <si>
    <t>COMPRA</t>
  </si>
  <si>
    <t>VENTA</t>
  </si>
  <si>
    <t>MEDIA</t>
  </si>
  <si>
    <t>SM</t>
  </si>
  <si>
    <t>SIENNA 2012</t>
  </si>
  <si>
    <t>PMVR</t>
  </si>
  <si>
    <t>* NO APLICA RETENCIÒN PORQUE HAY 3 SALARIOS MINIMOS ANUALIZADOS APROX $62,000.00 PARA QUEDAR EXCENTOS</t>
  </si>
  <si>
    <t>TACOMA 2012</t>
  </si>
  <si>
    <t>JCP</t>
  </si>
  <si>
    <t>FJ CRUSIER</t>
  </si>
  <si>
    <t>AMLL</t>
  </si>
  <si>
    <t>ODYSSEY 2009</t>
  </si>
  <si>
    <t>JLOO</t>
  </si>
  <si>
    <t>*SE HACE LA RESPONSIVA POR $227,000.00 SE LE HARA TRANSFERENCIA AL CLIENTE POR $10,000.00, PARA DAR UN TOTAL DE $237,000.00 (MONTO DE CIERRE DE TOMA)</t>
  </si>
  <si>
    <t>SIENNA 2011</t>
  </si>
  <si>
    <t>EYC</t>
  </si>
  <si>
    <t>SIENNA LTD 2012</t>
  </si>
  <si>
    <t>ACADIA 2012</t>
  </si>
  <si>
    <t>ALBERTO</t>
  </si>
  <si>
    <t>*QUEDA EXCENTO DE RETENCION PORQUE NO HAY DIFERENCIAL</t>
  </si>
  <si>
    <t>TACOMA 4X4 2013</t>
  </si>
  <si>
    <t>TACOMA 4X2 2013</t>
  </si>
  <si>
    <t>TOPE DE EXENSION 63.77SMZG (X) 365 (3)   =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</si>
  <si>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</si>
  <si>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</si>
  <si>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</si>
  <si>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</si>
  <si>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</si>
  <si>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</si>
  <si>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</si>
  <si>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</si>
  <si>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</si>
  <si>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</si>
  <si>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</si>
  <si>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</si>
  <si>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 </t>
  </si>
  <si>
    <t>INPC pubicado en el DOF enero 2011</t>
  </si>
  <si>
    <t>FACTOR DE ACT</t>
  </si>
  <si>
    <t>COSTO SIN ACTUALIZ</t>
  </si>
  <si>
    <t>DIFERENCIA</t>
  </si>
  <si>
    <t>COSTO ACTUALIZADO</t>
  </si>
  <si>
    <t>EXCENCION</t>
  </si>
  <si>
    <t>BASE P/RETENCION</t>
  </si>
  <si>
    <t>ISR</t>
  </si>
  <si>
    <t>PRECIO DE COMPRA</t>
  </si>
  <si>
    <t>ALECSA CELAYA, SRL DE CV</t>
  </si>
  <si>
    <t>CALCULO DE RETENCION DE ISR POR COMPRA DE VEHICULOS USADOS</t>
  </si>
  <si>
    <t>0001-TCU16</t>
  </si>
  <si>
    <t>0002-TCU16</t>
  </si>
  <si>
    <t>0003-TCU16</t>
  </si>
  <si>
    <t>0004-TCU16</t>
  </si>
  <si>
    <t>0005-TCU16</t>
  </si>
  <si>
    <t>0006-TCU16</t>
  </si>
  <si>
    <t>0007-TCU16</t>
  </si>
  <si>
    <t>0008-TCU16</t>
  </si>
  <si>
    <t>0009-TCU16</t>
  </si>
  <si>
    <t>0010-TCU16</t>
  </si>
  <si>
    <t>0011-TCU16</t>
  </si>
  <si>
    <t>0012-TCU16</t>
  </si>
  <si>
    <t>0013-TCU16</t>
  </si>
  <si>
    <t>0014-TCU16</t>
  </si>
  <si>
    <t>0015-TCU16</t>
  </si>
  <si>
    <t>0016-TCU16</t>
  </si>
  <si>
    <t>0017-TCU16</t>
  </si>
  <si>
    <t>0018-TCU16</t>
  </si>
  <si>
    <t>0019-TCU16</t>
  </si>
  <si>
    <t>0020-TCU16</t>
  </si>
  <si>
    <t>0021-TCU16</t>
  </si>
  <si>
    <t>0022-TCU16</t>
  </si>
  <si>
    <t>0023-TCU16</t>
  </si>
  <si>
    <t>0024-TCU16</t>
  </si>
  <si>
    <t>0025-TCU16</t>
  </si>
  <si>
    <t>0026-TCU16</t>
  </si>
  <si>
    <t>0027-TCU16</t>
  </si>
  <si>
    <t>0028-TCU16</t>
  </si>
  <si>
    <t>0029-TCU16</t>
  </si>
  <si>
    <t>0030-TCU16</t>
  </si>
  <si>
    <t>0031-TCU16</t>
  </si>
  <si>
    <t>0032-TCU16</t>
  </si>
  <si>
    <t>0033-TCU16</t>
  </si>
  <si>
    <t>0034-TCU16</t>
  </si>
  <si>
    <t>0035-TCU16</t>
  </si>
  <si>
    <t>0036-TCU16</t>
  </si>
  <si>
    <t>0037-TCU16</t>
  </si>
  <si>
    <t>0038-TCU16</t>
  </si>
  <si>
    <t>0039-TCU16</t>
  </si>
  <si>
    <t>0040-TCU16</t>
  </si>
  <si>
    <t>0041-TCU16</t>
  </si>
  <si>
    <t>0042-TCU16</t>
  </si>
  <si>
    <t>0043-TCU16</t>
  </si>
  <si>
    <t>0044-TCU16</t>
  </si>
  <si>
    <t>0045-TCU16</t>
  </si>
  <si>
    <t>0046-TCU16</t>
  </si>
  <si>
    <t>0047-TCU16</t>
  </si>
  <si>
    <t>0048-TCU16</t>
  </si>
  <si>
    <t>0049-TCU16</t>
  </si>
  <si>
    <t>0050-TCU16</t>
  </si>
  <si>
    <t>0051-TCU16</t>
  </si>
  <si>
    <t>0052-TCU16</t>
  </si>
  <si>
    <t>0053-TCU16</t>
  </si>
  <si>
    <t>0054-TCU16</t>
  </si>
  <si>
    <t>0055-TCU16</t>
  </si>
  <si>
    <t>0056-TCU16</t>
  </si>
  <si>
    <t>0057-TCU16</t>
  </si>
  <si>
    <t>0058-TCU16</t>
  </si>
  <si>
    <t>0059-TCU16</t>
  </si>
  <si>
    <t>0060-TCU16</t>
  </si>
  <si>
    <t>0061-TCU16</t>
  </si>
  <si>
    <t>0062-TCU16</t>
  </si>
  <si>
    <t>0063-TCU16</t>
  </si>
  <si>
    <t>0064-TCU16</t>
  </si>
  <si>
    <t>0065-TCU16</t>
  </si>
  <si>
    <t>0066-TCU16</t>
  </si>
  <si>
    <t>0067-TCU16</t>
  </si>
  <si>
    <t>0069-TCU16</t>
  </si>
  <si>
    <t>0070-TCU16</t>
  </si>
  <si>
    <t>0071-TCU16</t>
  </si>
  <si>
    <t>0072-TCU16</t>
  </si>
  <si>
    <t>0073-TCU16</t>
  </si>
  <si>
    <t>0074-TCU16</t>
  </si>
  <si>
    <t>0075-TCU16</t>
  </si>
  <si>
    <t>0077-TCU16</t>
  </si>
  <si>
    <t>0078-TCU16</t>
  </si>
  <si>
    <t>0079-TCU16</t>
  </si>
  <si>
    <t>0080-TCU16</t>
  </si>
  <si>
    <t>0081-TCU16</t>
  </si>
  <si>
    <t>0082-TCU16</t>
  </si>
  <si>
    <t>0083-TCU16</t>
  </si>
  <si>
    <t>0084-TCU16</t>
  </si>
  <si>
    <t>0085-TCU16</t>
  </si>
  <si>
    <t>0086-TCU16</t>
  </si>
  <si>
    <t>0087-TCU16</t>
  </si>
  <si>
    <t>0088-TCU16</t>
  </si>
  <si>
    <t>0089-TCU16</t>
  </si>
  <si>
    <t>0090-TCU16</t>
  </si>
  <si>
    <t>0091-TCU16</t>
  </si>
  <si>
    <t>0092-TCU16</t>
  </si>
  <si>
    <t>0093-TCU16</t>
  </si>
  <si>
    <t>0094-TCU16</t>
  </si>
  <si>
    <t>0095-TCU16</t>
  </si>
  <si>
    <t>0096-TCU16</t>
  </si>
  <si>
    <t>0097-TCU16</t>
  </si>
  <si>
    <t>0098-TCU16</t>
  </si>
  <si>
    <t>0099-TCU16</t>
  </si>
  <si>
    <t>0100-TCU16</t>
  </si>
  <si>
    <t>0101-TCU16</t>
  </si>
  <si>
    <t>0102-TCU16</t>
  </si>
  <si>
    <t>0103-TCU16</t>
  </si>
  <si>
    <t>0104-TCU16</t>
  </si>
  <si>
    <t>0105-TCU16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</si>
</sst>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-;\-* #,##0.00_-;_-* &quot;-&quot;??_-;_-@_-"/>
    <numFmt numFmtId="165" formatCode="dd/mm/yy"/>
    <numFmt numFmtId="166" formatCode="[$$-80A]#,##0.00;[Red]\-[$$-80A]#,##0.00"/>
    <numFmt numFmtId="167" formatCode="&quot; $&quot;#,##0.00\ ;&quot;-$&quot;#,##0.00\ ;&quot; $-&quot;#\ ;@\ "/>
    <numFmt numFmtId="168" formatCode="\$#,##0.00;[Red]&quot;-$&quot;#,##0.00"/>
    <numFmt numFmtId="169" formatCode="0.00\ ;[Red]\-0.00\ "/>
    <numFmt numFmtId="170" formatCode="0.0000"/>
    <numFmt numFmtId="171" formatCode="0.000"/>
    <numFmt numFmtId="172" formatCode="0.00000"/>
    <numFmt numFmtId="173" formatCode="0.0"/>
    <numFmt numFmtId="174" formatCode="_-* #,##0.0000_-;\-* #,##0.0000_-;_-* &quot;-&quot;??_-;_-@_-"/>
    <numFmt numFmtId="175" formatCode="dd/mm/yyyy;@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8"/>
      <color indexed="6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70C0"/>
      <name val="Arial"/>
      <family val="2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hair">
        <color rgb="FF6600CC"/>
      </left>
      <right style="hair">
        <color rgb="FF6600CC"/>
      </right>
      <top style="hair">
        <color rgb="FF6600CC"/>
      </top>
      <bottom style="hair">
        <color rgb="FF6600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rgb="FF7030A0"/>
      </left>
      <right style="dotted">
        <color rgb="FF7030A0"/>
      </right>
      <top style="medium">
        <color theme="1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medium">
        <color theme="1"/>
      </top>
      <bottom/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dotted">
        <color rgb="FF7030A0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7" fontId="6" fillId="0" borderId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166" fontId="0" fillId="2" borderId="7" xfId="0" applyNumberFormat="1" applyFill="1" applyBorder="1" applyAlignment="1">
      <alignment horizontal="center" vertical="center"/>
    </xf>
    <xf numFmtId="166" fontId="0" fillId="2" borderId="7" xfId="0" applyNumberFormat="1" applyFill="1" applyBorder="1" applyAlignment="1" applyProtection="1">
      <alignment horizontal="center" vertical="center"/>
      <protection locked="0"/>
    </xf>
    <xf numFmtId="168" fontId="2" fillId="2" borderId="7" xfId="2" applyNumberFormat="1" applyFont="1" applyFill="1" applyBorder="1" applyAlignment="1" applyProtection="1">
      <alignment horizontal="center" vertical="center"/>
      <protection locked="0"/>
    </xf>
    <xf numFmtId="168" fontId="2" fillId="2" borderId="8" xfId="2" applyNumberFormat="1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166" fontId="0" fillId="0" borderId="7" xfId="0" applyNumberFormat="1" applyBorder="1" applyAlignment="1">
      <alignment horizontal="center" vertical="center"/>
    </xf>
    <xf numFmtId="166" fontId="0" fillId="3" borderId="7" xfId="0" applyNumberFormat="1" applyFill="1" applyBorder="1" applyAlignment="1" applyProtection="1">
      <alignment horizontal="center" vertical="center"/>
      <protection locked="0"/>
    </xf>
    <xf numFmtId="168" fontId="2" fillId="3" borderId="7" xfId="2" applyNumberFormat="1" applyFont="1" applyFill="1" applyBorder="1" applyAlignment="1" applyProtection="1">
      <alignment horizontal="center" vertical="center"/>
      <protection locked="0"/>
    </xf>
    <xf numFmtId="168" fontId="2" fillId="3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locked="0"/>
    </xf>
    <xf numFmtId="166" fontId="0" fillId="0" borderId="15" xfId="0" applyNumberFormat="1" applyBorder="1" applyAlignment="1">
      <alignment horizontal="center" vertical="center"/>
    </xf>
    <xf numFmtId="166" fontId="0" fillId="3" borderId="15" xfId="0" applyNumberFormat="1" applyFill="1" applyBorder="1" applyAlignment="1" applyProtection="1">
      <alignment horizontal="center" vertical="center"/>
      <protection locked="0"/>
    </xf>
    <xf numFmtId="168" fontId="2" fillId="3" borderId="15" xfId="2" applyNumberFormat="1" applyFont="1" applyFill="1" applyBorder="1" applyAlignment="1" applyProtection="1">
      <alignment horizontal="center" vertical="center"/>
      <protection locked="0"/>
    </xf>
    <xf numFmtId="168" fontId="2" fillId="3" borderId="16" xfId="2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64" fontId="1" fillId="0" borderId="0" xfId="1"/>
    <xf numFmtId="0" fontId="0" fillId="0" borderId="0" xfId="0" applyFont="1"/>
    <xf numFmtId="0" fontId="0" fillId="4" borderId="0" xfId="0" applyFont="1" applyFill="1"/>
    <xf numFmtId="170" fontId="0" fillId="0" borderId="0" xfId="0" applyNumberFormat="1" applyFont="1"/>
    <xf numFmtId="172" fontId="0" fillId="0" borderId="0" xfId="0" applyNumberFormat="1" applyFont="1"/>
    <xf numFmtId="170" fontId="0" fillId="4" borderId="0" xfId="0" applyNumberFormat="1" applyFont="1" applyFill="1"/>
    <xf numFmtId="0" fontId="3" fillId="0" borderId="0" xfId="0" applyFont="1"/>
    <xf numFmtId="170" fontId="3" fillId="0" borderId="0" xfId="0" applyNumberFormat="1" applyFont="1"/>
    <xf numFmtId="170" fontId="3" fillId="4" borderId="0" xfId="0" applyNumberFormat="1" applyFont="1" applyFill="1"/>
    <xf numFmtId="173" fontId="4" fillId="0" borderId="0" xfId="0" applyNumberFormat="1" applyFont="1"/>
    <xf numFmtId="170" fontId="0" fillId="0" borderId="0" xfId="0" applyNumberFormat="1"/>
    <xf numFmtId="0" fontId="0" fillId="0" borderId="0" xfId="0" applyFill="1"/>
    <xf numFmtId="170" fontId="0" fillId="0" borderId="0" xfId="0" applyNumberFormat="1" applyFont="1" applyFill="1"/>
    <xf numFmtId="170" fontId="0" fillId="0" borderId="0" xfId="0" applyNumberFormat="1" applyFill="1"/>
    <xf numFmtId="0" fontId="1" fillId="0" borderId="0" xfId="0" applyFont="1"/>
    <xf numFmtId="170" fontId="1" fillId="0" borderId="0" xfId="0" applyNumberFormat="1" applyFont="1"/>
    <xf numFmtId="0" fontId="1" fillId="4" borderId="0" xfId="0" applyFont="1" applyFill="1"/>
    <xf numFmtId="171" fontId="0" fillId="0" borderId="0" xfId="0" applyNumberFormat="1"/>
    <xf numFmtId="0" fontId="0" fillId="4" borderId="0" xfId="0" applyFill="1"/>
    <xf numFmtId="172" fontId="0" fillId="0" borderId="0" xfId="0" applyNumberFormat="1"/>
    <xf numFmtId="171" fontId="1" fillId="0" borderId="0" xfId="0" applyNumberFormat="1" applyFont="1"/>
    <xf numFmtId="171" fontId="0" fillId="0" borderId="0" xfId="0" applyNumberFormat="1" applyFont="1" applyFill="1" applyBorder="1" applyAlignment="1">
      <alignment horizontal="center"/>
    </xf>
    <xf numFmtId="171" fontId="1" fillId="4" borderId="0" xfId="0" applyNumberFormat="1" applyFont="1" applyFill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0" fontId="7" fillId="0" borderId="0" xfId="0" applyNumberFormat="1" applyFont="1"/>
    <xf numFmtId="170" fontId="7" fillId="0" borderId="0" xfId="0" applyNumberFormat="1" applyFont="1" applyFill="1"/>
    <xf numFmtId="171" fontId="7" fillId="0" borderId="0" xfId="0" applyNumberFormat="1" applyFont="1"/>
    <xf numFmtId="0" fontId="7" fillId="0" borderId="0" xfId="0" applyFont="1" applyBorder="1"/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Fill="1"/>
    <xf numFmtId="171" fontId="0" fillId="0" borderId="0" xfId="0" applyNumberFormat="1" applyFont="1" applyFill="1"/>
    <xf numFmtId="171" fontId="1" fillId="0" borderId="0" xfId="0" applyNumberFormat="1" applyFont="1" applyFill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24" xfId="0" applyBorder="1"/>
    <xf numFmtId="164" fontId="1" fillId="0" borderId="24" xfId="1" applyFill="1" applyBorder="1" applyAlignment="1" applyProtection="1">
      <alignment horizontal="center" vertical="center"/>
      <protection locked="0"/>
    </xf>
    <xf numFmtId="0" fontId="0" fillId="0" borderId="24" xfId="0" applyFill="1" applyBorder="1"/>
    <xf numFmtId="0" fontId="8" fillId="0" borderId="24" xfId="0" applyFont="1" applyFill="1" applyBorder="1" applyAlignment="1">
      <alignment vertical="center"/>
    </xf>
    <xf numFmtId="164" fontId="0" fillId="0" borderId="24" xfId="1" applyFont="1" applyFill="1" applyBorder="1" applyAlignment="1">
      <alignment horizontal="center" vertical="center"/>
    </xf>
    <xf numFmtId="174" fontId="0" fillId="0" borderId="24" xfId="1" applyNumberFormat="1" applyFont="1" applyFill="1" applyBorder="1" applyAlignment="1" applyProtection="1">
      <alignment horizontal="center" vertical="center"/>
      <protection locked="0"/>
    </xf>
    <xf numFmtId="164" fontId="0" fillId="0" borderId="24" xfId="1" applyFont="1" applyFill="1" applyBorder="1" applyAlignment="1" applyProtection="1">
      <alignment horizontal="center" vertical="center"/>
      <protection locked="0"/>
    </xf>
    <xf numFmtId="0" fontId="0" fillId="0" borderId="24" xfId="0" applyFont="1" applyFill="1" applyBorder="1"/>
    <xf numFmtId="0" fontId="0" fillId="0" borderId="24" xfId="0" applyFill="1" applyBorder="1" applyAlignment="1">
      <alignment vertical="center"/>
    </xf>
    <xf numFmtId="0" fontId="7" fillId="0" borderId="24" xfId="0" applyFont="1" applyFill="1" applyBorder="1"/>
    <xf numFmtId="164" fontId="0" fillId="0" borderId="24" xfId="1" applyFont="1" applyFill="1" applyBorder="1"/>
    <xf numFmtId="0" fontId="0" fillId="0" borderId="24" xfId="0" applyFont="1" applyBorder="1"/>
    <xf numFmtId="2" fontId="0" fillId="0" borderId="24" xfId="0" applyNumberFormat="1" applyFont="1" applyFill="1" applyBorder="1" applyAlignment="1" applyProtection="1">
      <alignment horizontal="center" vertical="center"/>
      <protection locked="0"/>
    </xf>
    <xf numFmtId="170" fontId="0" fillId="0" borderId="24" xfId="0" applyNumberFormat="1" applyFont="1" applyFill="1" applyBorder="1" applyAlignment="1" applyProtection="1">
      <alignment horizontal="center" vertical="center"/>
      <protection locked="0"/>
    </xf>
    <xf numFmtId="4" fontId="0" fillId="0" borderId="24" xfId="0" applyNumberFormat="1" applyFont="1" applyBorder="1"/>
    <xf numFmtId="164" fontId="0" fillId="0" borderId="24" xfId="1" applyFont="1" applyBorder="1"/>
    <xf numFmtId="175" fontId="0" fillId="0" borderId="24" xfId="0" applyNumberFormat="1" applyFont="1" applyFill="1" applyBorder="1" applyAlignment="1">
      <alignment horizontal="center" vertical="center"/>
    </xf>
    <xf numFmtId="175" fontId="0" fillId="0" borderId="24" xfId="0" applyNumberFormat="1" applyFont="1" applyBorder="1"/>
    <xf numFmtId="175" fontId="0" fillId="0" borderId="24" xfId="0" applyNumberFormat="1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24" xfId="0" applyFont="1" applyBorder="1"/>
    <xf numFmtId="175" fontId="10" fillId="0" borderId="24" xfId="0" applyNumberFormat="1" applyFont="1" applyBorder="1"/>
    <xf numFmtId="4" fontId="10" fillId="0" borderId="24" xfId="0" applyNumberFormat="1" applyFont="1" applyBorder="1"/>
    <xf numFmtId="0" fontId="11" fillId="0" borderId="20" xfId="0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31" xfId="0" applyBorder="1"/>
    <xf numFmtId="175" fontId="0" fillId="0" borderId="32" xfId="0" applyNumberFormat="1" applyFill="1" applyBorder="1" applyAlignment="1">
      <alignment horizontal="center" vertical="center"/>
    </xf>
    <xf numFmtId="14" fontId="0" fillId="0" borderId="32" xfId="0" applyNumberFormat="1" applyBorder="1"/>
    <xf numFmtId="2" fontId="0" fillId="0" borderId="32" xfId="0" applyNumberFormat="1" applyFill="1" applyBorder="1" applyAlignment="1" applyProtection="1">
      <alignment horizontal="center" vertical="center"/>
      <protection locked="0"/>
    </xf>
    <xf numFmtId="170" fontId="0" fillId="0" borderId="32" xfId="0" applyNumberFormat="1" applyFill="1" applyBorder="1" applyAlignment="1" applyProtection="1">
      <alignment horizontal="center" vertical="center"/>
      <protection locked="0"/>
    </xf>
    <xf numFmtId="164" fontId="1" fillId="0" borderId="32" xfId="1" applyFill="1" applyBorder="1" applyAlignment="1">
      <alignment horizontal="center" vertical="center"/>
    </xf>
    <xf numFmtId="164" fontId="1" fillId="0" borderId="32" xfId="1" applyFill="1" applyBorder="1" applyAlignment="1" applyProtection="1">
      <alignment horizontal="center" vertical="center"/>
      <protection locked="0"/>
    </xf>
    <xf numFmtId="174" fontId="1" fillId="0" borderId="32" xfId="1" applyNumberFormat="1" applyFill="1" applyBorder="1" applyAlignment="1" applyProtection="1">
      <alignment horizontal="center" vertical="center"/>
      <protection locked="0"/>
    </xf>
    <xf numFmtId="4" fontId="0" fillId="0" borderId="32" xfId="0" applyNumberFormat="1" applyBorder="1"/>
    <xf numFmtId="164" fontId="1" fillId="0" borderId="31" xfId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ill="1" applyBorder="1"/>
    <xf numFmtId="0" fontId="0" fillId="0" borderId="33" xfId="0" applyBorder="1"/>
    <xf numFmtId="175" fontId="0" fillId="0" borderId="33" xfId="0" applyNumberFormat="1" applyFill="1" applyBorder="1" applyAlignment="1">
      <alignment horizontal="center" vertical="center"/>
    </xf>
    <xf numFmtId="14" fontId="0" fillId="0" borderId="33" xfId="0" applyNumberFormat="1" applyBorder="1"/>
    <xf numFmtId="2" fontId="0" fillId="0" borderId="33" xfId="0" applyNumberFormat="1" applyFill="1" applyBorder="1" applyAlignment="1" applyProtection="1">
      <alignment horizontal="center" vertical="center"/>
      <protection locked="0"/>
    </xf>
    <xf numFmtId="170" fontId="0" fillId="0" borderId="33" xfId="0" applyNumberFormat="1" applyFill="1" applyBorder="1" applyAlignment="1" applyProtection="1">
      <alignment horizontal="center" vertical="center"/>
      <protection locked="0"/>
    </xf>
    <xf numFmtId="164" fontId="1" fillId="0" borderId="33" xfId="1" applyFill="1" applyBorder="1" applyAlignment="1">
      <alignment horizontal="center" vertical="center"/>
    </xf>
    <xf numFmtId="164" fontId="1" fillId="0" borderId="33" xfId="1" applyFill="1" applyBorder="1" applyAlignment="1" applyProtection="1">
      <alignment horizontal="center" vertical="center"/>
      <protection locked="0"/>
    </xf>
    <xf numFmtId="174" fontId="1" fillId="0" borderId="33" xfId="1" applyNumberFormat="1" applyFill="1" applyBorder="1" applyAlignment="1" applyProtection="1">
      <alignment horizontal="center" vertical="center"/>
      <protection locked="0"/>
    </xf>
    <xf numFmtId="4" fontId="0" fillId="0" borderId="33" xfId="0" applyNumberFormat="1" applyBorder="1"/>
    <xf numFmtId="0" fontId="12" fillId="0" borderId="33" xfId="0" applyFont="1" applyBorder="1"/>
    <xf numFmtId="14" fontId="12" fillId="0" borderId="33" xfId="0" applyNumberFormat="1" applyFont="1" applyBorder="1"/>
    <xf numFmtId="4" fontId="12" fillId="0" borderId="33" xfId="0" applyNumberFormat="1" applyFont="1" applyBorder="1"/>
    <xf numFmtId="0" fontId="9" fillId="7" borderId="25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00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276225</xdr:colOff>
      <xdr:row>3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019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1.107.8.56\Users\users\Documents%20and%20Settings\tpacontabilidad\Mis%20documentos\ContabilidadToyota\Conciliacion%20de%20cuentas%20contables%20Pachuca\Pachuca%202013\INFORMATIVAS%202013\ANUAL%202013\ISR%20ALECSA%20PACHU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"/>
      <sheetName val="ERes"/>
      <sheetName val="Datos"/>
      <sheetName val="DIVIDENDOS"/>
      <sheetName val="BzaCompr"/>
      <sheetName val="PP ISR"/>
      <sheetName val="IETU"/>
      <sheetName val="AInf"/>
      <sheetName val="DepF"/>
      <sheetName val="SProm"/>
      <sheetName val="CInf"/>
      <sheetName val="Acum"/>
      <sheetName val="ISR"/>
      <sheetName val="VTA AF"/>
      <sheetName val="FACTORES DEP"/>
      <sheetName val="Ind"/>
    </sheetNames>
    <sheetDataSet>
      <sheetData sheetId="0">
        <row r="17">
          <cell r="D17">
            <v>1381735.69</v>
          </cell>
        </row>
        <row r="18">
          <cell r="D18">
            <v>2075827.26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workbookViewId="0">
      <selection activeCell="J11" sqref="J11"/>
    </sheetView>
  </sheetViews>
  <sheetFormatPr baseColWidth="10" defaultRowHeight="12.75" x14ac:dyDescent="0.2"/>
  <cols>
    <col min="1" max="1" width="4.85546875" customWidth="1"/>
    <col min="2" max="2" width="19" customWidth="1"/>
    <col min="3" max="3" width="13" customWidth="1"/>
    <col min="4" max="4" width="14.140625" customWidth="1"/>
    <col min="5" max="5" width="9" customWidth="1"/>
    <col min="7" max="7" width="11.85546875" customWidth="1"/>
    <col min="8" max="8" width="12.140625" customWidth="1"/>
    <col min="9" max="9" width="12" customWidth="1"/>
    <col min="10" max="10" width="13.140625" customWidth="1"/>
    <col min="11" max="11" width="11.5703125" customWidth="1"/>
    <col min="12" max="12" width="10.5703125" customWidth="1"/>
    <col min="13" max="13" width="57" customWidth="1"/>
    <col min="15" max="20" width="0" hidden="1" customWidth="1"/>
  </cols>
  <sheetData>
    <row r="1" spans="1:20" x14ac:dyDescent="0.2">
      <c r="G1" t="s">
        <v>34</v>
      </c>
      <c r="K1" s="44">
        <f>63.77*365*3</f>
        <v>69828.150000000009</v>
      </c>
    </row>
    <row r="2" spans="1:20" s="1" customFormat="1" ht="15.95" customHeight="1" x14ac:dyDescent="0.2">
      <c r="E2" s="43"/>
    </row>
    <row r="3" spans="1:20" s="2" customFormat="1" ht="34.35" customHeight="1" x14ac:dyDescent="0.2">
      <c r="B3" s="3" t="s">
        <v>0</v>
      </c>
      <c r="C3" s="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4" t="s">
        <v>10</v>
      </c>
      <c r="M3" s="6" t="s">
        <v>11</v>
      </c>
      <c r="O3" s="2" t="s">
        <v>12</v>
      </c>
      <c r="P3" s="2" t="s">
        <v>13</v>
      </c>
      <c r="Q3" s="2" t="s">
        <v>14</v>
      </c>
      <c r="R3" s="2" t="s">
        <v>15</v>
      </c>
    </row>
    <row r="4" spans="1:20" s="2" customFormat="1" ht="32.1" customHeight="1" x14ac:dyDescent="0.2">
      <c r="A4" s="2">
        <v>1</v>
      </c>
      <c r="B4" s="7" t="s">
        <v>16</v>
      </c>
      <c r="C4" s="8">
        <v>41055</v>
      </c>
      <c r="D4" s="9">
        <v>41708</v>
      </c>
      <c r="E4" s="10">
        <f t="shared" ref="E4:E22" si="0">(D4-C4)/30</f>
        <v>21.766666666666666</v>
      </c>
      <c r="F4" s="10">
        <f t="shared" ref="F4:F22" si="1">0.2/12</f>
        <v>1.6666666666666666E-2</v>
      </c>
      <c r="G4" s="11">
        <v>633900</v>
      </c>
      <c r="H4" s="12">
        <f t="shared" ref="H4:H22" si="2">G4-(G4*F4*E4)</f>
        <v>403935.16666666669</v>
      </c>
      <c r="I4" s="11">
        <v>425000</v>
      </c>
      <c r="J4" s="13">
        <f t="shared" ref="J4:J22" si="3">I4-H4</f>
        <v>21064.833333333314</v>
      </c>
      <c r="K4" s="14">
        <f t="shared" ref="K4:K22" si="4">J4*0.2</f>
        <v>4212.9666666666626</v>
      </c>
      <c r="L4" s="15" t="s">
        <v>17</v>
      </c>
      <c r="M4" s="16" t="s">
        <v>18</v>
      </c>
      <c r="R4" s="2">
        <v>57</v>
      </c>
      <c r="S4" s="2">
        <f>R4*365</f>
        <v>20805</v>
      </c>
      <c r="T4" s="2">
        <f>S4*3</f>
        <v>62415</v>
      </c>
    </row>
    <row r="5" spans="1:20" s="2" customFormat="1" ht="32.1" customHeight="1" x14ac:dyDescent="0.2">
      <c r="A5" s="2">
        <v>2</v>
      </c>
      <c r="B5" s="17" t="s">
        <v>19</v>
      </c>
      <c r="C5" s="18">
        <v>40956</v>
      </c>
      <c r="D5" s="19">
        <v>41719</v>
      </c>
      <c r="E5" s="20">
        <f t="shared" si="0"/>
        <v>25.433333333333334</v>
      </c>
      <c r="F5" s="20">
        <f t="shared" si="1"/>
        <v>1.6666666666666666E-2</v>
      </c>
      <c r="G5" s="21">
        <v>380200</v>
      </c>
      <c r="H5" s="22">
        <f t="shared" si="2"/>
        <v>219037.44444444444</v>
      </c>
      <c r="I5" s="21">
        <v>265000</v>
      </c>
      <c r="J5" s="23">
        <f t="shared" si="3"/>
        <v>45962.555555555562</v>
      </c>
      <c r="K5" s="24">
        <f t="shared" si="4"/>
        <v>9192.5111111111128</v>
      </c>
      <c r="L5" s="25" t="s">
        <v>20</v>
      </c>
      <c r="M5" s="26" t="s">
        <v>18</v>
      </c>
    </row>
    <row r="6" spans="1:20" s="2" customFormat="1" ht="18.600000000000001" customHeight="1" x14ac:dyDescent="0.2">
      <c r="A6" s="2">
        <v>3</v>
      </c>
      <c r="B6" s="17" t="s">
        <v>21</v>
      </c>
      <c r="C6" s="18">
        <v>40179</v>
      </c>
      <c r="D6" s="27">
        <v>41710</v>
      </c>
      <c r="E6" s="20">
        <f t="shared" si="0"/>
        <v>51.033333333333331</v>
      </c>
      <c r="F6" s="20">
        <f t="shared" si="1"/>
        <v>1.6666666666666666E-2</v>
      </c>
      <c r="G6" s="21">
        <v>421500</v>
      </c>
      <c r="H6" s="22">
        <f t="shared" si="2"/>
        <v>62990.833333333372</v>
      </c>
      <c r="I6" s="21">
        <v>240000</v>
      </c>
      <c r="J6" s="23">
        <f t="shared" si="3"/>
        <v>177009.16666666663</v>
      </c>
      <c r="K6" s="24">
        <f t="shared" si="4"/>
        <v>35401.833333333328</v>
      </c>
      <c r="L6" s="25" t="s">
        <v>22</v>
      </c>
      <c r="M6" s="28"/>
    </row>
    <row r="7" spans="1:20" s="2" customFormat="1" ht="38.1" customHeight="1" x14ac:dyDescent="0.2">
      <c r="A7" s="2">
        <v>4</v>
      </c>
      <c r="B7" s="17" t="s">
        <v>23</v>
      </c>
      <c r="C7" s="18">
        <v>39811</v>
      </c>
      <c r="D7" s="27">
        <v>41717</v>
      </c>
      <c r="E7" s="20">
        <f t="shared" si="0"/>
        <v>63.533333333333331</v>
      </c>
      <c r="F7" s="20">
        <f t="shared" si="1"/>
        <v>1.6666666666666666E-2</v>
      </c>
      <c r="G7" s="21">
        <v>478500</v>
      </c>
      <c r="H7" s="22">
        <f t="shared" si="2"/>
        <v>-28178.333333333314</v>
      </c>
      <c r="I7" s="21">
        <v>237000</v>
      </c>
      <c r="J7" s="23">
        <f t="shared" si="3"/>
        <v>265178.33333333331</v>
      </c>
      <c r="K7" s="24">
        <f t="shared" si="4"/>
        <v>53035.666666666664</v>
      </c>
      <c r="L7" s="25" t="s">
        <v>24</v>
      </c>
      <c r="M7" s="28" t="s">
        <v>25</v>
      </c>
    </row>
    <row r="8" spans="1:20" s="2" customFormat="1" ht="18.600000000000001" customHeight="1" x14ac:dyDescent="0.2">
      <c r="A8" s="2">
        <v>5</v>
      </c>
      <c r="B8" s="17" t="s">
        <v>26</v>
      </c>
      <c r="C8" s="18">
        <v>40813</v>
      </c>
      <c r="D8" s="27">
        <v>41718</v>
      </c>
      <c r="E8" s="20">
        <f t="shared" si="0"/>
        <v>30.166666666666668</v>
      </c>
      <c r="F8" s="20">
        <f t="shared" si="1"/>
        <v>1.6666666666666666E-2</v>
      </c>
      <c r="G8" s="21">
        <v>508500</v>
      </c>
      <c r="H8" s="22">
        <f t="shared" si="2"/>
        <v>252837.5</v>
      </c>
      <c r="I8" s="21">
        <v>310000</v>
      </c>
      <c r="J8" s="23">
        <f t="shared" si="3"/>
        <v>57162.5</v>
      </c>
      <c r="K8" s="24">
        <f t="shared" si="4"/>
        <v>11432.5</v>
      </c>
      <c r="L8" s="25" t="s">
        <v>27</v>
      </c>
      <c r="M8" s="28"/>
      <c r="O8" s="2">
        <v>306</v>
      </c>
      <c r="P8" s="2">
        <v>346</v>
      </c>
      <c r="Q8" s="2">
        <f t="shared" ref="Q8:Q13" si="5">(P8+O8)/2</f>
        <v>326</v>
      </c>
    </row>
    <row r="9" spans="1:20" s="2" customFormat="1" ht="18.600000000000001" customHeight="1" x14ac:dyDescent="0.2">
      <c r="A9" s="2">
        <v>6</v>
      </c>
      <c r="B9" s="17" t="s">
        <v>28</v>
      </c>
      <c r="C9" s="18">
        <v>40870</v>
      </c>
      <c r="D9" s="27">
        <v>41721</v>
      </c>
      <c r="E9" s="20">
        <f t="shared" si="0"/>
        <v>28.366666666666667</v>
      </c>
      <c r="F9" s="20">
        <f t="shared" si="1"/>
        <v>1.6666666666666666E-2</v>
      </c>
      <c r="G9" s="21">
        <v>639100</v>
      </c>
      <c r="H9" s="22">
        <f t="shared" si="2"/>
        <v>336947.72222222225</v>
      </c>
      <c r="I9" s="21">
        <v>435000</v>
      </c>
      <c r="J9" s="23">
        <f t="shared" si="3"/>
        <v>98052.277777777752</v>
      </c>
      <c r="K9" s="24">
        <f t="shared" si="4"/>
        <v>19610.455555555553</v>
      </c>
      <c r="L9" s="25" t="s">
        <v>27</v>
      </c>
      <c r="M9" s="26"/>
      <c r="O9" s="2">
        <v>408</v>
      </c>
      <c r="P9" s="2">
        <v>462</v>
      </c>
      <c r="Q9" s="2">
        <f t="shared" si="5"/>
        <v>435</v>
      </c>
    </row>
    <row r="10" spans="1:20" s="2" customFormat="1" ht="27.6" customHeight="1" x14ac:dyDescent="0.2">
      <c r="A10" s="2">
        <v>7</v>
      </c>
      <c r="B10" s="17" t="s">
        <v>29</v>
      </c>
      <c r="C10" s="18">
        <v>40966</v>
      </c>
      <c r="D10" s="27">
        <v>41725</v>
      </c>
      <c r="E10" s="20">
        <f t="shared" si="0"/>
        <v>25.3</v>
      </c>
      <c r="F10" s="20">
        <f t="shared" si="1"/>
        <v>1.6666666666666666E-2</v>
      </c>
      <c r="G10" s="21">
        <v>623200</v>
      </c>
      <c r="H10" s="22">
        <f t="shared" si="2"/>
        <v>360417.33333333331</v>
      </c>
      <c r="I10" s="21">
        <v>340000</v>
      </c>
      <c r="J10" s="23">
        <f t="shared" si="3"/>
        <v>-20417.333333333314</v>
      </c>
      <c r="K10" s="24">
        <f t="shared" si="4"/>
        <v>-4083.4666666666631</v>
      </c>
      <c r="L10" s="25" t="s">
        <v>30</v>
      </c>
      <c r="M10" s="26" t="s">
        <v>31</v>
      </c>
      <c r="Q10" s="2">
        <f t="shared" si="5"/>
        <v>0</v>
      </c>
    </row>
    <row r="11" spans="1:20" s="2" customFormat="1" ht="18.600000000000001" customHeight="1" x14ac:dyDescent="0.2">
      <c r="A11" s="2">
        <v>8</v>
      </c>
      <c r="B11" s="17" t="s">
        <v>32</v>
      </c>
      <c r="C11" s="18">
        <v>41172</v>
      </c>
      <c r="D11" s="27">
        <v>41725</v>
      </c>
      <c r="E11" s="20">
        <f t="shared" si="0"/>
        <v>18.433333333333334</v>
      </c>
      <c r="F11" s="20">
        <f t="shared" si="1"/>
        <v>1.6666666666666666E-2</v>
      </c>
      <c r="G11" s="21">
        <v>425100</v>
      </c>
      <c r="H11" s="22">
        <f t="shared" si="2"/>
        <v>294499.83333333331</v>
      </c>
      <c r="I11" s="21">
        <v>325000</v>
      </c>
      <c r="J11" s="23">
        <f>I11-H11</f>
        <v>30500.166666666686</v>
      </c>
      <c r="K11" s="24">
        <f>J11*0.2</f>
        <v>6100.0333333333374</v>
      </c>
      <c r="L11" s="25" t="s">
        <v>22</v>
      </c>
      <c r="M11" s="26"/>
      <c r="Q11" s="2">
        <f t="shared" si="5"/>
        <v>0</v>
      </c>
    </row>
    <row r="12" spans="1:20" s="2" customFormat="1" ht="18.600000000000001" customHeight="1" x14ac:dyDescent="0.2">
      <c r="A12" s="2">
        <v>9</v>
      </c>
      <c r="B12" s="17" t="s">
        <v>33</v>
      </c>
      <c r="C12" s="18">
        <v>41221</v>
      </c>
      <c r="D12" s="27">
        <v>41729</v>
      </c>
      <c r="E12" s="20">
        <f t="shared" si="0"/>
        <v>16.933333333333334</v>
      </c>
      <c r="F12" s="20">
        <f t="shared" si="1"/>
        <v>1.6666666666666666E-2</v>
      </c>
      <c r="G12" s="21">
        <v>390800</v>
      </c>
      <c r="H12" s="22">
        <f t="shared" si="2"/>
        <v>280507.55555555556</v>
      </c>
      <c r="I12" s="21">
        <v>300000</v>
      </c>
      <c r="J12" s="23">
        <f t="shared" si="3"/>
        <v>19492.444444444438</v>
      </c>
      <c r="K12" s="24">
        <f t="shared" si="4"/>
        <v>3898.4888888888877</v>
      </c>
      <c r="L12" s="25" t="s">
        <v>20</v>
      </c>
      <c r="M12" s="26"/>
      <c r="Q12" s="2">
        <f t="shared" si="5"/>
        <v>0</v>
      </c>
    </row>
    <row r="13" spans="1:20" s="2" customFormat="1" ht="18.600000000000001" customHeight="1" x14ac:dyDescent="0.2">
      <c r="A13" s="2">
        <v>10</v>
      </c>
      <c r="B13" s="17"/>
      <c r="C13" s="18">
        <v>40863</v>
      </c>
      <c r="D13" s="27">
        <v>41729</v>
      </c>
      <c r="E13" s="20">
        <f t="shared" si="0"/>
        <v>28.866666666666667</v>
      </c>
      <c r="F13" s="20">
        <f t="shared" si="1"/>
        <v>1.6666666666666666E-2</v>
      </c>
      <c r="G13" s="21">
        <v>360000</v>
      </c>
      <c r="H13" s="22">
        <f t="shared" si="2"/>
        <v>186800</v>
      </c>
      <c r="I13" s="21">
        <v>240000</v>
      </c>
      <c r="J13" s="23">
        <f t="shared" si="3"/>
        <v>53200</v>
      </c>
      <c r="K13" s="24">
        <f t="shared" si="4"/>
        <v>10640</v>
      </c>
      <c r="L13" s="25"/>
      <c r="M13" s="26"/>
      <c r="O13" s="2">
        <v>228</v>
      </c>
      <c r="P13" s="2">
        <v>259</v>
      </c>
      <c r="Q13" s="2">
        <f t="shared" si="5"/>
        <v>243.5</v>
      </c>
    </row>
    <row r="14" spans="1:20" s="2" customFormat="1" ht="18.600000000000001" customHeight="1" x14ac:dyDescent="0.2">
      <c r="A14" s="2">
        <v>11</v>
      </c>
      <c r="B14" s="17"/>
      <c r="C14" s="29"/>
      <c r="D14" s="30"/>
      <c r="E14" s="20">
        <f t="shared" si="0"/>
        <v>0</v>
      </c>
      <c r="F14" s="20">
        <f t="shared" si="1"/>
        <v>1.6666666666666666E-2</v>
      </c>
      <c r="G14" s="21"/>
      <c r="H14" s="22">
        <f t="shared" si="2"/>
        <v>0</v>
      </c>
      <c r="I14" s="21"/>
      <c r="J14" s="23">
        <f t="shared" si="3"/>
        <v>0</v>
      </c>
      <c r="K14" s="24">
        <f t="shared" si="4"/>
        <v>0</v>
      </c>
      <c r="L14" s="25"/>
      <c r="M14" s="26"/>
    </row>
    <row r="15" spans="1:20" s="2" customFormat="1" ht="18.600000000000001" customHeight="1" x14ac:dyDescent="0.2">
      <c r="A15" s="2">
        <v>12</v>
      </c>
      <c r="B15" s="17"/>
      <c r="C15" s="29"/>
      <c r="D15" s="30"/>
      <c r="E15" s="20">
        <f t="shared" si="0"/>
        <v>0</v>
      </c>
      <c r="F15" s="20">
        <f t="shared" si="1"/>
        <v>1.6666666666666666E-2</v>
      </c>
      <c r="G15" s="21"/>
      <c r="H15" s="22">
        <f t="shared" si="2"/>
        <v>0</v>
      </c>
      <c r="I15" s="21"/>
      <c r="J15" s="23">
        <f t="shared" si="3"/>
        <v>0</v>
      </c>
      <c r="K15" s="24">
        <f t="shared" si="4"/>
        <v>0</v>
      </c>
      <c r="L15" s="25"/>
      <c r="M15" s="26"/>
    </row>
    <row r="16" spans="1:20" s="2" customFormat="1" ht="18.600000000000001" customHeight="1" x14ac:dyDescent="0.2">
      <c r="A16" s="2">
        <v>13</v>
      </c>
      <c r="B16" s="17"/>
      <c r="C16" s="29"/>
      <c r="D16" s="30"/>
      <c r="E16" s="20">
        <f t="shared" si="0"/>
        <v>0</v>
      </c>
      <c r="F16" s="20">
        <f t="shared" si="1"/>
        <v>1.6666666666666666E-2</v>
      </c>
      <c r="G16" s="21"/>
      <c r="H16" s="22">
        <f t="shared" si="2"/>
        <v>0</v>
      </c>
      <c r="I16" s="21"/>
      <c r="J16" s="23">
        <f t="shared" si="3"/>
        <v>0</v>
      </c>
      <c r="K16" s="24">
        <f t="shared" si="4"/>
        <v>0</v>
      </c>
      <c r="L16" s="25"/>
      <c r="M16" s="26"/>
    </row>
    <row r="17" spans="1:13" s="2" customFormat="1" ht="18.600000000000001" customHeight="1" x14ac:dyDescent="0.2">
      <c r="A17" s="2">
        <v>14</v>
      </c>
      <c r="B17" s="17"/>
      <c r="C17" s="29"/>
      <c r="D17" s="30"/>
      <c r="E17" s="20">
        <f t="shared" si="0"/>
        <v>0</v>
      </c>
      <c r="F17" s="20">
        <f t="shared" si="1"/>
        <v>1.6666666666666666E-2</v>
      </c>
      <c r="G17" s="21"/>
      <c r="H17" s="22">
        <f t="shared" si="2"/>
        <v>0</v>
      </c>
      <c r="I17" s="21"/>
      <c r="J17" s="23">
        <f t="shared" si="3"/>
        <v>0</v>
      </c>
      <c r="K17" s="24">
        <f t="shared" si="4"/>
        <v>0</v>
      </c>
      <c r="L17" s="25"/>
      <c r="M17" s="26"/>
    </row>
    <row r="18" spans="1:13" s="2" customFormat="1" ht="18.600000000000001" customHeight="1" x14ac:dyDescent="0.2">
      <c r="A18" s="2">
        <v>15</v>
      </c>
      <c r="B18" s="17"/>
      <c r="C18" s="29"/>
      <c r="D18" s="30"/>
      <c r="E18" s="20">
        <f t="shared" si="0"/>
        <v>0</v>
      </c>
      <c r="F18" s="20">
        <f t="shared" si="1"/>
        <v>1.6666666666666666E-2</v>
      </c>
      <c r="G18" s="21"/>
      <c r="H18" s="22">
        <f t="shared" si="2"/>
        <v>0</v>
      </c>
      <c r="I18" s="21"/>
      <c r="J18" s="23">
        <f t="shared" si="3"/>
        <v>0</v>
      </c>
      <c r="K18" s="24">
        <f t="shared" si="4"/>
        <v>0</v>
      </c>
      <c r="L18" s="25"/>
      <c r="M18" s="26"/>
    </row>
    <row r="19" spans="1:13" s="2" customFormat="1" ht="18.600000000000001" customHeight="1" x14ac:dyDescent="0.2">
      <c r="A19" s="2">
        <v>16</v>
      </c>
      <c r="B19" s="17"/>
      <c r="C19" s="29"/>
      <c r="D19" s="30"/>
      <c r="E19" s="20">
        <f t="shared" si="0"/>
        <v>0</v>
      </c>
      <c r="F19" s="20">
        <f t="shared" si="1"/>
        <v>1.6666666666666666E-2</v>
      </c>
      <c r="G19" s="21"/>
      <c r="H19" s="22">
        <f t="shared" si="2"/>
        <v>0</v>
      </c>
      <c r="I19" s="21"/>
      <c r="J19" s="23">
        <f t="shared" si="3"/>
        <v>0</v>
      </c>
      <c r="K19" s="24">
        <f t="shared" si="4"/>
        <v>0</v>
      </c>
      <c r="L19" s="25"/>
      <c r="M19" s="26"/>
    </row>
    <row r="20" spans="1:13" s="2" customFormat="1" ht="18.600000000000001" customHeight="1" x14ac:dyDescent="0.2">
      <c r="A20" s="2">
        <v>17</v>
      </c>
      <c r="B20" s="17"/>
      <c r="C20" s="29"/>
      <c r="D20" s="30"/>
      <c r="E20" s="20">
        <f t="shared" si="0"/>
        <v>0</v>
      </c>
      <c r="F20" s="20">
        <f t="shared" si="1"/>
        <v>1.6666666666666666E-2</v>
      </c>
      <c r="G20" s="21"/>
      <c r="H20" s="22">
        <f t="shared" si="2"/>
        <v>0</v>
      </c>
      <c r="I20" s="21"/>
      <c r="J20" s="23">
        <f t="shared" si="3"/>
        <v>0</v>
      </c>
      <c r="K20" s="24">
        <f t="shared" si="4"/>
        <v>0</v>
      </c>
      <c r="L20" s="25"/>
      <c r="M20" s="26"/>
    </row>
    <row r="21" spans="1:13" s="2" customFormat="1" ht="18.600000000000001" customHeight="1" x14ac:dyDescent="0.2">
      <c r="A21" s="2">
        <v>18</v>
      </c>
      <c r="B21" s="17"/>
      <c r="C21" s="29"/>
      <c r="D21" s="30"/>
      <c r="E21" s="20">
        <f t="shared" si="0"/>
        <v>0</v>
      </c>
      <c r="F21" s="20">
        <f t="shared" si="1"/>
        <v>1.6666666666666666E-2</v>
      </c>
      <c r="G21" s="21"/>
      <c r="H21" s="22">
        <f t="shared" si="2"/>
        <v>0</v>
      </c>
      <c r="I21" s="21"/>
      <c r="J21" s="23">
        <f t="shared" si="3"/>
        <v>0</v>
      </c>
      <c r="K21" s="24">
        <f t="shared" si="4"/>
        <v>0</v>
      </c>
      <c r="L21" s="25"/>
      <c r="M21" s="26"/>
    </row>
    <row r="22" spans="1:13" s="2" customFormat="1" ht="18.600000000000001" customHeight="1" x14ac:dyDescent="0.2">
      <c r="A22" s="2">
        <v>19</v>
      </c>
      <c r="B22" s="31"/>
      <c r="C22" s="32"/>
      <c r="D22" s="33"/>
      <c r="E22" s="34">
        <f t="shared" si="0"/>
        <v>0</v>
      </c>
      <c r="F22" s="34">
        <f t="shared" si="1"/>
        <v>1.6666666666666666E-2</v>
      </c>
      <c r="G22" s="35"/>
      <c r="H22" s="36">
        <f t="shared" si="2"/>
        <v>0</v>
      </c>
      <c r="I22" s="35"/>
      <c r="J22" s="37">
        <f t="shared" si="3"/>
        <v>0</v>
      </c>
      <c r="K22" s="38">
        <f t="shared" si="4"/>
        <v>0</v>
      </c>
      <c r="L22" s="39"/>
      <c r="M22" s="40"/>
    </row>
    <row r="23" spans="1:13" s="2" customFormat="1" ht="15.95" customHeight="1" x14ac:dyDescent="0.2">
      <c r="J23" s="41"/>
      <c r="K23" s="41"/>
    </row>
    <row r="24" spans="1:13" s="2" customFormat="1" ht="15.95" customHeight="1" x14ac:dyDescent="0.2">
      <c r="J24" s="41"/>
      <c r="K24" s="41"/>
    </row>
    <row r="25" spans="1:13" s="1" customFormat="1" ht="15.95" customHeight="1" x14ac:dyDescent="0.2">
      <c r="J25" s="42"/>
      <c r="K25" s="42"/>
    </row>
    <row r="26" spans="1:13" s="1" customFormat="1" ht="15.95" customHeight="1" x14ac:dyDescent="0.2">
      <c r="J26" s="42"/>
      <c r="K26" s="42"/>
    </row>
    <row r="27" spans="1:13" s="1" customFormat="1" ht="15.95" customHeight="1" x14ac:dyDescent="0.2">
      <c r="J27" s="42"/>
      <c r="K27" s="42"/>
    </row>
    <row r="28" spans="1:13" s="1" customFormat="1" ht="15.95" customHeight="1" x14ac:dyDescent="0.2">
      <c r="J28" s="42"/>
      <c r="K28" s="42"/>
    </row>
    <row r="29" spans="1:13" s="1" customFormat="1" ht="15.95" customHeight="1" x14ac:dyDescent="0.2">
      <c r="J29" s="42"/>
      <c r="K29" s="42"/>
    </row>
    <row r="30" spans="1:13" s="1" customFormat="1" ht="15.95" customHeight="1" x14ac:dyDescent="0.2">
      <c r="J30" s="42"/>
      <c r="K30" s="42"/>
    </row>
    <row r="31" spans="1:13" s="1" customFormat="1" ht="15.95" customHeight="1" x14ac:dyDescent="0.2">
      <c r="J31" s="42"/>
      <c r="K31" s="42"/>
    </row>
    <row r="32" spans="1:13" s="1" customFormat="1" ht="15.95" customHeight="1" x14ac:dyDescent="0.2"/>
    <row r="33" s="1" customFormat="1" ht="15.95" customHeight="1" x14ac:dyDescent="0.2"/>
  </sheetData>
  <phoneticPr fontId="0" type="noConversion"/>
  <pageMargins left="0.29652777777777778" right="0.26458333333333334" top="0.31388888888888888" bottom="0.98402777777777772" header="0.51180555555555551" footer="0.51180555555555551"/>
  <pageSetup scale="6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7"/>
  <sheetViews>
    <sheetView tabSelected="1" zoomScaleNormal="100" workbookViewId="0">
      <pane ySplit="7" topLeftCell="A8" activePane="bottomLeft" state="frozenSplit"/>
      <selection pane="bottomLeft" activeCell="G11" sqref="G11"/>
    </sheetView>
  </sheetViews>
  <sheetFormatPr baseColWidth="10" defaultRowHeight="12.75" outlineLevelCol="1" x14ac:dyDescent="0.2"/>
  <cols>
    <col min="1" max="1" width="5.28515625" customWidth="1"/>
    <col min="2" max="2" width="12.42578125" bestFit="1" customWidth="1"/>
    <col min="3" max="3" width="13.28515625" customWidth="1"/>
    <col min="5" max="5" width="8.5703125" bestFit="1" customWidth="1"/>
    <col min="6" max="6" width="13.140625" bestFit="1" customWidth="1"/>
    <col min="7" max="7" width="12.5703125" customWidth="1"/>
    <col min="8" max="8" width="14.140625" bestFit="1" customWidth="1"/>
    <col min="9" max="9" width="9.140625" customWidth="1" outlineLevel="1"/>
    <col min="10" max="10" width="14.140625" bestFit="1" customWidth="1"/>
    <col min="11" max="11" width="11.7109375" customWidth="1"/>
    <col min="12" max="12" width="14.140625" bestFit="1" customWidth="1"/>
    <col min="13" max="13" width="11.28515625" customWidth="1"/>
    <col min="14" max="14" width="20.140625" customWidth="1"/>
    <col min="15" max="15" width="13.140625" bestFit="1" customWidth="1"/>
    <col min="16" max="16" width="10.5703125" customWidth="1"/>
    <col min="17" max="17" width="57" customWidth="1"/>
    <col min="19" max="24" width="0" hidden="1" customWidth="1"/>
  </cols>
  <sheetData>
    <row r="1" spans="1:24" ht="13.5" thickBot="1" x14ac:dyDescent="0.25">
      <c r="B1" s="75"/>
      <c r="M1" s="44"/>
    </row>
    <row r="2" spans="1:24" s="1" customFormat="1" ht="15.95" customHeight="1" x14ac:dyDescent="0.25">
      <c r="B2" s="76"/>
      <c r="D2" s="139" t="s">
        <v>57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1"/>
    </row>
    <row r="3" spans="1:24" s="1" customFormat="1" ht="15.95" customHeight="1" thickBot="1" x14ac:dyDescent="0.3">
      <c r="B3" s="76"/>
      <c r="D3" s="142" t="s">
        <v>58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4"/>
    </row>
    <row r="4" spans="1:24" s="1" customFormat="1" ht="15.95" customHeight="1" x14ac:dyDescent="0.2">
      <c r="B4" s="76"/>
      <c r="E4" s="43"/>
    </row>
    <row r="5" spans="1:24" s="1" customFormat="1" ht="15.95" customHeight="1" x14ac:dyDescent="0.2">
      <c r="B5" s="76"/>
      <c r="E5" s="43"/>
      <c r="M5" s="44">
        <f>63.77*365*3</f>
        <v>69828.150000000009</v>
      </c>
      <c r="N5" t="s">
        <v>34</v>
      </c>
      <c r="O5"/>
      <c r="P5"/>
      <c r="Q5"/>
    </row>
    <row r="6" spans="1:24" s="1" customFormat="1" ht="15.95" customHeight="1" thickBot="1" x14ac:dyDescent="0.25">
      <c r="E6" s="43"/>
    </row>
    <row r="7" spans="1:24" s="69" customFormat="1" ht="39.75" customHeight="1" thickBot="1" x14ac:dyDescent="0.25">
      <c r="B7" s="106" t="s">
        <v>0</v>
      </c>
      <c r="C7" s="107" t="s">
        <v>1</v>
      </c>
      <c r="D7" s="108" t="s">
        <v>2</v>
      </c>
      <c r="E7" s="108" t="s">
        <v>3</v>
      </c>
      <c r="F7" s="108" t="s">
        <v>4</v>
      </c>
      <c r="G7" s="109" t="s">
        <v>5</v>
      </c>
      <c r="H7" s="108" t="s">
        <v>50</v>
      </c>
      <c r="I7" s="110" t="s">
        <v>49</v>
      </c>
      <c r="J7" s="108" t="s">
        <v>52</v>
      </c>
      <c r="K7" s="109" t="s">
        <v>56</v>
      </c>
      <c r="L7" s="108" t="s">
        <v>51</v>
      </c>
      <c r="M7" s="111" t="s">
        <v>53</v>
      </c>
      <c r="N7" s="112" t="s">
        <v>54</v>
      </c>
      <c r="O7" s="113" t="s">
        <v>55</v>
      </c>
      <c r="P7" s="114" t="s">
        <v>10</v>
      </c>
      <c r="Q7" s="112" t="s">
        <v>11</v>
      </c>
      <c r="S7" s="69" t="s">
        <v>12</v>
      </c>
      <c r="T7" s="69" t="s">
        <v>13</v>
      </c>
      <c r="U7" s="69" t="s">
        <v>14</v>
      </c>
      <c r="V7" s="69" t="s">
        <v>15</v>
      </c>
    </row>
    <row r="8" spans="1:24" s="68" customFormat="1" x14ac:dyDescent="0.2">
      <c r="A8" s="101">
        <v>1</v>
      </c>
      <c r="B8" s="115" t="s">
        <v>59</v>
      </c>
      <c r="C8" s="116">
        <v>40928</v>
      </c>
      <c r="D8" s="117">
        <v>42374</v>
      </c>
      <c r="E8" s="118">
        <f>(D8-C8)/30</f>
        <v>48.2</v>
      </c>
      <c r="F8" s="119">
        <f>0.2/12</f>
        <v>1.6666666666666666E-2</v>
      </c>
      <c r="G8" s="120">
        <v>180000</v>
      </c>
      <c r="H8" s="121">
        <f t="shared" ref="H8:H9" si="0">G8-(G8*F8*E8)</f>
        <v>35400</v>
      </c>
      <c r="I8" s="122">
        <f>INDICES!C48/INDICES!C45</f>
        <v>1.1129128150051781</v>
      </c>
      <c r="J8" s="121">
        <f>+H8*I8</f>
        <v>39397.113651183303</v>
      </c>
      <c r="K8" s="123">
        <v>120000</v>
      </c>
      <c r="L8" s="121">
        <f>+K8-J8</f>
        <v>80602.886348816697</v>
      </c>
      <c r="M8" s="121">
        <f>+M1</f>
        <v>0</v>
      </c>
      <c r="N8" s="124">
        <f>+L8-M8</f>
        <v>80602.886348816697</v>
      </c>
      <c r="O8" s="124">
        <f>IF(N8&gt;1,N8*0.2,0)</f>
        <v>16120.57726976334</v>
      </c>
      <c r="P8" s="125"/>
      <c r="Q8" s="126"/>
      <c r="V8" s="68">
        <v>57</v>
      </c>
      <c r="W8" s="68">
        <f>V8*365</f>
        <v>20805</v>
      </c>
      <c r="X8" s="68">
        <f>W8*3</f>
        <v>62415</v>
      </c>
    </row>
    <row r="9" spans="1:24" s="2" customFormat="1" x14ac:dyDescent="0.2">
      <c r="A9" s="102">
        <v>2</v>
      </c>
      <c r="B9" s="127" t="s">
        <v>60</v>
      </c>
      <c r="C9" s="128"/>
      <c r="D9" s="129">
        <v>42374</v>
      </c>
      <c r="E9" s="130">
        <f>(D9-C9)/30</f>
        <v>1412.4666666666667</v>
      </c>
      <c r="F9" s="131">
        <f>0.2/12</f>
        <v>1.6666666666666666E-2</v>
      </c>
      <c r="G9" s="132">
        <v>180000</v>
      </c>
      <c r="H9" s="133">
        <f t="shared" si="0"/>
        <v>-4057400</v>
      </c>
      <c r="I9" s="134">
        <f>INDICES!C49/INDICES!C46</f>
        <v>1.1049982354798566</v>
      </c>
      <c r="J9" s="133">
        <f>+H9*I9</f>
        <v>-4483419.8406359702</v>
      </c>
      <c r="K9" s="135">
        <v>110000</v>
      </c>
      <c r="L9" s="133">
        <f>+K9-J9</f>
        <v>4593419.8406359702</v>
      </c>
      <c r="M9" s="133">
        <f>+M2</f>
        <v>0</v>
      </c>
      <c r="N9" s="127"/>
      <c r="O9" s="127"/>
      <c r="P9" s="127"/>
      <c r="Q9" s="127"/>
    </row>
    <row r="10" spans="1:24" s="1" customFormat="1" x14ac:dyDescent="0.2">
      <c r="A10" s="101">
        <v>3</v>
      </c>
      <c r="B10" s="127" t="s">
        <v>61</v>
      </c>
      <c r="C10" s="128"/>
      <c r="D10" s="129">
        <v>42374</v>
      </c>
      <c r="E10" s="127"/>
      <c r="F10" s="127"/>
      <c r="G10" s="127"/>
      <c r="H10" s="127"/>
      <c r="I10" s="127"/>
      <c r="J10" s="127"/>
      <c r="K10" s="135">
        <v>185000</v>
      </c>
      <c r="L10" s="127"/>
      <c r="M10" s="127"/>
      <c r="N10" s="127"/>
      <c r="O10" s="127"/>
      <c r="P10" s="127"/>
      <c r="Q10" s="127"/>
    </row>
    <row r="11" spans="1:24" s="1" customFormat="1" x14ac:dyDescent="0.2">
      <c r="A11" s="101">
        <v>4</v>
      </c>
      <c r="B11" s="127" t="s">
        <v>62</v>
      </c>
      <c r="C11" s="128"/>
      <c r="D11" s="129">
        <v>42375</v>
      </c>
      <c r="E11" s="127"/>
      <c r="F11" s="127"/>
      <c r="G11" s="127"/>
      <c r="H11" s="127"/>
      <c r="I11" s="127"/>
      <c r="J11" s="127"/>
      <c r="K11" s="135">
        <v>115000</v>
      </c>
      <c r="L11" s="127"/>
      <c r="M11" s="127"/>
      <c r="N11" s="127"/>
      <c r="O11" s="127"/>
      <c r="P11" s="127"/>
      <c r="Q11" s="127"/>
      <c r="R11" s="80"/>
    </row>
    <row r="12" spans="1:24" s="1" customFormat="1" x14ac:dyDescent="0.2">
      <c r="A12" s="102">
        <v>5</v>
      </c>
      <c r="B12" s="127" t="s">
        <v>63</v>
      </c>
      <c r="C12" s="128"/>
      <c r="D12" s="129">
        <v>42376</v>
      </c>
      <c r="E12" s="127"/>
      <c r="F12" s="127"/>
      <c r="G12" s="127"/>
      <c r="H12" s="127"/>
      <c r="I12" s="127"/>
      <c r="J12" s="127"/>
      <c r="K12" s="135">
        <v>140000</v>
      </c>
      <c r="L12" s="127"/>
      <c r="M12" s="127"/>
      <c r="N12" s="127"/>
      <c r="O12" s="127"/>
      <c r="P12" s="127"/>
      <c r="Q12" s="127"/>
      <c r="R12" s="80"/>
    </row>
    <row r="13" spans="1:24" s="1" customFormat="1" ht="15" x14ac:dyDescent="0.25">
      <c r="A13" s="101">
        <v>6</v>
      </c>
      <c r="B13" s="136" t="s">
        <v>64</v>
      </c>
      <c r="C13" s="128"/>
      <c r="D13" s="137">
        <v>42381</v>
      </c>
      <c r="E13" s="127"/>
      <c r="F13" s="127"/>
      <c r="G13" s="127"/>
      <c r="H13" s="127"/>
      <c r="I13" s="127"/>
      <c r="J13" s="127"/>
      <c r="K13" s="138">
        <v>136206.9</v>
      </c>
      <c r="L13" s="127"/>
      <c r="M13" s="127"/>
      <c r="N13" s="127"/>
      <c r="O13" s="127"/>
      <c r="P13" s="127"/>
      <c r="Q13" s="127"/>
      <c r="R13" s="80"/>
    </row>
    <row r="14" spans="1:24" s="1" customFormat="1" x14ac:dyDescent="0.2">
      <c r="A14" s="101">
        <v>7</v>
      </c>
      <c r="B14" s="127" t="s">
        <v>65</v>
      </c>
      <c r="C14" s="128"/>
      <c r="D14" s="129">
        <v>42388</v>
      </c>
      <c r="E14" s="127"/>
      <c r="F14" s="127"/>
      <c r="G14" s="127"/>
      <c r="H14" s="127"/>
      <c r="I14" s="127"/>
      <c r="J14" s="127"/>
      <c r="K14" s="135">
        <v>280000</v>
      </c>
      <c r="L14" s="127"/>
      <c r="M14" s="127"/>
      <c r="N14" s="127"/>
      <c r="O14" s="127"/>
      <c r="P14" s="127"/>
      <c r="Q14" s="127"/>
      <c r="R14" s="80"/>
    </row>
    <row r="15" spans="1:24" s="1" customFormat="1" x14ac:dyDescent="0.2">
      <c r="A15" s="102">
        <v>8</v>
      </c>
      <c r="B15" s="127" t="s">
        <v>66</v>
      </c>
      <c r="C15" s="128"/>
      <c r="D15" s="129">
        <v>42389</v>
      </c>
      <c r="E15" s="127"/>
      <c r="F15" s="127"/>
      <c r="G15" s="127"/>
      <c r="H15" s="127"/>
      <c r="I15" s="127"/>
      <c r="J15" s="127"/>
      <c r="K15" s="135">
        <v>88000</v>
      </c>
      <c r="L15" s="127"/>
      <c r="M15" s="127"/>
      <c r="N15" s="127"/>
      <c r="O15" s="127"/>
      <c r="P15" s="127"/>
      <c r="Q15" s="127"/>
      <c r="R15" s="80"/>
    </row>
    <row r="16" spans="1:24" s="1" customFormat="1" ht="15" x14ac:dyDescent="0.25">
      <c r="A16" s="101">
        <v>9</v>
      </c>
      <c r="B16" s="136" t="s">
        <v>67</v>
      </c>
      <c r="C16" s="128"/>
      <c r="D16" s="137">
        <v>42392</v>
      </c>
      <c r="E16" s="127"/>
      <c r="F16" s="127"/>
      <c r="G16" s="127"/>
      <c r="H16" s="127"/>
      <c r="I16" s="127"/>
      <c r="J16" s="127"/>
      <c r="K16" s="138">
        <v>109913.79</v>
      </c>
      <c r="L16" s="127"/>
      <c r="M16" s="127"/>
      <c r="N16" s="127"/>
      <c r="O16" s="127"/>
      <c r="P16" s="127"/>
      <c r="Q16" s="127"/>
      <c r="R16" s="80"/>
    </row>
    <row r="17" spans="1:18" s="1" customFormat="1" ht="15" x14ac:dyDescent="0.25">
      <c r="A17" s="101">
        <v>10</v>
      </c>
      <c r="B17" s="136" t="s">
        <v>68</v>
      </c>
      <c r="C17" s="128"/>
      <c r="D17" s="137">
        <v>42392</v>
      </c>
      <c r="E17" s="127"/>
      <c r="F17" s="127"/>
      <c r="G17" s="127"/>
      <c r="H17" s="127"/>
      <c r="I17" s="127"/>
      <c r="J17" s="127"/>
      <c r="K17" s="138">
        <v>109913.79</v>
      </c>
      <c r="L17" s="127"/>
      <c r="M17" s="127"/>
      <c r="N17" s="127"/>
      <c r="O17" s="127"/>
      <c r="P17" s="127"/>
      <c r="Q17" s="127"/>
      <c r="R17" s="80"/>
    </row>
    <row r="18" spans="1:18" s="1" customFormat="1" ht="15" x14ac:dyDescent="0.25">
      <c r="A18" s="102">
        <v>11</v>
      </c>
      <c r="B18" s="136" t="s">
        <v>69</v>
      </c>
      <c r="C18" s="128"/>
      <c r="D18" s="137">
        <v>42392</v>
      </c>
      <c r="E18" s="127"/>
      <c r="F18" s="127"/>
      <c r="G18" s="127"/>
      <c r="H18" s="127"/>
      <c r="I18" s="127"/>
      <c r="J18" s="127"/>
      <c r="K18" s="138">
        <v>68965.52</v>
      </c>
      <c r="L18" s="127"/>
      <c r="M18" s="127"/>
      <c r="N18" s="127"/>
      <c r="O18" s="127"/>
      <c r="P18" s="127"/>
      <c r="Q18" s="127"/>
      <c r="R18" s="80"/>
    </row>
    <row r="19" spans="1:18" x14ac:dyDescent="0.2">
      <c r="A19" s="101">
        <v>12</v>
      </c>
      <c r="B19" s="127" t="s">
        <v>70</v>
      </c>
      <c r="C19" s="128"/>
      <c r="D19" s="129">
        <v>42395</v>
      </c>
      <c r="E19" s="127"/>
      <c r="F19" s="127"/>
      <c r="G19" s="127"/>
      <c r="H19" s="127"/>
      <c r="I19" s="127"/>
      <c r="J19" s="127"/>
      <c r="K19" s="135">
        <v>155000</v>
      </c>
      <c r="L19" s="127"/>
      <c r="M19" s="127"/>
      <c r="N19" s="127"/>
      <c r="O19" s="127"/>
      <c r="P19" s="127"/>
      <c r="Q19" s="127"/>
      <c r="R19" s="80"/>
    </row>
    <row r="20" spans="1:18" x14ac:dyDescent="0.2">
      <c r="A20" s="101">
        <v>13</v>
      </c>
      <c r="B20" s="127" t="s">
        <v>71</v>
      </c>
      <c r="C20" s="128"/>
      <c r="D20" s="129">
        <v>42395</v>
      </c>
      <c r="E20" s="127"/>
      <c r="F20" s="127"/>
      <c r="G20" s="127"/>
      <c r="H20" s="127"/>
      <c r="I20" s="127"/>
      <c r="J20" s="127"/>
      <c r="K20" s="135">
        <v>99000</v>
      </c>
      <c r="L20" s="127"/>
      <c r="M20" s="127"/>
      <c r="N20" s="127"/>
      <c r="O20" s="127"/>
      <c r="P20" s="127"/>
      <c r="Q20" s="127"/>
      <c r="R20" s="80"/>
    </row>
    <row r="21" spans="1:18" x14ac:dyDescent="0.2">
      <c r="A21" s="102">
        <v>14</v>
      </c>
      <c r="B21" s="127" t="s">
        <v>72</v>
      </c>
      <c r="C21" s="128"/>
      <c r="D21" s="129">
        <v>42395</v>
      </c>
      <c r="E21" s="127"/>
      <c r="F21" s="127"/>
      <c r="G21" s="127"/>
      <c r="H21" s="127"/>
      <c r="I21" s="127"/>
      <c r="J21" s="127"/>
      <c r="K21" s="135">
        <v>208000</v>
      </c>
      <c r="L21" s="127"/>
      <c r="M21" s="127"/>
      <c r="N21" s="127"/>
      <c r="O21" s="127"/>
      <c r="P21" s="127"/>
      <c r="Q21" s="127"/>
      <c r="R21" s="80"/>
    </row>
    <row r="22" spans="1:18" x14ac:dyDescent="0.2">
      <c r="A22" s="101">
        <v>15</v>
      </c>
      <c r="B22" s="127" t="s">
        <v>73</v>
      </c>
      <c r="C22" s="128"/>
      <c r="D22" s="129">
        <v>42395</v>
      </c>
      <c r="E22" s="127"/>
      <c r="F22" s="127"/>
      <c r="G22" s="127"/>
      <c r="H22" s="127"/>
      <c r="I22" s="127"/>
      <c r="J22" s="127"/>
      <c r="K22" s="135">
        <v>170000</v>
      </c>
      <c r="L22" s="127"/>
      <c r="M22" s="127"/>
      <c r="N22" s="127"/>
      <c r="O22" s="127"/>
      <c r="P22" s="127"/>
      <c r="Q22" s="127"/>
      <c r="R22" s="81"/>
    </row>
    <row r="23" spans="1:18" x14ac:dyDescent="0.2">
      <c r="A23" s="101">
        <v>16</v>
      </c>
      <c r="B23" s="127" t="s">
        <v>74</v>
      </c>
      <c r="C23" s="128"/>
      <c r="D23" s="129">
        <v>42395</v>
      </c>
      <c r="E23" s="127"/>
      <c r="F23" s="127"/>
      <c r="G23" s="127"/>
      <c r="H23" s="127"/>
      <c r="I23" s="127"/>
      <c r="J23" s="127"/>
      <c r="K23" s="135">
        <v>255000</v>
      </c>
      <c r="L23" s="127"/>
      <c r="M23" s="127"/>
      <c r="N23" s="127"/>
      <c r="O23" s="127"/>
      <c r="P23" s="127"/>
      <c r="Q23" s="127"/>
      <c r="R23" s="81"/>
    </row>
    <row r="24" spans="1:18" x14ac:dyDescent="0.2">
      <c r="A24" s="102">
        <v>17</v>
      </c>
      <c r="B24" s="127" t="s">
        <v>75</v>
      </c>
      <c r="C24" s="128"/>
      <c r="D24" s="129">
        <v>42395</v>
      </c>
      <c r="E24" s="127"/>
      <c r="F24" s="127"/>
      <c r="G24" s="127"/>
      <c r="H24" s="127"/>
      <c r="I24" s="127"/>
      <c r="J24" s="127"/>
      <c r="K24" s="135">
        <v>189000</v>
      </c>
      <c r="L24" s="127"/>
      <c r="M24" s="127"/>
      <c r="N24" s="127"/>
      <c r="O24" s="127"/>
      <c r="P24" s="127"/>
      <c r="Q24" s="127"/>
      <c r="R24" s="80"/>
    </row>
    <row r="25" spans="1:18" x14ac:dyDescent="0.2">
      <c r="A25" s="101">
        <v>18</v>
      </c>
      <c r="B25" s="127" t="s">
        <v>76</v>
      </c>
      <c r="C25" s="128"/>
      <c r="D25" s="129">
        <v>42395</v>
      </c>
      <c r="E25" s="127"/>
      <c r="F25" s="127"/>
      <c r="G25" s="127"/>
      <c r="H25" s="127"/>
      <c r="I25" s="127"/>
      <c r="J25" s="127"/>
      <c r="K25" s="135">
        <v>335000</v>
      </c>
      <c r="L25" s="127"/>
      <c r="M25" s="127"/>
      <c r="N25" s="127"/>
      <c r="O25" s="127"/>
      <c r="P25" s="127"/>
      <c r="Q25" s="127"/>
      <c r="R25" s="80"/>
    </row>
    <row r="26" spans="1:18" x14ac:dyDescent="0.2">
      <c r="A26" s="101">
        <v>19</v>
      </c>
      <c r="B26" s="127" t="s">
        <v>77</v>
      </c>
      <c r="C26" s="128"/>
      <c r="D26" s="129">
        <v>42395</v>
      </c>
      <c r="E26" s="127"/>
      <c r="F26" s="127"/>
      <c r="G26" s="127"/>
      <c r="H26" s="127"/>
      <c r="I26" s="127"/>
      <c r="J26" s="127"/>
      <c r="K26" s="135">
        <v>95000</v>
      </c>
      <c r="L26" s="127"/>
      <c r="M26" s="127"/>
      <c r="N26" s="127"/>
      <c r="O26" s="127"/>
      <c r="P26" s="127"/>
      <c r="Q26" s="127"/>
      <c r="R26" s="81"/>
    </row>
    <row r="27" spans="1:18" x14ac:dyDescent="0.2">
      <c r="A27" s="102">
        <v>20</v>
      </c>
      <c r="B27" s="127" t="s">
        <v>78</v>
      </c>
      <c r="C27" s="128"/>
      <c r="D27" s="129">
        <v>42395</v>
      </c>
      <c r="E27" s="127"/>
      <c r="F27" s="127"/>
      <c r="G27" s="127"/>
      <c r="H27" s="127"/>
      <c r="I27" s="127"/>
      <c r="J27" s="127"/>
      <c r="K27" s="135">
        <v>390000</v>
      </c>
      <c r="L27" s="127"/>
      <c r="M27" s="127"/>
      <c r="N27" s="127"/>
      <c r="O27" s="127"/>
      <c r="P27" s="127"/>
      <c r="Q27" s="127"/>
      <c r="R27" s="81"/>
    </row>
    <row r="28" spans="1:18" x14ac:dyDescent="0.2">
      <c r="A28" s="101">
        <v>21</v>
      </c>
      <c r="B28" s="127" t="s">
        <v>79</v>
      </c>
      <c r="C28" s="128"/>
      <c r="D28" s="129">
        <v>42402</v>
      </c>
      <c r="E28" s="127"/>
      <c r="F28" s="127"/>
      <c r="G28" s="127"/>
      <c r="H28" s="127"/>
      <c r="I28" s="127"/>
      <c r="J28" s="127"/>
      <c r="K28" s="135">
        <v>200000</v>
      </c>
      <c r="L28" s="127"/>
      <c r="M28" s="127"/>
      <c r="N28" s="127"/>
      <c r="O28" s="127"/>
      <c r="P28" s="127"/>
      <c r="Q28" s="127"/>
      <c r="R28" s="81"/>
    </row>
    <row r="29" spans="1:18" ht="15" x14ac:dyDescent="0.25">
      <c r="A29" s="101">
        <v>22</v>
      </c>
      <c r="B29" s="136" t="s">
        <v>80</v>
      </c>
      <c r="C29" s="127"/>
      <c r="D29" s="137">
        <v>42405</v>
      </c>
      <c r="E29" s="127"/>
      <c r="F29" s="127"/>
      <c r="G29" s="127"/>
      <c r="H29" s="127"/>
      <c r="I29" s="127"/>
      <c r="J29" s="127"/>
      <c r="K29" s="138">
        <v>193965.52</v>
      </c>
      <c r="L29" s="127"/>
      <c r="M29" s="127"/>
      <c r="N29" s="127"/>
      <c r="O29" s="127"/>
      <c r="P29" s="127"/>
      <c r="Q29" s="127"/>
      <c r="R29" s="81"/>
    </row>
    <row r="30" spans="1:18" x14ac:dyDescent="0.2">
      <c r="A30" s="102">
        <v>23</v>
      </c>
      <c r="B30" s="127" t="s">
        <v>81</v>
      </c>
      <c r="C30" s="127"/>
      <c r="D30" s="129">
        <v>42409</v>
      </c>
      <c r="E30" s="127"/>
      <c r="F30" s="127"/>
      <c r="G30" s="127"/>
      <c r="H30" s="127"/>
      <c r="I30" s="127"/>
      <c r="J30" s="127"/>
      <c r="K30" s="135">
        <v>100000</v>
      </c>
      <c r="L30" s="127"/>
      <c r="M30" s="127"/>
      <c r="N30" s="127"/>
      <c r="O30" s="127"/>
      <c r="P30" s="127"/>
      <c r="Q30" s="127"/>
      <c r="R30" s="81"/>
    </row>
    <row r="31" spans="1:18" x14ac:dyDescent="0.2">
      <c r="A31" s="101">
        <v>24</v>
      </c>
      <c r="B31" s="127" t="s">
        <v>82</v>
      </c>
      <c r="C31" s="127"/>
      <c r="D31" s="129">
        <v>42412</v>
      </c>
      <c r="E31" s="127"/>
      <c r="F31" s="127"/>
      <c r="G31" s="127"/>
      <c r="H31" s="127"/>
      <c r="I31" s="127"/>
      <c r="J31" s="127"/>
      <c r="K31" s="135">
        <v>155000</v>
      </c>
      <c r="L31" s="127"/>
      <c r="M31" s="127"/>
      <c r="N31" s="127"/>
      <c r="O31" s="127"/>
      <c r="P31" s="127"/>
      <c r="Q31" s="127"/>
      <c r="R31" s="81"/>
    </row>
    <row r="32" spans="1:18" x14ac:dyDescent="0.2">
      <c r="A32" s="101">
        <v>25</v>
      </c>
      <c r="B32" s="127" t="s">
        <v>83</v>
      </c>
      <c r="C32" s="127"/>
      <c r="D32" s="129">
        <v>42412</v>
      </c>
      <c r="E32" s="127"/>
      <c r="F32" s="127"/>
      <c r="G32" s="127"/>
      <c r="H32" s="127"/>
      <c r="I32" s="127"/>
      <c r="J32" s="127"/>
      <c r="K32" s="135">
        <v>134000</v>
      </c>
      <c r="L32" s="127"/>
      <c r="M32" s="127"/>
      <c r="N32" s="127"/>
      <c r="O32" s="127"/>
      <c r="P32" s="127"/>
      <c r="Q32" s="127"/>
      <c r="R32" s="81"/>
    </row>
    <row r="33" spans="1:18" ht="15" x14ac:dyDescent="0.25">
      <c r="A33" s="102">
        <v>26</v>
      </c>
      <c r="B33" s="136" t="s">
        <v>84</v>
      </c>
      <c r="C33" s="127"/>
      <c r="D33" s="137">
        <v>42412</v>
      </c>
      <c r="E33" s="127"/>
      <c r="F33" s="127"/>
      <c r="G33" s="127"/>
      <c r="H33" s="127"/>
      <c r="I33" s="127"/>
      <c r="J33" s="127"/>
      <c r="K33" s="138">
        <v>172413.79</v>
      </c>
      <c r="L33" s="127"/>
      <c r="M33" s="127"/>
      <c r="N33" s="127"/>
      <c r="O33" s="127"/>
      <c r="P33" s="127"/>
      <c r="Q33" s="127"/>
      <c r="R33" s="81"/>
    </row>
    <row r="34" spans="1:18" x14ac:dyDescent="0.2">
      <c r="A34" s="101">
        <v>27</v>
      </c>
      <c r="B34" s="127" t="s">
        <v>85</v>
      </c>
      <c r="C34" s="127"/>
      <c r="D34" s="129">
        <v>42412</v>
      </c>
      <c r="E34" s="127"/>
      <c r="F34" s="127"/>
      <c r="G34" s="127"/>
      <c r="H34" s="127"/>
      <c r="I34" s="127"/>
      <c r="J34" s="127"/>
      <c r="K34" s="135">
        <v>80000</v>
      </c>
      <c r="L34" s="127"/>
      <c r="M34" s="127"/>
      <c r="N34" s="127"/>
      <c r="O34" s="127"/>
      <c r="P34" s="127"/>
      <c r="Q34" s="127"/>
      <c r="R34" s="81"/>
    </row>
    <row r="35" spans="1:18" x14ac:dyDescent="0.2">
      <c r="A35" s="101">
        <v>28</v>
      </c>
      <c r="B35" s="127" t="s">
        <v>86</v>
      </c>
      <c r="C35" s="127"/>
      <c r="D35" s="129">
        <v>42415</v>
      </c>
      <c r="E35" s="127"/>
      <c r="F35" s="127"/>
      <c r="G35" s="127"/>
      <c r="H35" s="127"/>
      <c r="I35" s="127"/>
      <c r="J35" s="127"/>
      <c r="K35" s="135">
        <v>80000</v>
      </c>
      <c r="L35" s="127"/>
      <c r="M35" s="127"/>
      <c r="N35" s="127"/>
      <c r="O35" s="127"/>
      <c r="P35" s="127"/>
      <c r="Q35" s="127"/>
      <c r="R35" s="81"/>
    </row>
    <row r="36" spans="1:18" x14ac:dyDescent="0.2">
      <c r="A36" s="102">
        <v>29</v>
      </c>
      <c r="B36" s="127" t="s">
        <v>87</v>
      </c>
      <c r="C36" s="127"/>
      <c r="D36" s="129">
        <v>42416</v>
      </c>
      <c r="E36" s="127"/>
      <c r="F36" s="127"/>
      <c r="G36" s="127"/>
      <c r="H36" s="127"/>
      <c r="I36" s="127"/>
      <c r="J36" s="127"/>
      <c r="K36" s="135">
        <v>155000</v>
      </c>
      <c r="L36" s="127"/>
      <c r="M36" s="127"/>
      <c r="N36" s="127"/>
      <c r="O36" s="127"/>
      <c r="P36" s="127"/>
      <c r="Q36" s="127"/>
      <c r="R36" s="81"/>
    </row>
    <row r="37" spans="1:18" x14ac:dyDescent="0.2">
      <c r="A37" s="101">
        <v>30</v>
      </c>
      <c r="B37" s="127" t="s">
        <v>88</v>
      </c>
      <c r="C37" s="127"/>
      <c r="D37" s="129">
        <v>42418</v>
      </c>
      <c r="E37" s="127"/>
      <c r="F37" s="127"/>
      <c r="G37" s="127"/>
      <c r="H37" s="127"/>
      <c r="I37" s="127"/>
      <c r="J37" s="127"/>
      <c r="K37" s="135">
        <v>110000</v>
      </c>
      <c r="L37" s="127"/>
      <c r="M37" s="127"/>
      <c r="N37" s="127"/>
      <c r="O37" s="127"/>
      <c r="P37" s="127"/>
      <c r="Q37" s="127"/>
      <c r="R37" s="81"/>
    </row>
    <row r="38" spans="1:18" x14ac:dyDescent="0.2">
      <c r="A38" s="101">
        <v>31</v>
      </c>
      <c r="B38" s="127" t="s">
        <v>89</v>
      </c>
      <c r="C38" s="127"/>
      <c r="D38" s="129">
        <v>42423</v>
      </c>
      <c r="E38" s="127"/>
      <c r="F38" s="127"/>
      <c r="G38" s="127"/>
      <c r="H38" s="127"/>
      <c r="I38" s="127"/>
      <c r="J38" s="127"/>
      <c r="K38" s="135">
        <v>121000</v>
      </c>
      <c r="L38" s="127"/>
      <c r="M38" s="127"/>
      <c r="N38" s="127"/>
      <c r="O38" s="127"/>
      <c r="P38" s="127"/>
      <c r="Q38" s="127"/>
      <c r="R38" s="81"/>
    </row>
    <row r="39" spans="1:18" x14ac:dyDescent="0.2">
      <c r="A39" s="102">
        <v>32</v>
      </c>
      <c r="B39" s="127" t="s">
        <v>90</v>
      </c>
      <c r="C39" s="127"/>
      <c r="D39" s="129">
        <v>42423</v>
      </c>
      <c r="E39" s="127"/>
      <c r="F39" s="127"/>
      <c r="G39" s="127"/>
      <c r="H39" s="127"/>
      <c r="I39" s="127"/>
      <c r="J39" s="127"/>
      <c r="K39" s="135">
        <v>110000</v>
      </c>
      <c r="L39" s="127"/>
      <c r="M39" s="127"/>
      <c r="N39" s="127"/>
      <c r="O39" s="127"/>
      <c r="P39" s="127"/>
      <c r="Q39" s="127"/>
      <c r="R39" s="81"/>
    </row>
    <row r="40" spans="1:18" x14ac:dyDescent="0.2">
      <c r="A40" s="101">
        <v>33</v>
      </c>
      <c r="B40" s="127" t="s">
        <v>91</v>
      </c>
      <c r="C40" s="127"/>
      <c r="D40" s="129">
        <v>42458</v>
      </c>
      <c r="E40" s="127"/>
      <c r="F40" s="127"/>
      <c r="G40" s="127"/>
      <c r="H40" s="127"/>
      <c r="I40" s="127"/>
      <c r="J40" s="127"/>
      <c r="K40" s="135">
        <v>245000</v>
      </c>
      <c r="L40" s="127"/>
      <c r="M40" s="127"/>
      <c r="N40" s="127"/>
      <c r="O40" s="127"/>
      <c r="P40" s="127"/>
      <c r="Q40" s="127"/>
      <c r="R40" s="81"/>
    </row>
    <row r="41" spans="1:18" x14ac:dyDescent="0.2">
      <c r="A41" s="101">
        <v>34</v>
      </c>
      <c r="B41" s="127" t="s">
        <v>92</v>
      </c>
      <c r="C41" s="127"/>
      <c r="D41" s="129">
        <v>42426</v>
      </c>
      <c r="E41" s="127"/>
      <c r="F41" s="127"/>
      <c r="G41" s="127"/>
      <c r="H41" s="127"/>
      <c r="I41" s="127"/>
      <c r="J41" s="127"/>
      <c r="K41" s="135">
        <v>95000</v>
      </c>
      <c r="L41" s="127"/>
      <c r="M41" s="127"/>
      <c r="N41" s="127"/>
      <c r="O41" s="127"/>
      <c r="P41" s="127"/>
      <c r="Q41" s="127"/>
      <c r="R41" s="81"/>
    </row>
    <row r="42" spans="1:18" x14ac:dyDescent="0.2">
      <c r="A42" s="102">
        <v>35</v>
      </c>
      <c r="B42" s="127" t="s">
        <v>93</v>
      </c>
      <c r="C42" s="127"/>
      <c r="D42" s="129">
        <v>42429</v>
      </c>
      <c r="E42" s="127"/>
      <c r="F42" s="127"/>
      <c r="G42" s="127"/>
      <c r="H42" s="127"/>
      <c r="I42" s="127"/>
      <c r="J42" s="127"/>
      <c r="K42" s="135">
        <v>152000</v>
      </c>
      <c r="L42" s="127"/>
      <c r="M42" s="127"/>
      <c r="N42" s="127"/>
      <c r="O42" s="127"/>
      <c r="P42" s="127"/>
      <c r="Q42" s="127"/>
      <c r="R42" s="81"/>
    </row>
    <row r="43" spans="1:18" ht="15" x14ac:dyDescent="0.25">
      <c r="A43" s="101">
        <v>36</v>
      </c>
      <c r="B43" s="136" t="s">
        <v>94</v>
      </c>
      <c r="C43" s="127"/>
      <c r="D43" s="137">
        <v>42431</v>
      </c>
      <c r="E43" s="127"/>
      <c r="F43" s="127"/>
      <c r="G43" s="127"/>
      <c r="H43" s="127"/>
      <c r="I43" s="127"/>
      <c r="J43" s="127"/>
      <c r="K43" s="138">
        <v>77586.210000000006</v>
      </c>
      <c r="L43" s="127"/>
      <c r="M43" s="127"/>
      <c r="N43" s="127"/>
      <c r="O43" s="127"/>
      <c r="P43" s="127"/>
      <c r="Q43" s="127"/>
      <c r="R43" s="81"/>
    </row>
    <row r="44" spans="1:18" x14ac:dyDescent="0.2">
      <c r="A44" s="101">
        <v>37</v>
      </c>
      <c r="B44" s="127" t="s">
        <v>95</v>
      </c>
      <c r="C44" s="127"/>
      <c r="D44" s="129">
        <v>42434</v>
      </c>
      <c r="E44" s="127"/>
      <c r="F44" s="127"/>
      <c r="G44" s="127"/>
      <c r="H44" s="127"/>
      <c r="I44" s="127"/>
      <c r="J44" s="127"/>
      <c r="K44" s="135">
        <v>185000</v>
      </c>
      <c r="L44" s="127"/>
      <c r="M44" s="127"/>
      <c r="N44" s="127"/>
      <c r="O44" s="127"/>
      <c r="P44" s="127"/>
      <c r="Q44" s="127"/>
      <c r="R44" s="81"/>
    </row>
    <row r="45" spans="1:18" x14ac:dyDescent="0.2">
      <c r="A45" s="102">
        <v>38</v>
      </c>
      <c r="B45" s="127" t="s">
        <v>96</v>
      </c>
      <c r="C45" s="127"/>
      <c r="D45" s="129">
        <v>42436</v>
      </c>
      <c r="E45" s="127"/>
      <c r="F45" s="127"/>
      <c r="G45" s="127"/>
      <c r="H45" s="127"/>
      <c r="I45" s="127"/>
      <c r="J45" s="127"/>
      <c r="K45" s="135">
        <v>160000</v>
      </c>
      <c r="L45" s="127"/>
      <c r="M45" s="127"/>
      <c r="N45" s="127"/>
      <c r="O45" s="127"/>
      <c r="P45" s="127"/>
      <c r="Q45" s="127"/>
      <c r="R45" s="81"/>
    </row>
    <row r="46" spans="1:18" x14ac:dyDescent="0.2">
      <c r="A46" s="101">
        <v>39</v>
      </c>
      <c r="B46" s="127" t="s">
        <v>97</v>
      </c>
      <c r="C46" s="127"/>
      <c r="D46" s="129">
        <v>42436</v>
      </c>
      <c r="E46" s="127"/>
      <c r="F46" s="127"/>
      <c r="G46" s="127"/>
      <c r="H46" s="127"/>
      <c r="I46" s="127"/>
      <c r="J46" s="127"/>
      <c r="K46" s="135">
        <v>120000</v>
      </c>
      <c r="L46" s="127"/>
      <c r="M46" s="127"/>
      <c r="N46" s="127"/>
      <c r="O46" s="127"/>
      <c r="P46" s="127"/>
      <c r="Q46" s="127"/>
      <c r="R46" s="81"/>
    </row>
    <row r="47" spans="1:18" x14ac:dyDescent="0.2">
      <c r="A47" s="101">
        <v>40</v>
      </c>
      <c r="B47" s="127" t="s">
        <v>98</v>
      </c>
      <c r="C47" s="127"/>
      <c r="D47" s="129">
        <v>42437</v>
      </c>
      <c r="E47" s="127"/>
      <c r="F47" s="127"/>
      <c r="G47" s="127"/>
      <c r="H47" s="127"/>
      <c r="I47" s="127"/>
      <c r="J47" s="127"/>
      <c r="K47" s="135">
        <v>62000</v>
      </c>
      <c r="L47" s="127"/>
      <c r="M47" s="127"/>
      <c r="N47" s="127"/>
      <c r="O47" s="127"/>
      <c r="P47" s="127"/>
      <c r="Q47" s="127"/>
      <c r="R47" s="81"/>
    </row>
    <row r="48" spans="1:18" x14ac:dyDescent="0.2">
      <c r="A48" s="102">
        <v>41</v>
      </c>
      <c r="B48" s="127" t="s">
        <v>99</v>
      </c>
      <c r="C48" s="127"/>
      <c r="D48" s="129">
        <v>42440</v>
      </c>
      <c r="E48" s="127"/>
      <c r="F48" s="127"/>
      <c r="G48" s="127"/>
      <c r="H48" s="127"/>
      <c r="I48" s="127"/>
      <c r="J48" s="127"/>
      <c r="K48" s="135">
        <v>128000</v>
      </c>
      <c r="L48" s="127"/>
      <c r="M48" s="127"/>
      <c r="N48" s="127"/>
      <c r="O48" s="127"/>
      <c r="P48" s="127"/>
      <c r="Q48" s="127"/>
      <c r="R48" s="81"/>
    </row>
    <row r="49" spans="1:18" x14ac:dyDescent="0.2">
      <c r="A49" s="101">
        <v>42</v>
      </c>
      <c r="B49" s="127" t="s">
        <v>100</v>
      </c>
      <c r="C49" s="127"/>
      <c r="D49" s="129">
        <v>42441</v>
      </c>
      <c r="E49" s="127"/>
      <c r="F49" s="127"/>
      <c r="G49" s="127"/>
      <c r="H49" s="127"/>
      <c r="I49" s="127"/>
      <c r="J49" s="127"/>
      <c r="K49" s="135">
        <v>105000</v>
      </c>
      <c r="L49" s="127"/>
      <c r="M49" s="127"/>
      <c r="N49" s="127"/>
      <c r="O49" s="127"/>
      <c r="P49" s="127"/>
      <c r="Q49" s="127"/>
      <c r="R49" s="81"/>
    </row>
    <row r="50" spans="1:18" x14ac:dyDescent="0.2">
      <c r="A50" s="101">
        <v>43</v>
      </c>
      <c r="B50" s="127" t="s">
        <v>101</v>
      </c>
      <c r="C50" s="127"/>
      <c r="D50" s="129">
        <v>42444</v>
      </c>
      <c r="E50" s="127"/>
      <c r="F50" s="127"/>
      <c r="G50" s="127"/>
      <c r="H50" s="127"/>
      <c r="I50" s="127"/>
      <c r="J50" s="127"/>
      <c r="K50" s="135">
        <v>90000</v>
      </c>
      <c r="L50" s="127"/>
      <c r="M50" s="127"/>
      <c r="N50" s="127"/>
      <c r="O50" s="127"/>
      <c r="P50" s="127"/>
      <c r="Q50" s="127"/>
      <c r="R50" s="81"/>
    </row>
    <row r="51" spans="1:18" x14ac:dyDescent="0.2">
      <c r="A51" s="102">
        <v>44</v>
      </c>
      <c r="B51" s="127" t="s">
        <v>102</v>
      </c>
      <c r="C51" s="127"/>
      <c r="D51" s="129">
        <v>42444</v>
      </c>
      <c r="E51" s="127"/>
      <c r="F51" s="127"/>
      <c r="G51" s="127"/>
      <c r="H51" s="127"/>
      <c r="I51" s="127"/>
      <c r="J51" s="127"/>
      <c r="K51" s="135">
        <v>105000</v>
      </c>
      <c r="L51" s="127"/>
      <c r="M51" s="127"/>
      <c r="N51" s="127"/>
      <c r="O51" s="127"/>
      <c r="P51" s="127"/>
      <c r="Q51" s="127"/>
      <c r="R51" s="81"/>
    </row>
    <row r="52" spans="1:18" x14ac:dyDescent="0.2">
      <c r="A52" s="101">
        <v>45</v>
      </c>
      <c r="B52" s="127" t="s">
        <v>103</v>
      </c>
      <c r="C52" s="127"/>
      <c r="D52" s="129">
        <v>42446</v>
      </c>
      <c r="E52" s="127"/>
      <c r="F52" s="127"/>
      <c r="G52" s="127"/>
      <c r="H52" s="127"/>
      <c r="I52" s="127"/>
      <c r="J52" s="127"/>
      <c r="K52" s="135">
        <v>210000</v>
      </c>
      <c r="L52" s="127"/>
      <c r="M52" s="127"/>
      <c r="N52" s="127"/>
      <c r="O52" s="127"/>
      <c r="P52" s="127"/>
      <c r="Q52" s="127"/>
      <c r="R52" s="81"/>
    </row>
    <row r="53" spans="1:18" x14ac:dyDescent="0.2">
      <c r="A53" s="101">
        <v>46</v>
      </c>
      <c r="B53" s="127" t="s">
        <v>104</v>
      </c>
      <c r="C53" s="127"/>
      <c r="D53" s="129">
        <v>42451</v>
      </c>
      <c r="E53" s="127"/>
      <c r="F53" s="127"/>
      <c r="G53" s="127"/>
      <c r="H53" s="127"/>
      <c r="I53" s="127"/>
      <c r="J53" s="127"/>
      <c r="K53" s="135">
        <v>235000</v>
      </c>
      <c r="L53" s="127"/>
      <c r="M53" s="127"/>
      <c r="N53" s="127"/>
      <c r="O53" s="127"/>
      <c r="P53" s="127"/>
      <c r="Q53" s="127"/>
      <c r="R53" s="81"/>
    </row>
    <row r="54" spans="1:18" x14ac:dyDescent="0.2">
      <c r="A54" s="102">
        <v>47</v>
      </c>
      <c r="B54" s="127" t="s">
        <v>105</v>
      </c>
      <c r="C54" s="127"/>
      <c r="D54" s="129">
        <v>42451</v>
      </c>
      <c r="E54" s="127"/>
      <c r="F54" s="127"/>
      <c r="G54" s="127"/>
      <c r="H54" s="127"/>
      <c r="I54" s="127"/>
      <c r="J54" s="127"/>
      <c r="K54" s="135">
        <v>415000</v>
      </c>
      <c r="L54" s="127"/>
      <c r="M54" s="127"/>
      <c r="N54" s="127"/>
      <c r="O54" s="127"/>
      <c r="P54" s="127"/>
      <c r="Q54" s="127"/>
      <c r="R54" s="81"/>
    </row>
    <row r="55" spans="1:18" x14ac:dyDescent="0.2">
      <c r="A55" s="101">
        <v>48</v>
      </c>
      <c r="B55" s="127" t="s">
        <v>106</v>
      </c>
      <c r="C55" s="127"/>
      <c r="D55" s="129">
        <v>42457</v>
      </c>
      <c r="E55" s="127"/>
      <c r="F55" s="127"/>
      <c r="G55" s="127"/>
      <c r="H55" s="127"/>
      <c r="I55" s="127"/>
      <c r="J55" s="127"/>
      <c r="K55" s="135">
        <v>150000</v>
      </c>
      <c r="L55" s="127"/>
      <c r="M55" s="127"/>
      <c r="N55" s="127"/>
      <c r="O55" s="127"/>
      <c r="P55" s="127"/>
      <c r="Q55" s="127"/>
      <c r="R55" s="81"/>
    </row>
    <row r="56" spans="1:18" ht="15" x14ac:dyDescent="0.25">
      <c r="A56" s="101">
        <v>49</v>
      </c>
      <c r="B56" s="136" t="s">
        <v>107</v>
      </c>
      <c r="C56" s="127"/>
      <c r="D56" s="137">
        <v>42458</v>
      </c>
      <c r="E56" s="127"/>
      <c r="F56" s="127"/>
      <c r="G56" s="127"/>
      <c r="H56" s="127"/>
      <c r="I56" s="127"/>
      <c r="J56" s="127"/>
      <c r="K56" s="138">
        <v>150862.07</v>
      </c>
      <c r="L56" s="127"/>
      <c r="M56" s="127"/>
      <c r="N56" s="127"/>
      <c r="O56" s="127"/>
      <c r="P56" s="127"/>
      <c r="Q56" s="127"/>
      <c r="R56" s="81"/>
    </row>
    <row r="57" spans="1:18" x14ac:dyDescent="0.2">
      <c r="A57" s="102">
        <v>50</v>
      </c>
      <c r="B57" s="127" t="s">
        <v>108</v>
      </c>
      <c r="C57" s="127"/>
      <c r="D57" s="129">
        <v>42458</v>
      </c>
      <c r="E57" s="127"/>
      <c r="F57" s="127"/>
      <c r="G57" s="127"/>
      <c r="H57" s="127"/>
      <c r="I57" s="127"/>
      <c r="J57" s="127"/>
      <c r="K57" s="135">
        <v>227400</v>
      </c>
      <c r="L57" s="127"/>
      <c r="M57" s="127"/>
      <c r="N57" s="127"/>
      <c r="O57" s="127"/>
      <c r="P57" s="127"/>
      <c r="Q57" s="127"/>
      <c r="R57" s="81"/>
    </row>
    <row r="58" spans="1:18" ht="15" x14ac:dyDescent="0.25">
      <c r="A58" s="101">
        <v>51</v>
      </c>
      <c r="B58" s="136" t="s">
        <v>109</v>
      </c>
      <c r="C58" s="127"/>
      <c r="D58" s="137">
        <v>42458</v>
      </c>
      <c r="E58" s="127"/>
      <c r="F58" s="127"/>
      <c r="G58" s="127"/>
      <c r="H58" s="127"/>
      <c r="I58" s="127"/>
      <c r="J58" s="127"/>
      <c r="K58" s="138">
        <v>101293.1</v>
      </c>
      <c r="L58" s="127"/>
      <c r="M58" s="127"/>
      <c r="N58" s="127"/>
      <c r="O58" s="127"/>
      <c r="P58" s="127"/>
      <c r="Q58" s="127"/>
      <c r="R58" s="81"/>
    </row>
    <row r="59" spans="1:18" x14ac:dyDescent="0.2">
      <c r="A59" s="101">
        <v>52</v>
      </c>
      <c r="B59" s="127" t="s">
        <v>110</v>
      </c>
      <c r="C59" s="127"/>
      <c r="D59" s="129">
        <v>42460</v>
      </c>
      <c r="E59" s="127"/>
      <c r="F59" s="127"/>
      <c r="G59" s="127"/>
      <c r="H59" s="127"/>
      <c r="I59" s="127"/>
      <c r="J59" s="127"/>
      <c r="K59" s="135">
        <v>68000</v>
      </c>
      <c r="L59" s="127"/>
      <c r="M59" s="127"/>
      <c r="N59" s="127"/>
      <c r="O59" s="127"/>
      <c r="P59" s="127"/>
      <c r="Q59" s="127"/>
      <c r="R59" s="81"/>
    </row>
    <row r="60" spans="1:18" x14ac:dyDescent="0.2">
      <c r="A60" s="102">
        <v>53</v>
      </c>
      <c r="B60" s="127" t="s">
        <v>111</v>
      </c>
      <c r="C60" s="127"/>
      <c r="D60" s="129">
        <v>42467</v>
      </c>
      <c r="E60" s="127"/>
      <c r="F60" s="127"/>
      <c r="G60" s="127"/>
      <c r="H60" s="127"/>
      <c r="I60" s="127"/>
      <c r="J60" s="127"/>
      <c r="K60" s="135">
        <v>150000</v>
      </c>
      <c r="L60" s="127"/>
      <c r="M60" s="127"/>
      <c r="N60" s="127"/>
      <c r="O60" s="127"/>
      <c r="P60" s="127"/>
      <c r="Q60" s="127"/>
      <c r="R60" s="81"/>
    </row>
    <row r="61" spans="1:18" x14ac:dyDescent="0.2">
      <c r="A61" s="101">
        <v>54</v>
      </c>
      <c r="B61" s="127" t="s">
        <v>112</v>
      </c>
      <c r="C61" s="127"/>
      <c r="D61" s="129">
        <v>42482</v>
      </c>
      <c r="E61" s="127"/>
      <c r="F61" s="127"/>
      <c r="G61" s="127"/>
      <c r="H61" s="127"/>
      <c r="I61" s="127"/>
      <c r="J61" s="127"/>
      <c r="K61" s="135">
        <v>206000</v>
      </c>
      <c r="L61" s="127"/>
      <c r="M61" s="127"/>
      <c r="N61" s="127"/>
      <c r="O61" s="127"/>
      <c r="P61" s="127"/>
      <c r="Q61" s="127"/>
      <c r="R61" s="81"/>
    </row>
    <row r="62" spans="1:18" x14ac:dyDescent="0.2">
      <c r="A62" s="101">
        <v>55</v>
      </c>
      <c r="B62" s="127" t="s">
        <v>113</v>
      </c>
      <c r="C62" s="127"/>
      <c r="D62" s="129">
        <v>42467</v>
      </c>
      <c r="E62" s="127"/>
      <c r="F62" s="127"/>
      <c r="G62" s="127"/>
      <c r="H62" s="127"/>
      <c r="I62" s="127"/>
      <c r="J62" s="127"/>
      <c r="K62" s="135">
        <v>62000</v>
      </c>
      <c r="L62" s="127"/>
      <c r="M62" s="127"/>
      <c r="N62" s="127"/>
      <c r="O62" s="127"/>
      <c r="P62" s="127"/>
      <c r="Q62" s="127"/>
      <c r="R62" s="81"/>
    </row>
    <row r="63" spans="1:18" x14ac:dyDescent="0.2">
      <c r="A63" s="102">
        <v>56</v>
      </c>
      <c r="B63" s="127" t="s">
        <v>114</v>
      </c>
      <c r="C63" s="127"/>
      <c r="D63" s="129">
        <v>42467</v>
      </c>
      <c r="E63" s="127"/>
      <c r="F63" s="127"/>
      <c r="G63" s="127"/>
      <c r="H63" s="127"/>
      <c r="I63" s="127"/>
      <c r="J63" s="127"/>
      <c r="K63" s="135">
        <v>66000</v>
      </c>
      <c r="L63" s="127"/>
      <c r="M63" s="127"/>
      <c r="N63" s="127"/>
      <c r="O63" s="127"/>
      <c r="P63" s="127"/>
      <c r="Q63" s="127"/>
      <c r="R63" s="81"/>
    </row>
    <row r="64" spans="1:18" x14ac:dyDescent="0.2">
      <c r="A64" s="101">
        <v>57</v>
      </c>
      <c r="B64" s="127" t="s">
        <v>115</v>
      </c>
      <c r="C64" s="127"/>
      <c r="D64" s="129">
        <v>42467</v>
      </c>
      <c r="E64" s="127"/>
      <c r="F64" s="127"/>
      <c r="G64" s="127"/>
      <c r="H64" s="127"/>
      <c r="I64" s="127"/>
      <c r="J64" s="127"/>
      <c r="K64" s="135">
        <v>222000</v>
      </c>
      <c r="L64" s="127"/>
      <c r="M64" s="127"/>
      <c r="N64" s="127"/>
      <c r="O64" s="127"/>
      <c r="P64" s="127"/>
      <c r="Q64" s="127"/>
      <c r="R64" s="81"/>
    </row>
    <row r="65" spans="1:18" x14ac:dyDescent="0.2">
      <c r="A65" s="101">
        <v>58</v>
      </c>
      <c r="B65" s="127" t="s">
        <v>116</v>
      </c>
      <c r="C65" s="127"/>
      <c r="D65" s="129">
        <v>42467</v>
      </c>
      <c r="E65" s="127"/>
      <c r="F65" s="127"/>
      <c r="G65" s="127"/>
      <c r="H65" s="127"/>
      <c r="I65" s="127"/>
      <c r="J65" s="127"/>
      <c r="K65" s="135">
        <v>90000</v>
      </c>
      <c r="L65" s="127"/>
      <c r="M65" s="127"/>
      <c r="N65" s="127"/>
      <c r="O65" s="127"/>
      <c r="P65" s="127"/>
      <c r="Q65" s="127"/>
      <c r="R65" s="81"/>
    </row>
    <row r="66" spans="1:18" x14ac:dyDescent="0.2">
      <c r="A66" s="102">
        <v>59</v>
      </c>
      <c r="B66" s="127" t="s">
        <v>117</v>
      </c>
      <c r="C66" s="127"/>
      <c r="D66" s="129">
        <v>42472</v>
      </c>
      <c r="E66" s="127"/>
      <c r="F66" s="127"/>
      <c r="G66" s="127"/>
      <c r="H66" s="127"/>
      <c r="I66" s="127"/>
      <c r="J66" s="127"/>
      <c r="K66" s="135">
        <v>168000</v>
      </c>
      <c r="L66" s="127"/>
      <c r="M66" s="127"/>
      <c r="N66" s="127"/>
      <c r="O66" s="127"/>
      <c r="P66" s="127"/>
      <c r="Q66" s="127"/>
      <c r="R66" s="81"/>
    </row>
    <row r="67" spans="1:18" x14ac:dyDescent="0.2">
      <c r="A67" s="101">
        <v>60</v>
      </c>
      <c r="B67" s="127" t="s">
        <v>118</v>
      </c>
      <c r="C67" s="127"/>
      <c r="D67" s="129">
        <v>42478</v>
      </c>
      <c r="E67" s="127"/>
      <c r="F67" s="127"/>
      <c r="G67" s="127"/>
      <c r="H67" s="127"/>
      <c r="I67" s="127"/>
      <c r="J67" s="127"/>
      <c r="K67" s="135">
        <v>160000</v>
      </c>
      <c r="L67" s="127"/>
      <c r="M67" s="127"/>
      <c r="N67" s="127"/>
      <c r="O67" s="127"/>
      <c r="P67" s="127"/>
      <c r="Q67" s="127"/>
      <c r="R67" s="81"/>
    </row>
    <row r="68" spans="1:18" x14ac:dyDescent="0.2">
      <c r="A68" s="101">
        <v>61</v>
      </c>
      <c r="B68" s="127" t="s">
        <v>119</v>
      </c>
      <c r="C68" s="127"/>
      <c r="D68" s="129">
        <v>42480</v>
      </c>
      <c r="E68" s="127"/>
      <c r="F68" s="127"/>
      <c r="G68" s="127"/>
      <c r="H68" s="127"/>
      <c r="I68" s="127"/>
      <c r="J68" s="127"/>
      <c r="K68" s="135">
        <v>112000</v>
      </c>
      <c r="L68" s="127"/>
      <c r="M68" s="127"/>
      <c r="N68" s="127"/>
      <c r="O68" s="127"/>
      <c r="P68" s="127"/>
      <c r="Q68" s="127"/>
      <c r="R68" s="81"/>
    </row>
    <row r="69" spans="1:18" x14ac:dyDescent="0.2">
      <c r="A69" s="102">
        <v>62</v>
      </c>
      <c r="B69" s="127" t="s">
        <v>120</v>
      </c>
      <c r="C69" s="127"/>
      <c r="D69" s="129">
        <v>42481</v>
      </c>
      <c r="E69" s="127"/>
      <c r="F69" s="127"/>
      <c r="G69" s="127"/>
      <c r="H69" s="127"/>
      <c r="I69" s="127"/>
      <c r="J69" s="127"/>
      <c r="K69" s="135">
        <v>263000</v>
      </c>
      <c r="L69" s="127"/>
      <c r="M69" s="127"/>
      <c r="N69" s="127"/>
      <c r="O69" s="127"/>
      <c r="P69" s="127"/>
      <c r="Q69" s="127"/>
      <c r="R69" s="81"/>
    </row>
    <row r="70" spans="1:18" ht="15" x14ac:dyDescent="0.25">
      <c r="A70" s="101">
        <v>63</v>
      </c>
      <c r="B70" s="136" t="s">
        <v>121</v>
      </c>
      <c r="C70" s="127"/>
      <c r="D70" s="137">
        <v>42482</v>
      </c>
      <c r="E70" s="127"/>
      <c r="F70" s="127"/>
      <c r="G70" s="127"/>
      <c r="H70" s="127"/>
      <c r="I70" s="127"/>
      <c r="J70" s="127"/>
      <c r="K70" s="138">
        <v>90517.24</v>
      </c>
      <c r="L70" s="127"/>
      <c r="M70" s="127"/>
      <c r="N70" s="127"/>
      <c r="O70" s="127"/>
      <c r="P70" s="127"/>
      <c r="Q70" s="127"/>
      <c r="R70" s="81"/>
    </row>
    <row r="71" spans="1:18" x14ac:dyDescent="0.2">
      <c r="A71" s="101">
        <v>64</v>
      </c>
      <c r="B71" s="127" t="s">
        <v>122</v>
      </c>
      <c r="C71" s="127"/>
      <c r="D71" s="129">
        <v>42485</v>
      </c>
      <c r="E71" s="127"/>
      <c r="F71" s="127"/>
      <c r="G71" s="127"/>
      <c r="H71" s="127"/>
      <c r="I71" s="127"/>
      <c r="J71" s="127"/>
      <c r="K71" s="135">
        <v>91000</v>
      </c>
      <c r="L71" s="127"/>
      <c r="M71" s="127"/>
      <c r="N71" s="127"/>
      <c r="O71" s="127"/>
      <c r="P71" s="127"/>
      <c r="Q71" s="127"/>
      <c r="R71" s="81"/>
    </row>
    <row r="72" spans="1:18" x14ac:dyDescent="0.2">
      <c r="A72" s="102">
        <v>65</v>
      </c>
      <c r="B72" s="127" t="s">
        <v>123</v>
      </c>
      <c r="C72" s="127"/>
      <c r="D72" s="129">
        <v>42486</v>
      </c>
      <c r="E72" s="127"/>
      <c r="F72" s="127"/>
      <c r="G72" s="127"/>
      <c r="H72" s="127"/>
      <c r="I72" s="127"/>
      <c r="J72" s="127"/>
      <c r="K72" s="135">
        <v>202000</v>
      </c>
      <c r="L72" s="127"/>
      <c r="M72" s="127"/>
      <c r="N72" s="127"/>
      <c r="O72" s="127"/>
      <c r="P72" s="127"/>
      <c r="Q72" s="127"/>
      <c r="R72" s="81"/>
    </row>
    <row r="73" spans="1:18" x14ac:dyDescent="0.2">
      <c r="A73" s="101">
        <v>66</v>
      </c>
      <c r="B73" s="127" t="s">
        <v>124</v>
      </c>
      <c r="C73" s="127"/>
      <c r="D73" s="129">
        <v>42487</v>
      </c>
      <c r="E73" s="127"/>
      <c r="F73" s="127"/>
      <c r="G73" s="127"/>
      <c r="H73" s="127"/>
      <c r="I73" s="127"/>
      <c r="J73" s="127"/>
      <c r="K73" s="135">
        <v>150000</v>
      </c>
      <c r="L73" s="127"/>
      <c r="M73" s="127"/>
      <c r="N73" s="127"/>
      <c r="O73" s="127"/>
      <c r="P73" s="127"/>
      <c r="Q73" s="127"/>
      <c r="R73" s="81"/>
    </row>
    <row r="74" spans="1:18" x14ac:dyDescent="0.2">
      <c r="A74" s="101">
        <v>67</v>
      </c>
      <c r="B74" s="127" t="s">
        <v>125</v>
      </c>
      <c r="C74" s="127"/>
      <c r="D74" s="129">
        <v>42489</v>
      </c>
      <c r="E74" s="127"/>
      <c r="F74" s="127"/>
      <c r="G74" s="127"/>
      <c r="H74" s="127"/>
      <c r="I74" s="127"/>
      <c r="J74" s="127"/>
      <c r="K74" s="135">
        <v>75000</v>
      </c>
      <c r="L74" s="127"/>
      <c r="M74" s="127"/>
      <c r="N74" s="127"/>
      <c r="O74" s="127"/>
      <c r="P74" s="127"/>
      <c r="Q74" s="127"/>
      <c r="R74" s="81"/>
    </row>
    <row r="75" spans="1:18" x14ac:dyDescent="0.2">
      <c r="A75" s="102">
        <v>68</v>
      </c>
      <c r="B75" s="127" t="s">
        <v>126</v>
      </c>
      <c r="C75" s="127"/>
      <c r="D75" s="129">
        <v>42499</v>
      </c>
      <c r="E75" s="127"/>
      <c r="F75" s="127"/>
      <c r="G75" s="127"/>
      <c r="H75" s="127"/>
      <c r="I75" s="127"/>
      <c r="J75" s="127"/>
      <c r="K75" s="135">
        <v>131310.34</v>
      </c>
      <c r="L75" s="127"/>
      <c r="M75" s="127"/>
      <c r="N75" s="127"/>
      <c r="O75" s="127"/>
      <c r="P75" s="127"/>
      <c r="Q75" s="127"/>
      <c r="R75" s="81"/>
    </row>
    <row r="76" spans="1:18" ht="15" x14ac:dyDescent="0.25">
      <c r="A76" s="101">
        <v>69</v>
      </c>
      <c r="B76" s="136" t="s">
        <v>127</v>
      </c>
      <c r="C76" s="127"/>
      <c r="D76" s="137">
        <v>42499</v>
      </c>
      <c r="E76" s="127"/>
      <c r="F76" s="127"/>
      <c r="G76" s="127"/>
      <c r="H76" s="127"/>
      <c r="I76" s="127"/>
      <c r="J76" s="127"/>
      <c r="K76" s="138">
        <v>103448.28</v>
      </c>
      <c r="L76" s="127"/>
      <c r="M76" s="127"/>
      <c r="N76" s="127"/>
      <c r="O76" s="127"/>
      <c r="P76" s="127"/>
      <c r="Q76" s="127"/>
      <c r="R76" s="81"/>
    </row>
    <row r="77" spans="1:18" ht="15" x14ac:dyDescent="0.25">
      <c r="A77" s="101">
        <v>70</v>
      </c>
      <c r="B77" s="136" t="s">
        <v>128</v>
      </c>
      <c r="C77" s="127"/>
      <c r="D77" s="137">
        <v>42510</v>
      </c>
      <c r="E77" s="127"/>
      <c r="F77" s="127"/>
      <c r="G77" s="127"/>
      <c r="H77" s="127"/>
      <c r="I77" s="127"/>
      <c r="J77" s="127"/>
      <c r="K77" s="138">
        <v>301724.14</v>
      </c>
      <c r="L77" s="127"/>
      <c r="M77" s="127"/>
      <c r="N77" s="127"/>
      <c r="O77" s="127"/>
      <c r="P77" s="127"/>
      <c r="Q77" s="127"/>
      <c r="R77" s="81"/>
    </row>
    <row r="78" spans="1:18" x14ac:dyDescent="0.2">
      <c r="A78" s="102">
        <v>71</v>
      </c>
      <c r="B78" s="127" t="s">
        <v>129</v>
      </c>
      <c r="C78" s="127"/>
      <c r="D78" s="129">
        <v>42511</v>
      </c>
      <c r="E78" s="127"/>
      <c r="F78" s="127"/>
      <c r="G78" s="127"/>
      <c r="H78" s="127"/>
      <c r="I78" s="127"/>
      <c r="J78" s="127"/>
      <c r="K78" s="135">
        <v>89000</v>
      </c>
      <c r="L78" s="127"/>
      <c r="M78" s="127"/>
      <c r="N78" s="127"/>
      <c r="O78" s="127"/>
      <c r="P78" s="127"/>
      <c r="Q78" s="127"/>
      <c r="R78" s="81"/>
    </row>
    <row r="79" spans="1:18" x14ac:dyDescent="0.2">
      <c r="A79" s="101">
        <v>72</v>
      </c>
      <c r="B79" s="127" t="s">
        <v>130</v>
      </c>
      <c r="C79" s="127"/>
      <c r="D79" s="129">
        <v>42511</v>
      </c>
      <c r="E79" s="127"/>
      <c r="F79" s="127"/>
      <c r="G79" s="127"/>
      <c r="H79" s="127"/>
      <c r="I79" s="127"/>
      <c r="J79" s="127"/>
      <c r="K79" s="135">
        <v>185000</v>
      </c>
      <c r="L79" s="127"/>
      <c r="M79" s="127"/>
      <c r="N79" s="127"/>
      <c r="O79" s="127"/>
      <c r="P79" s="127"/>
      <c r="Q79" s="127"/>
      <c r="R79" s="81"/>
    </row>
    <row r="80" spans="1:18" x14ac:dyDescent="0.2">
      <c r="A80" s="101">
        <v>73</v>
      </c>
      <c r="B80" s="127" t="s">
        <v>131</v>
      </c>
      <c r="C80" s="127"/>
      <c r="D80" s="129">
        <v>42514</v>
      </c>
      <c r="E80" s="127"/>
      <c r="F80" s="127"/>
      <c r="G80" s="127"/>
      <c r="H80" s="127"/>
      <c r="I80" s="127"/>
      <c r="J80" s="127"/>
      <c r="K80" s="135">
        <v>135000</v>
      </c>
      <c r="L80" s="127"/>
      <c r="M80" s="127"/>
      <c r="N80" s="127"/>
      <c r="O80" s="127"/>
      <c r="P80" s="127"/>
      <c r="Q80" s="127"/>
      <c r="R80" s="81"/>
    </row>
    <row r="81" spans="1:18" x14ac:dyDescent="0.2">
      <c r="A81" s="102">
        <v>74</v>
      </c>
      <c r="B81" s="127" t="s">
        <v>132</v>
      </c>
      <c r="C81" s="127"/>
      <c r="D81" s="129">
        <v>42514</v>
      </c>
      <c r="E81" s="127"/>
      <c r="F81" s="127"/>
      <c r="G81" s="127"/>
      <c r="H81" s="127"/>
      <c r="I81" s="127"/>
      <c r="J81" s="127"/>
      <c r="K81" s="135">
        <v>120000</v>
      </c>
      <c r="L81" s="127"/>
      <c r="M81" s="127"/>
      <c r="N81" s="127"/>
      <c r="O81" s="127"/>
      <c r="P81" s="127"/>
      <c r="Q81" s="127"/>
      <c r="R81" s="81"/>
    </row>
    <row r="82" spans="1:18" x14ac:dyDescent="0.2">
      <c r="A82" s="101">
        <v>75</v>
      </c>
      <c r="B82" s="127" t="s">
        <v>133</v>
      </c>
      <c r="C82" s="127"/>
      <c r="D82" s="129">
        <v>42517</v>
      </c>
      <c r="E82" s="127"/>
      <c r="F82" s="127"/>
      <c r="G82" s="127"/>
      <c r="H82" s="127"/>
      <c r="I82" s="127"/>
      <c r="J82" s="127"/>
      <c r="K82" s="135">
        <v>90000</v>
      </c>
      <c r="L82" s="127"/>
      <c r="M82" s="127"/>
      <c r="N82" s="127"/>
      <c r="O82" s="127"/>
      <c r="P82" s="127"/>
      <c r="Q82" s="127"/>
      <c r="R82" s="81"/>
    </row>
    <row r="83" spans="1:18" x14ac:dyDescent="0.2">
      <c r="A83" s="101">
        <v>76</v>
      </c>
      <c r="B83" s="127" t="s">
        <v>134</v>
      </c>
      <c r="C83" s="127"/>
      <c r="D83" s="129">
        <v>42520</v>
      </c>
      <c r="E83" s="127"/>
      <c r="F83" s="127"/>
      <c r="G83" s="127"/>
      <c r="H83" s="127"/>
      <c r="I83" s="127"/>
      <c r="J83" s="127"/>
      <c r="K83" s="135">
        <v>155000</v>
      </c>
      <c r="L83" s="127"/>
      <c r="M83" s="127"/>
      <c r="N83" s="127"/>
      <c r="O83" s="127"/>
      <c r="P83" s="127"/>
      <c r="Q83" s="127"/>
      <c r="R83" s="81"/>
    </row>
    <row r="84" spans="1:18" x14ac:dyDescent="0.2">
      <c r="A84" s="102">
        <v>77</v>
      </c>
      <c r="B84" s="127" t="s">
        <v>135</v>
      </c>
      <c r="C84" s="127"/>
      <c r="D84" s="129">
        <v>42521</v>
      </c>
      <c r="E84" s="127"/>
      <c r="F84" s="127"/>
      <c r="G84" s="127"/>
      <c r="H84" s="127"/>
      <c r="I84" s="127"/>
      <c r="J84" s="127"/>
      <c r="K84" s="135">
        <v>111000</v>
      </c>
      <c r="L84" s="127"/>
      <c r="M84" s="127"/>
      <c r="N84" s="127"/>
      <c r="O84" s="127"/>
      <c r="P84" s="127"/>
      <c r="Q84" s="127"/>
      <c r="R84" s="81"/>
    </row>
    <row r="85" spans="1:18" x14ac:dyDescent="0.2">
      <c r="A85" s="101">
        <v>78</v>
      </c>
      <c r="B85" s="127" t="s">
        <v>136</v>
      </c>
      <c r="C85" s="127"/>
      <c r="D85" s="129">
        <v>42521</v>
      </c>
      <c r="E85" s="127"/>
      <c r="F85" s="127"/>
      <c r="G85" s="127"/>
      <c r="H85" s="127"/>
      <c r="I85" s="127"/>
      <c r="J85" s="127"/>
      <c r="K85" s="135">
        <v>188000</v>
      </c>
      <c r="L85" s="127"/>
      <c r="M85" s="127"/>
      <c r="N85" s="127"/>
      <c r="O85" s="127"/>
      <c r="P85" s="127"/>
      <c r="Q85" s="127"/>
      <c r="R85" s="81"/>
    </row>
    <row r="86" spans="1:18" x14ac:dyDescent="0.2">
      <c r="A86" s="101">
        <v>79</v>
      </c>
      <c r="B86" s="127" t="s">
        <v>137</v>
      </c>
      <c r="C86" s="127"/>
      <c r="D86" s="129">
        <v>42521</v>
      </c>
      <c r="E86" s="127"/>
      <c r="F86" s="127"/>
      <c r="G86" s="127"/>
      <c r="H86" s="127"/>
      <c r="I86" s="127"/>
      <c r="J86" s="127"/>
      <c r="K86" s="135">
        <v>140500</v>
      </c>
      <c r="L86" s="127"/>
      <c r="M86" s="127"/>
      <c r="N86" s="127"/>
      <c r="O86" s="127"/>
      <c r="P86" s="127"/>
      <c r="Q86" s="127"/>
      <c r="R86" s="81"/>
    </row>
    <row r="87" spans="1:18" x14ac:dyDescent="0.2">
      <c r="A87" s="102">
        <v>80</v>
      </c>
      <c r="B87" s="127" t="s">
        <v>138</v>
      </c>
      <c r="C87" s="127"/>
      <c r="D87" s="129">
        <v>42521</v>
      </c>
      <c r="E87" s="127"/>
      <c r="F87" s="127"/>
      <c r="G87" s="127"/>
      <c r="H87" s="127"/>
      <c r="I87" s="127"/>
      <c r="J87" s="127"/>
      <c r="K87" s="135">
        <v>122000</v>
      </c>
      <c r="L87" s="127"/>
      <c r="M87" s="127"/>
      <c r="N87" s="127"/>
      <c r="O87" s="127"/>
      <c r="P87" s="127"/>
      <c r="Q87" s="127"/>
      <c r="R87" s="81"/>
    </row>
    <row r="88" spans="1:18" x14ac:dyDescent="0.2">
      <c r="A88" s="101">
        <v>81</v>
      </c>
      <c r="B88" s="127" t="s">
        <v>139</v>
      </c>
      <c r="C88" s="127"/>
      <c r="D88" s="129">
        <v>42529</v>
      </c>
      <c r="E88" s="127"/>
      <c r="F88" s="127"/>
      <c r="G88" s="127"/>
      <c r="H88" s="127"/>
      <c r="I88" s="127"/>
      <c r="J88" s="127"/>
      <c r="K88" s="135">
        <v>70000</v>
      </c>
      <c r="L88" s="127"/>
      <c r="M88" s="127"/>
      <c r="N88" s="127"/>
      <c r="O88" s="127"/>
      <c r="P88" s="127"/>
      <c r="Q88" s="127"/>
      <c r="R88" s="81"/>
    </row>
    <row r="89" spans="1:18" x14ac:dyDescent="0.2">
      <c r="A89" s="101">
        <v>82</v>
      </c>
      <c r="B89" s="127" t="s">
        <v>140</v>
      </c>
      <c r="C89" s="127"/>
      <c r="D89" s="129">
        <v>42546</v>
      </c>
      <c r="E89" s="127"/>
      <c r="F89" s="127"/>
      <c r="G89" s="127"/>
      <c r="H89" s="127"/>
      <c r="I89" s="127"/>
      <c r="J89" s="127"/>
      <c r="K89" s="135">
        <v>122000</v>
      </c>
      <c r="L89" s="127"/>
      <c r="M89" s="127"/>
      <c r="N89" s="127"/>
      <c r="O89" s="127"/>
      <c r="P89" s="127"/>
      <c r="Q89" s="127"/>
      <c r="R89" s="81"/>
    </row>
    <row r="90" spans="1:18" x14ac:dyDescent="0.2">
      <c r="A90" s="102">
        <v>83</v>
      </c>
      <c r="B90" s="127" t="s">
        <v>141</v>
      </c>
      <c r="C90" s="127"/>
      <c r="D90" s="129">
        <v>42530</v>
      </c>
      <c r="E90" s="127"/>
      <c r="F90" s="127"/>
      <c r="G90" s="127"/>
      <c r="H90" s="127"/>
      <c r="I90" s="127"/>
      <c r="J90" s="127"/>
      <c r="K90" s="135">
        <v>239551.66</v>
      </c>
      <c r="L90" s="127"/>
      <c r="M90" s="127"/>
      <c r="N90" s="127"/>
      <c r="O90" s="127"/>
      <c r="P90" s="127"/>
      <c r="Q90" s="127"/>
      <c r="R90" s="81"/>
    </row>
    <row r="91" spans="1:18" x14ac:dyDescent="0.2">
      <c r="A91" s="101">
        <v>84</v>
      </c>
      <c r="B91" s="127" t="s">
        <v>142</v>
      </c>
      <c r="C91" s="127"/>
      <c r="D91" s="129">
        <v>42531</v>
      </c>
      <c r="E91" s="127"/>
      <c r="F91" s="127"/>
      <c r="G91" s="127"/>
      <c r="H91" s="127"/>
      <c r="I91" s="127"/>
      <c r="J91" s="127"/>
      <c r="K91" s="135">
        <v>205000</v>
      </c>
      <c r="L91" s="127"/>
      <c r="M91" s="127"/>
      <c r="N91" s="127"/>
      <c r="O91" s="127"/>
      <c r="P91" s="127"/>
      <c r="Q91" s="127"/>
      <c r="R91" s="81"/>
    </row>
    <row r="92" spans="1:18" x14ac:dyDescent="0.2">
      <c r="A92" s="101">
        <v>85</v>
      </c>
      <c r="B92" s="127" t="s">
        <v>143</v>
      </c>
      <c r="C92" s="127"/>
      <c r="D92" s="129">
        <v>42532</v>
      </c>
      <c r="E92" s="127"/>
      <c r="F92" s="127"/>
      <c r="G92" s="127"/>
      <c r="H92" s="127"/>
      <c r="I92" s="127"/>
      <c r="J92" s="127"/>
      <c r="K92" s="135">
        <v>195000</v>
      </c>
      <c r="L92" s="127"/>
      <c r="M92" s="127"/>
      <c r="N92" s="127"/>
      <c r="O92" s="127"/>
      <c r="P92" s="127"/>
      <c r="Q92" s="127"/>
      <c r="R92" s="81"/>
    </row>
    <row r="93" spans="1:18" ht="15" x14ac:dyDescent="0.25">
      <c r="A93" s="102">
        <v>86</v>
      </c>
      <c r="B93" s="136" t="s">
        <v>144</v>
      </c>
      <c r="C93" s="127"/>
      <c r="D93" s="137">
        <v>42534</v>
      </c>
      <c r="E93" s="127"/>
      <c r="F93" s="127"/>
      <c r="G93" s="127"/>
      <c r="H93" s="127"/>
      <c r="I93" s="127"/>
      <c r="J93" s="127"/>
      <c r="K93" s="138">
        <v>181034.48</v>
      </c>
      <c r="L93" s="127"/>
      <c r="M93" s="127"/>
      <c r="N93" s="127"/>
      <c r="O93" s="127"/>
      <c r="P93" s="127"/>
      <c r="Q93" s="127"/>
      <c r="R93" s="81"/>
    </row>
    <row r="94" spans="1:18" ht="15" x14ac:dyDescent="0.25">
      <c r="A94" s="101">
        <v>87</v>
      </c>
      <c r="B94" s="136" t="s">
        <v>145</v>
      </c>
      <c r="C94" s="127"/>
      <c r="D94" s="137">
        <v>42536</v>
      </c>
      <c r="E94" s="127"/>
      <c r="F94" s="127"/>
      <c r="G94" s="127"/>
      <c r="H94" s="127"/>
      <c r="I94" s="127"/>
      <c r="J94" s="127"/>
      <c r="K94" s="138">
        <v>127586.21</v>
      </c>
      <c r="L94" s="127"/>
      <c r="M94" s="127"/>
      <c r="N94" s="127"/>
      <c r="O94" s="127"/>
      <c r="P94" s="127"/>
      <c r="Q94" s="127"/>
      <c r="R94" s="81"/>
    </row>
    <row r="95" spans="1:18" x14ac:dyDescent="0.2">
      <c r="A95" s="101">
        <v>88</v>
      </c>
      <c r="B95" s="127" t="s">
        <v>146</v>
      </c>
      <c r="C95" s="127"/>
      <c r="D95" s="129">
        <v>42536</v>
      </c>
      <c r="E95" s="127"/>
      <c r="F95" s="127"/>
      <c r="G95" s="127"/>
      <c r="H95" s="127"/>
      <c r="I95" s="127"/>
      <c r="J95" s="127"/>
      <c r="K95" s="135">
        <v>124000</v>
      </c>
      <c r="L95" s="127"/>
      <c r="M95" s="127"/>
      <c r="N95" s="127"/>
      <c r="O95" s="127"/>
      <c r="P95" s="127"/>
      <c r="Q95" s="127"/>
      <c r="R95" s="81"/>
    </row>
    <row r="96" spans="1:18" x14ac:dyDescent="0.2">
      <c r="A96" s="102">
        <v>89</v>
      </c>
      <c r="B96" s="127" t="s">
        <v>147</v>
      </c>
      <c r="C96" s="127"/>
      <c r="D96" s="129">
        <v>42536</v>
      </c>
      <c r="E96" s="127"/>
      <c r="F96" s="127"/>
      <c r="G96" s="127"/>
      <c r="H96" s="127"/>
      <c r="I96" s="127"/>
      <c r="J96" s="127"/>
      <c r="K96" s="135">
        <v>435000</v>
      </c>
      <c r="L96" s="127"/>
      <c r="M96" s="127"/>
      <c r="N96" s="127"/>
      <c r="O96" s="127"/>
      <c r="P96" s="127"/>
      <c r="Q96" s="127"/>
      <c r="R96" s="81"/>
    </row>
    <row r="97" spans="1:18" x14ac:dyDescent="0.2">
      <c r="A97" s="101">
        <v>90</v>
      </c>
      <c r="B97" s="127" t="s">
        <v>148</v>
      </c>
      <c r="C97" s="127"/>
      <c r="D97" s="129">
        <v>42545</v>
      </c>
      <c r="E97" s="127"/>
      <c r="F97" s="127"/>
      <c r="G97" s="127"/>
      <c r="H97" s="127"/>
      <c r="I97" s="127"/>
      <c r="J97" s="127"/>
      <c r="K97" s="135">
        <v>152000</v>
      </c>
      <c r="L97" s="127"/>
      <c r="M97" s="127"/>
      <c r="N97" s="127"/>
      <c r="O97" s="127"/>
      <c r="P97" s="127"/>
      <c r="Q97" s="127"/>
      <c r="R97" s="81"/>
    </row>
    <row r="98" spans="1:18" x14ac:dyDescent="0.2">
      <c r="A98" s="101">
        <v>91</v>
      </c>
      <c r="B98" s="127" t="s">
        <v>149</v>
      </c>
      <c r="C98" s="127"/>
      <c r="D98" s="129">
        <v>42541</v>
      </c>
      <c r="E98" s="127"/>
      <c r="F98" s="127"/>
      <c r="G98" s="127"/>
      <c r="H98" s="127"/>
      <c r="I98" s="127"/>
      <c r="J98" s="127"/>
      <c r="K98" s="135">
        <v>80000</v>
      </c>
      <c r="L98" s="127"/>
      <c r="M98" s="127"/>
      <c r="N98" s="127"/>
      <c r="O98" s="127"/>
      <c r="P98" s="127"/>
      <c r="Q98" s="127"/>
      <c r="R98" s="81"/>
    </row>
    <row r="99" spans="1:18" x14ac:dyDescent="0.2">
      <c r="A99" s="102">
        <v>92</v>
      </c>
      <c r="B99" s="127" t="s">
        <v>150</v>
      </c>
      <c r="C99" s="127"/>
      <c r="D99" s="129">
        <v>42544</v>
      </c>
      <c r="E99" s="127"/>
      <c r="F99" s="127"/>
      <c r="G99" s="127"/>
      <c r="H99" s="127"/>
      <c r="I99" s="127"/>
      <c r="J99" s="127"/>
      <c r="K99" s="135">
        <v>135000</v>
      </c>
      <c r="L99" s="127"/>
      <c r="M99" s="127"/>
      <c r="N99" s="127"/>
      <c r="O99" s="127"/>
      <c r="P99" s="127"/>
      <c r="Q99" s="127"/>
      <c r="R99" s="81"/>
    </row>
    <row r="100" spans="1:18" x14ac:dyDescent="0.2">
      <c r="A100" s="101">
        <v>93</v>
      </c>
      <c r="B100" s="127" t="s">
        <v>151</v>
      </c>
      <c r="C100" s="127"/>
      <c r="D100" s="129">
        <v>42544</v>
      </c>
      <c r="E100" s="127"/>
      <c r="F100" s="127"/>
      <c r="G100" s="127"/>
      <c r="H100" s="127"/>
      <c r="I100" s="127"/>
      <c r="J100" s="127"/>
      <c r="K100" s="135">
        <v>155000</v>
      </c>
      <c r="L100" s="127"/>
      <c r="M100" s="127"/>
      <c r="N100" s="127"/>
      <c r="O100" s="127"/>
      <c r="P100" s="127"/>
      <c r="Q100" s="127"/>
      <c r="R100" s="81"/>
    </row>
    <row r="101" spans="1:18" x14ac:dyDescent="0.2">
      <c r="A101" s="101">
        <v>94</v>
      </c>
      <c r="B101" s="127" t="s">
        <v>152</v>
      </c>
      <c r="C101" s="127"/>
      <c r="D101" s="129">
        <v>42545</v>
      </c>
      <c r="E101" s="127"/>
      <c r="F101" s="127"/>
      <c r="G101" s="127"/>
      <c r="H101" s="127"/>
      <c r="I101" s="127"/>
      <c r="J101" s="127"/>
      <c r="K101" s="135">
        <v>80000</v>
      </c>
      <c r="L101" s="127"/>
      <c r="M101" s="127"/>
      <c r="N101" s="127"/>
      <c r="O101" s="127"/>
      <c r="P101" s="127"/>
      <c r="Q101" s="127"/>
      <c r="R101" s="81"/>
    </row>
    <row r="102" spans="1:18" ht="15" x14ac:dyDescent="0.25">
      <c r="A102" s="102">
        <v>95</v>
      </c>
      <c r="B102" s="136" t="s">
        <v>153</v>
      </c>
      <c r="C102" s="127"/>
      <c r="D102" s="137">
        <v>42545</v>
      </c>
      <c r="E102" s="127"/>
      <c r="F102" s="127"/>
      <c r="G102" s="127"/>
      <c r="H102" s="127"/>
      <c r="I102" s="127"/>
      <c r="J102" s="127"/>
      <c r="K102" s="138">
        <v>74138</v>
      </c>
      <c r="L102" s="127"/>
      <c r="M102" s="127"/>
      <c r="N102" s="127"/>
      <c r="O102" s="127"/>
      <c r="P102" s="127"/>
      <c r="Q102" s="127"/>
      <c r="R102" s="81"/>
    </row>
    <row r="103" spans="1:18" x14ac:dyDescent="0.2">
      <c r="A103" s="101">
        <v>96</v>
      </c>
      <c r="B103" s="127" t="s">
        <v>154</v>
      </c>
      <c r="C103" s="127"/>
      <c r="D103" s="129">
        <v>42545</v>
      </c>
      <c r="E103" s="127"/>
      <c r="F103" s="127"/>
      <c r="G103" s="127"/>
      <c r="H103" s="127"/>
      <c r="I103" s="127"/>
      <c r="J103" s="127"/>
      <c r="K103" s="135">
        <v>128000</v>
      </c>
      <c r="L103" s="127"/>
      <c r="M103" s="127"/>
      <c r="N103" s="127"/>
      <c r="O103" s="127"/>
      <c r="P103" s="127"/>
      <c r="Q103" s="127"/>
      <c r="R103" s="81"/>
    </row>
    <row r="104" spans="1:18" x14ac:dyDescent="0.2">
      <c r="A104" s="101">
        <v>97</v>
      </c>
      <c r="B104" s="127" t="s">
        <v>155</v>
      </c>
      <c r="C104" s="127"/>
      <c r="D104" s="129">
        <v>42546</v>
      </c>
      <c r="E104" s="127"/>
      <c r="F104" s="127"/>
      <c r="G104" s="127"/>
      <c r="H104" s="127"/>
      <c r="I104" s="127"/>
      <c r="J104" s="127"/>
      <c r="K104" s="135">
        <v>110000</v>
      </c>
      <c r="L104" s="127"/>
      <c r="M104" s="127"/>
      <c r="N104" s="127"/>
      <c r="O104" s="127"/>
      <c r="P104" s="127"/>
      <c r="Q104" s="127"/>
      <c r="R104" s="81"/>
    </row>
    <row r="105" spans="1:18" x14ac:dyDescent="0.2">
      <c r="A105" s="102">
        <v>98</v>
      </c>
      <c r="B105" s="127" t="s">
        <v>156</v>
      </c>
      <c r="C105" s="127"/>
      <c r="D105" s="129">
        <v>42546</v>
      </c>
      <c r="E105" s="127"/>
      <c r="F105" s="127"/>
      <c r="G105" s="127"/>
      <c r="H105" s="127"/>
      <c r="I105" s="127"/>
      <c r="J105" s="127"/>
      <c r="K105" s="135">
        <v>275000</v>
      </c>
      <c r="L105" s="127"/>
      <c r="M105" s="127"/>
      <c r="N105" s="127"/>
      <c r="O105" s="127"/>
      <c r="P105" s="127"/>
      <c r="Q105" s="127"/>
      <c r="R105" s="81"/>
    </row>
    <row r="106" spans="1:18" x14ac:dyDescent="0.2">
      <c r="A106" s="101">
        <v>99</v>
      </c>
      <c r="B106" s="127" t="s">
        <v>157</v>
      </c>
      <c r="C106" s="127"/>
      <c r="D106" s="129">
        <v>42546</v>
      </c>
      <c r="E106" s="127"/>
      <c r="F106" s="127"/>
      <c r="G106" s="127"/>
      <c r="H106" s="127"/>
      <c r="I106" s="127"/>
      <c r="J106" s="127"/>
      <c r="K106" s="135">
        <v>215000</v>
      </c>
      <c r="L106" s="127"/>
      <c r="M106" s="127"/>
      <c r="N106" s="127"/>
      <c r="O106" s="127"/>
      <c r="P106" s="127"/>
      <c r="Q106" s="127"/>
      <c r="R106" s="81"/>
    </row>
    <row r="107" spans="1:18" x14ac:dyDescent="0.2">
      <c r="A107" s="101">
        <v>100</v>
      </c>
      <c r="B107" s="127" t="s">
        <v>158</v>
      </c>
      <c r="C107" s="127"/>
      <c r="D107" s="129">
        <v>42548</v>
      </c>
      <c r="E107" s="127"/>
      <c r="F107" s="127"/>
      <c r="G107" s="127"/>
      <c r="H107" s="127"/>
      <c r="I107" s="127"/>
      <c r="J107" s="127"/>
      <c r="K107" s="135">
        <v>140000</v>
      </c>
      <c r="L107" s="127"/>
      <c r="M107" s="127"/>
      <c r="N107" s="127"/>
      <c r="O107" s="127"/>
      <c r="P107" s="127"/>
      <c r="Q107" s="127"/>
      <c r="R107" s="81"/>
    </row>
    <row r="108" spans="1:18" x14ac:dyDescent="0.2">
      <c r="A108" s="102">
        <v>101</v>
      </c>
      <c r="B108" s="127" t="s">
        <v>159</v>
      </c>
      <c r="C108" s="127"/>
      <c r="D108" s="129">
        <v>42548</v>
      </c>
      <c r="E108" s="127"/>
      <c r="F108" s="127"/>
      <c r="G108" s="127"/>
      <c r="H108" s="127"/>
      <c r="I108" s="127"/>
      <c r="J108" s="127"/>
      <c r="K108" s="135">
        <v>170000</v>
      </c>
      <c r="L108" s="127"/>
      <c r="M108" s="127"/>
      <c r="N108" s="127"/>
      <c r="O108" s="127"/>
      <c r="P108" s="127"/>
      <c r="Q108" s="127"/>
      <c r="R108" s="81"/>
    </row>
    <row r="109" spans="1:18" x14ac:dyDescent="0.2">
      <c r="A109" s="101">
        <v>102</v>
      </c>
      <c r="B109" s="127" t="s">
        <v>160</v>
      </c>
      <c r="C109" s="127"/>
      <c r="D109" s="129">
        <v>42549</v>
      </c>
      <c r="E109" s="127"/>
      <c r="F109" s="127"/>
      <c r="G109" s="127"/>
      <c r="H109" s="127"/>
      <c r="I109" s="127"/>
      <c r="J109" s="127"/>
      <c r="K109" s="135">
        <v>425000</v>
      </c>
      <c r="L109" s="127"/>
      <c r="M109" s="127"/>
      <c r="N109" s="127"/>
      <c r="O109" s="127"/>
      <c r="P109" s="127"/>
      <c r="Q109" s="127"/>
      <c r="R109" s="81"/>
    </row>
    <row r="110" spans="1:18" x14ac:dyDescent="0.2">
      <c r="A110" s="101">
        <v>103</v>
      </c>
      <c r="B110" s="127" t="s">
        <v>161</v>
      </c>
      <c r="C110" s="127"/>
      <c r="D110" s="129">
        <v>42551</v>
      </c>
      <c r="E110" s="127"/>
      <c r="F110" s="127"/>
      <c r="G110" s="127"/>
      <c r="H110" s="127"/>
      <c r="I110" s="127"/>
      <c r="J110" s="127"/>
      <c r="K110" s="135">
        <v>180000</v>
      </c>
      <c r="L110" s="127"/>
      <c r="M110" s="127"/>
      <c r="N110" s="127"/>
      <c r="O110" s="127"/>
      <c r="P110" s="127"/>
      <c r="Q110" s="127"/>
      <c r="R110" s="81"/>
    </row>
    <row r="111" spans="1:18" x14ac:dyDescent="0.2">
      <c r="A111" s="102">
        <v>104</v>
      </c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81"/>
    </row>
    <row r="112" spans="1:18" x14ac:dyDescent="0.2">
      <c r="A112" s="101">
        <v>105</v>
      </c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81"/>
    </row>
    <row r="113" spans="1:18" x14ac:dyDescent="0.2">
      <c r="A113" s="101">
        <v>106</v>
      </c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81"/>
    </row>
    <row r="114" spans="1:18" x14ac:dyDescent="0.2">
      <c r="A114" s="102">
        <v>107</v>
      </c>
      <c r="B114" s="93"/>
      <c r="C114" s="98"/>
      <c r="D114" s="99"/>
      <c r="E114" s="94">
        <f t="shared" ref="E114:E136" si="1">(D114-C114)/30</f>
        <v>0</v>
      </c>
      <c r="F114" s="95">
        <f t="shared" ref="F114:F136" si="2">0.2/12</f>
        <v>1.6666666666666666E-2</v>
      </c>
      <c r="G114" s="86"/>
      <c r="H114" s="88">
        <f t="shared" ref="H114:H135" si="3">G114-(G114*F114*E114)</f>
        <v>0</v>
      </c>
      <c r="I114" s="87"/>
      <c r="J114" s="88">
        <f t="shared" ref="J114:J136" si="4">+H114*I114</f>
        <v>0</v>
      </c>
      <c r="K114" s="96"/>
      <c r="L114" s="88">
        <f t="shared" ref="L114:L136" si="5">+K114-J114</f>
        <v>0</v>
      </c>
      <c r="M114" s="88">
        <v>69828.149999999994</v>
      </c>
      <c r="N114" s="88">
        <f t="shared" ref="N114:N136" si="6">+L114-M114</f>
        <v>-69828.149999999994</v>
      </c>
      <c r="O114" s="83">
        <f t="shared" ref="O114:O115" si="7">IF(N114&gt;1,N114*0.2,0)</f>
        <v>0</v>
      </c>
      <c r="P114" s="84"/>
      <c r="Q114" s="84"/>
      <c r="R114" s="81"/>
    </row>
    <row r="115" spans="1:18" x14ac:dyDescent="0.2">
      <c r="A115" s="101">
        <v>108</v>
      </c>
      <c r="B115" s="93"/>
      <c r="C115" s="98"/>
      <c r="D115" s="99"/>
      <c r="E115" s="94">
        <f t="shared" si="1"/>
        <v>0</v>
      </c>
      <c r="F115" s="95">
        <f t="shared" si="2"/>
        <v>1.6666666666666666E-2</v>
      </c>
      <c r="G115" s="86"/>
      <c r="H115" s="88">
        <f t="shared" si="3"/>
        <v>0</v>
      </c>
      <c r="I115" s="87"/>
      <c r="J115" s="88">
        <f t="shared" si="4"/>
        <v>0</v>
      </c>
      <c r="K115" s="96"/>
      <c r="L115" s="88">
        <f t="shared" si="5"/>
        <v>0</v>
      </c>
      <c r="M115" s="88">
        <v>69828.149999999994</v>
      </c>
      <c r="N115" s="88">
        <f t="shared" si="6"/>
        <v>-69828.149999999994</v>
      </c>
      <c r="O115" s="83">
        <f t="shared" si="7"/>
        <v>0</v>
      </c>
      <c r="P115" s="84"/>
      <c r="Q115" s="84"/>
      <c r="R115" s="81"/>
    </row>
    <row r="116" spans="1:18" x14ac:dyDescent="0.2">
      <c r="A116" s="101">
        <v>109</v>
      </c>
      <c r="B116" s="93"/>
      <c r="C116" s="98"/>
      <c r="D116" s="99"/>
      <c r="E116" s="94">
        <f t="shared" ref="E116:E121" si="8">(D116-C116)/30</f>
        <v>0</v>
      </c>
      <c r="F116" s="95">
        <f t="shared" si="2"/>
        <v>1.6666666666666666E-2</v>
      </c>
      <c r="G116" s="86"/>
      <c r="H116" s="88">
        <f t="shared" si="3"/>
        <v>0</v>
      </c>
      <c r="I116" s="87"/>
      <c r="J116" s="88">
        <f t="shared" si="4"/>
        <v>0</v>
      </c>
      <c r="K116" s="96"/>
      <c r="L116" s="88">
        <f t="shared" si="5"/>
        <v>0</v>
      </c>
      <c r="M116" s="88">
        <v>69828.149999999994</v>
      </c>
      <c r="N116" s="88">
        <f t="shared" si="6"/>
        <v>-69828.149999999994</v>
      </c>
      <c r="O116" s="83"/>
      <c r="P116" s="84"/>
      <c r="Q116" s="85"/>
      <c r="R116" s="81"/>
    </row>
    <row r="117" spans="1:18" x14ac:dyDescent="0.2">
      <c r="A117" s="102">
        <v>110</v>
      </c>
      <c r="B117" s="93"/>
      <c r="C117" s="98"/>
      <c r="D117" s="99"/>
      <c r="E117" s="94">
        <f t="shared" si="8"/>
        <v>0</v>
      </c>
      <c r="F117" s="95">
        <f t="shared" si="2"/>
        <v>1.6666666666666666E-2</v>
      </c>
      <c r="G117" s="86"/>
      <c r="H117" s="88">
        <f t="shared" si="3"/>
        <v>0</v>
      </c>
      <c r="I117" s="87"/>
      <c r="J117" s="88">
        <f t="shared" si="4"/>
        <v>0</v>
      </c>
      <c r="K117" s="96"/>
      <c r="L117" s="88">
        <f t="shared" si="5"/>
        <v>0</v>
      </c>
      <c r="M117" s="88">
        <v>69828.149999999994</v>
      </c>
      <c r="N117" s="88">
        <f t="shared" si="6"/>
        <v>-69828.149999999994</v>
      </c>
      <c r="O117" s="83">
        <f t="shared" ref="O117:O119" si="9">IF(N117&gt;1,N117*0.2,0)</f>
        <v>0</v>
      </c>
      <c r="P117" s="84"/>
      <c r="Q117" s="84"/>
      <c r="R117" s="81"/>
    </row>
    <row r="118" spans="1:18" x14ac:dyDescent="0.2">
      <c r="A118" s="101">
        <v>111</v>
      </c>
      <c r="B118" s="93"/>
      <c r="C118" s="98"/>
      <c r="D118" s="99"/>
      <c r="E118" s="94">
        <f t="shared" si="8"/>
        <v>0</v>
      </c>
      <c r="F118" s="95">
        <f t="shared" si="2"/>
        <v>1.6666666666666666E-2</v>
      </c>
      <c r="G118" s="86"/>
      <c r="H118" s="88">
        <f t="shared" si="3"/>
        <v>0</v>
      </c>
      <c r="I118" s="87"/>
      <c r="J118" s="88">
        <f t="shared" si="4"/>
        <v>0</v>
      </c>
      <c r="K118" s="96"/>
      <c r="L118" s="88">
        <f t="shared" si="5"/>
        <v>0</v>
      </c>
      <c r="M118" s="88">
        <v>69828.149999999994</v>
      </c>
      <c r="N118" s="88">
        <f t="shared" si="6"/>
        <v>-69828.149999999994</v>
      </c>
      <c r="O118" s="83">
        <f t="shared" si="9"/>
        <v>0</v>
      </c>
      <c r="P118" s="84"/>
      <c r="Q118" s="84"/>
      <c r="R118" s="81"/>
    </row>
    <row r="119" spans="1:18" x14ac:dyDescent="0.2">
      <c r="A119" s="101">
        <v>112</v>
      </c>
      <c r="B119" s="93"/>
      <c r="C119" s="98"/>
      <c r="D119" s="99"/>
      <c r="E119" s="94">
        <f t="shared" si="8"/>
        <v>0</v>
      </c>
      <c r="F119" s="95">
        <f t="shared" si="2"/>
        <v>1.6666666666666666E-2</v>
      </c>
      <c r="G119" s="86"/>
      <c r="H119" s="88">
        <f t="shared" si="3"/>
        <v>0</v>
      </c>
      <c r="I119" s="87"/>
      <c r="J119" s="88">
        <f t="shared" si="4"/>
        <v>0</v>
      </c>
      <c r="K119" s="96"/>
      <c r="L119" s="88">
        <f t="shared" si="5"/>
        <v>0</v>
      </c>
      <c r="M119" s="88">
        <v>69828.149999999994</v>
      </c>
      <c r="N119" s="88">
        <f t="shared" si="6"/>
        <v>-69828.149999999994</v>
      </c>
      <c r="O119" s="83">
        <f t="shared" si="9"/>
        <v>0</v>
      </c>
      <c r="P119" s="84"/>
      <c r="Q119" s="84"/>
      <c r="R119" s="81"/>
    </row>
    <row r="120" spans="1:18" ht="15" x14ac:dyDescent="0.25">
      <c r="A120" s="102">
        <v>113</v>
      </c>
      <c r="B120" s="103"/>
      <c r="C120" s="98"/>
      <c r="D120" s="104"/>
      <c r="E120" s="94">
        <f t="shared" si="8"/>
        <v>0</v>
      </c>
      <c r="F120" s="95">
        <f t="shared" si="2"/>
        <v>1.6666666666666666E-2</v>
      </c>
      <c r="G120" s="86"/>
      <c r="H120" s="88">
        <f t="shared" si="3"/>
        <v>0</v>
      </c>
      <c r="I120" s="87"/>
      <c r="J120" s="88">
        <f t="shared" si="4"/>
        <v>0</v>
      </c>
      <c r="K120" s="105"/>
      <c r="L120" s="88">
        <f t="shared" si="5"/>
        <v>0</v>
      </c>
      <c r="M120" s="88">
        <v>69828.149999999994</v>
      </c>
      <c r="N120" s="88">
        <f t="shared" si="6"/>
        <v>-69828.149999999994</v>
      </c>
      <c r="O120" s="83"/>
      <c r="P120" s="84"/>
      <c r="Q120" s="85"/>
      <c r="R120" s="81"/>
    </row>
    <row r="121" spans="1:18" x14ac:dyDescent="0.2">
      <c r="A121" s="101">
        <v>114</v>
      </c>
      <c r="B121" s="93"/>
      <c r="C121" s="100"/>
      <c r="D121" s="99"/>
      <c r="E121" s="94">
        <f t="shared" si="8"/>
        <v>0</v>
      </c>
      <c r="F121" s="95">
        <f t="shared" si="2"/>
        <v>1.6666666666666666E-2</v>
      </c>
      <c r="G121" s="92"/>
      <c r="H121" s="88">
        <f t="shared" si="3"/>
        <v>0</v>
      </c>
      <c r="I121" s="87"/>
      <c r="J121" s="88">
        <f t="shared" si="4"/>
        <v>0</v>
      </c>
      <c r="K121" s="96"/>
      <c r="L121" s="88">
        <f t="shared" si="5"/>
        <v>0</v>
      </c>
      <c r="M121" s="88">
        <v>69828.149999999994</v>
      </c>
      <c r="N121" s="88">
        <f t="shared" si="6"/>
        <v>-69828.149999999994</v>
      </c>
      <c r="O121" s="83">
        <f>IF(N121&gt;1,N121*0.2,0)</f>
        <v>0</v>
      </c>
      <c r="P121" s="91"/>
      <c r="Q121" s="84"/>
      <c r="R121" s="81"/>
    </row>
    <row r="122" spans="1:18" ht="15" x14ac:dyDescent="0.25">
      <c r="A122" s="101">
        <v>115</v>
      </c>
      <c r="B122" s="103"/>
      <c r="C122" s="100"/>
      <c r="D122" s="104"/>
      <c r="E122" s="94">
        <f t="shared" si="1"/>
        <v>0</v>
      </c>
      <c r="F122" s="95">
        <f t="shared" si="2"/>
        <v>1.6666666666666666E-2</v>
      </c>
      <c r="G122" s="92"/>
      <c r="H122" s="88">
        <f t="shared" si="3"/>
        <v>0</v>
      </c>
      <c r="I122" s="87"/>
      <c r="J122" s="88">
        <f t="shared" si="4"/>
        <v>0</v>
      </c>
      <c r="K122" s="105"/>
      <c r="L122" s="88">
        <f t="shared" si="5"/>
        <v>0</v>
      </c>
      <c r="M122" s="88">
        <v>69828.149999999994</v>
      </c>
      <c r="N122" s="88">
        <f t="shared" si="6"/>
        <v>-69828.149999999994</v>
      </c>
      <c r="O122" s="88"/>
      <c r="P122" s="89"/>
      <c r="Q122" s="85"/>
      <c r="R122" s="81"/>
    </row>
    <row r="123" spans="1:18" s="74" customFormat="1" x14ac:dyDescent="0.2">
      <c r="A123" s="102">
        <v>116</v>
      </c>
      <c r="B123" s="93"/>
      <c r="C123" s="100"/>
      <c r="D123" s="99"/>
      <c r="E123" s="94">
        <f t="shared" si="1"/>
        <v>0</v>
      </c>
      <c r="F123" s="95">
        <f t="shared" si="2"/>
        <v>1.6666666666666666E-2</v>
      </c>
      <c r="G123" s="92"/>
      <c r="H123" s="88">
        <f t="shared" si="3"/>
        <v>0</v>
      </c>
      <c r="I123" s="87"/>
      <c r="J123" s="88">
        <f t="shared" si="4"/>
        <v>0</v>
      </c>
      <c r="K123" s="96"/>
      <c r="L123" s="88">
        <f t="shared" si="5"/>
        <v>0</v>
      </c>
      <c r="M123" s="88">
        <v>69828.149999999994</v>
      </c>
      <c r="N123" s="88">
        <f t="shared" si="6"/>
        <v>-69828.149999999994</v>
      </c>
      <c r="O123" s="83">
        <f t="shared" ref="O123:O136" si="10">IF(N123&gt;1,N123*0.2,0)</f>
        <v>0</v>
      </c>
      <c r="P123" s="91"/>
      <c r="Q123" s="84"/>
      <c r="R123" s="73"/>
    </row>
    <row r="124" spans="1:18" s="74" customFormat="1" x14ac:dyDescent="0.2">
      <c r="A124" s="101">
        <v>117</v>
      </c>
      <c r="B124" s="93"/>
      <c r="C124" s="100"/>
      <c r="D124" s="99"/>
      <c r="E124" s="94">
        <f t="shared" si="1"/>
        <v>0</v>
      </c>
      <c r="F124" s="95">
        <f t="shared" si="2"/>
        <v>1.6666666666666666E-2</v>
      </c>
      <c r="G124" s="92"/>
      <c r="H124" s="88">
        <f t="shared" si="3"/>
        <v>0</v>
      </c>
      <c r="I124" s="87"/>
      <c r="J124" s="88">
        <f t="shared" si="4"/>
        <v>0</v>
      </c>
      <c r="K124" s="96"/>
      <c r="L124" s="88">
        <f t="shared" si="5"/>
        <v>0</v>
      </c>
      <c r="M124" s="88">
        <v>69828.149999999994</v>
      </c>
      <c r="N124" s="88">
        <f t="shared" si="6"/>
        <v>-69828.149999999994</v>
      </c>
      <c r="O124" s="83">
        <f t="shared" si="10"/>
        <v>0</v>
      </c>
      <c r="P124" s="91"/>
      <c r="Q124" s="84"/>
      <c r="R124" s="73"/>
    </row>
    <row r="125" spans="1:18" x14ac:dyDescent="0.2">
      <c r="A125" s="101">
        <v>118</v>
      </c>
      <c r="B125" s="93"/>
      <c r="C125" s="100"/>
      <c r="D125" s="99"/>
      <c r="E125" s="94">
        <f t="shared" si="1"/>
        <v>0</v>
      </c>
      <c r="F125" s="95">
        <f t="shared" si="2"/>
        <v>1.6666666666666666E-2</v>
      </c>
      <c r="G125" s="92"/>
      <c r="H125" s="88">
        <f t="shared" si="3"/>
        <v>0</v>
      </c>
      <c r="I125" s="87"/>
      <c r="J125" s="88">
        <f t="shared" si="4"/>
        <v>0</v>
      </c>
      <c r="K125" s="96"/>
      <c r="L125" s="88">
        <f t="shared" si="5"/>
        <v>0</v>
      </c>
      <c r="M125" s="88">
        <v>69828.149999999994</v>
      </c>
      <c r="N125" s="88">
        <f t="shared" si="6"/>
        <v>-69828.149999999994</v>
      </c>
      <c r="O125" s="83">
        <f t="shared" si="10"/>
        <v>0</v>
      </c>
      <c r="P125" s="84"/>
      <c r="Q125" s="84"/>
      <c r="R125" s="81"/>
    </row>
    <row r="126" spans="1:18" x14ac:dyDescent="0.2">
      <c r="A126" s="102">
        <v>119</v>
      </c>
      <c r="B126" s="93"/>
      <c r="C126" s="100"/>
      <c r="D126" s="99"/>
      <c r="E126" s="94">
        <f t="shared" si="1"/>
        <v>0</v>
      </c>
      <c r="F126" s="95">
        <f t="shared" si="2"/>
        <v>1.6666666666666666E-2</v>
      </c>
      <c r="G126" s="92"/>
      <c r="H126" s="88">
        <f t="shared" si="3"/>
        <v>0</v>
      </c>
      <c r="I126" s="87"/>
      <c r="J126" s="88">
        <f t="shared" si="4"/>
        <v>0</v>
      </c>
      <c r="K126" s="96"/>
      <c r="L126" s="88">
        <f t="shared" si="5"/>
        <v>0</v>
      </c>
      <c r="M126" s="88">
        <v>69828.149999999994</v>
      </c>
      <c r="N126" s="88">
        <f t="shared" si="6"/>
        <v>-69828.149999999994</v>
      </c>
      <c r="O126" s="83">
        <f t="shared" si="10"/>
        <v>0</v>
      </c>
      <c r="P126" s="84"/>
      <c r="Q126" s="84"/>
      <c r="R126" s="81"/>
    </row>
    <row r="127" spans="1:18" x14ac:dyDescent="0.2">
      <c r="A127" s="101">
        <v>120</v>
      </c>
      <c r="B127" s="93"/>
      <c r="C127" s="100"/>
      <c r="D127" s="99"/>
      <c r="E127" s="94">
        <f t="shared" si="1"/>
        <v>0</v>
      </c>
      <c r="F127" s="95">
        <f t="shared" si="2"/>
        <v>1.6666666666666666E-2</v>
      </c>
      <c r="G127" s="92"/>
      <c r="H127" s="88">
        <f t="shared" si="3"/>
        <v>0</v>
      </c>
      <c r="I127" s="87"/>
      <c r="J127" s="88">
        <f t="shared" si="4"/>
        <v>0</v>
      </c>
      <c r="K127" s="96"/>
      <c r="L127" s="88">
        <f t="shared" si="5"/>
        <v>0</v>
      </c>
      <c r="M127" s="88">
        <v>69828.149999999994</v>
      </c>
      <c r="N127" s="88">
        <f t="shared" si="6"/>
        <v>-69828.149999999994</v>
      </c>
      <c r="O127" s="83">
        <f t="shared" si="10"/>
        <v>0</v>
      </c>
      <c r="P127" s="91"/>
      <c r="Q127" s="84"/>
      <c r="R127" s="81"/>
    </row>
    <row r="128" spans="1:18" x14ac:dyDescent="0.2">
      <c r="A128" s="101">
        <v>121</v>
      </c>
      <c r="B128" s="93"/>
      <c r="C128" s="100"/>
      <c r="D128" s="99"/>
      <c r="E128" s="94">
        <f t="shared" si="1"/>
        <v>0</v>
      </c>
      <c r="F128" s="95">
        <f t="shared" si="2"/>
        <v>1.6666666666666666E-2</v>
      </c>
      <c r="G128" s="92"/>
      <c r="H128" s="88">
        <f t="shared" si="3"/>
        <v>0</v>
      </c>
      <c r="I128" s="87"/>
      <c r="J128" s="88">
        <f t="shared" si="4"/>
        <v>0</v>
      </c>
      <c r="K128" s="96"/>
      <c r="L128" s="88">
        <f t="shared" si="5"/>
        <v>0</v>
      </c>
      <c r="M128" s="88">
        <v>69828.149999999994</v>
      </c>
      <c r="N128" s="88">
        <f t="shared" si="6"/>
        <v>-69828.149999999994</v>
      </c>
      <c r="O128" s="83">
        <f t="shared" si="10"/>
        <v>0</v>
      </c>
      <c r="P128" s="84"/>
      <c r="Q128" s="84"/>
      <c r="R128" s="81"/>
    </row>
    <row r="129" spans="1:18" x14ac:dyDescent="0.2">
      <c r="A129" s="102">
        <v>122</v>
      </c>
      <c r="B129" s="93"/>
      <c r="C129" s="100"/>
      <c r="D129" s="99"/>
      <c r="E129" s="94">
        <f t="shared" si="1"/>
        <v>0</v>
      </c>
      <c r="F129" s="95">
        <f t="shared" si="2"/>
        <v>1.6666666666666666E-2</v>
      </c>
      <c r="G129" s="92"/>
      <c r="H129" s="88">
        <f t="shared" si="3"/>
        <v>0</v>
      </c>
      <c r="I129" s="89"/>
      <c r="J129" s="88">
        <f t="shared" si="4"/>
        <v>0</v>
      </c>
      <c r="K129" s="96"/>
      <c r="L129" s="88">
        <f t="shared" si="5"/>
        <v>0</v>
      </c>
      <c r="M129" s="88">
        <v>69828.149999999994</v>
      </c>
      <c r="N129" s="88">
        <f t="shared" si="6"/>
        <v>-69828.149999999994</v>
      </c>
      <c r="O129" s="83">
        <f t="shared" si="10"/>
        <v>0</v>
      </c>
      <c r="P129" s="84"/>
      <c r="Q129" s="84"/>
      <c r="R129" s="81"/>
    </row>
    <row r="130" spans="1:18" x14ac:dyDescent="0.2">
      <c r="A130" s="101">
        <v>123</v>
      </c>
      <c r="B130" s="93"/>
      <c r="C130" s="99"/>
      <c r="D130" s="99"/>
      <c r="E130" s="94">
        <f t="shared" si="1"/>
        <v>0</v>
      </c>
      <c r="F130" s="95">
        <f t="shared" si="2"/>
        <v>1.6666666666666666E-2</v>
      </c>
      <c r="G130" s="92"/>
      <c r="H130" s="88">
        <f t="shared" si="3"/>
        <v>0</v>
      </c>
      <c r="I130" s="93"/>
      <c r="J130" s="88">
        <f t="shared" si="4"/>
        <v>0</v>
      </c>
      <c r="K130" s="96"/>
      <c r="L130" s="88">
        <f t="shared" si="5"/>
        <v>0</v>
      </c>
      <c r="M130" s="88">
        <v>69828.149999999994</v>
      </c>
      <c r="N130" s="88">
        <f t="shared" si="6"/>
        <v>-69828.149999999994</v>
      </c>
      <c r="O130" s="83">
        <f t="shared" si="10"/>
        <v>0</v>
      </c>
      <c r="P130" s="82"/>
      <c r="Q130" s="84"/>
      <c r="R130" s="81"/>
    </row>
    <row r="131" spans="1:18" x14ac:dyDescent="0.2">
      <c r="A131" s="101">
        <v>124</v>
      </c>
      <c r="B131" s="93"/>
      <c r="C131" s="99"/>
      <c r="D131" s="99"/>
      <c r="E131" s="94">
        <f t="shared" si="1"/>
        <v>0</v>
      </c>
      <c r="F131" s="95">
        <f t="shared" si="2"/>
        <v>1.6666666666666666E-2</v>
      </c>
      <c r="G131" s="92"/>
      <c r="H131" s="88">
        <f t="shared" si="3"/>
        <v>0</v>
      </c>
      <c r="I131" s="93"/>
      <c r="J131" s="88">
        <f t="shared" si="4"/>
        <v>0</v>
      </c>
      <c r="K131" s="96"/>
      <c r="L131" s="88">
        <f t="shared" si="5"/>
        <v>0</v>
      </c>
      <c r="M131" s="88">
        <v>69828.149999999994</v>
      </c>
      <c r="N131" s="88">
        <f t="shared" si="6"/>
        <v>-69828.149999999994</v>
      </c>
      <c r="O131" s="83">
        <f t="shared" si="10"/>
        <v>0</v>
      </c>
      <c r="P131" s="82"/>
      <c r="Q131" s="84"/>
      <c r="R131" s="81"/>
    </row>
    <row r="132" spans="1:18" x14ac:dyDescent="0.2">
      <c r="A132" s="102">
        <v>125</v>
      </c>
      <c r="B132" s="93"/>
      <c r="C132" s="99"/>
      <c r="D132" s="99"/>
      <c r="E132" s="94">
        <f t="shared" si="1"/>
        <v>0</v>
      </c>
      <c r="F132" s="95">
        <f t="shared" si="2"/>
        <v>1.6666666666666666E-2</v>
      </c>
      <c r="G132" s="92"/>
      <c r="H132" s="88">
        <f t="shared" si="3"/>
        <v>0</v>
      </c>
      <c r="I132" s="93"/>
      <c r="J132" s="88">
        <f t="shared" si="4"/>
        <v>0</v>
      </c>
      <c r="K132" s="96"/>
      <c r="L132" s="88">
        <f t="shared" si="5"/>
        <v>0</v>
      </c>
      <c r="M132" s="88">
        <v>69828.149999999994</v>
      </c>
      <c r="N132" s="88">
        <f t="shared" si="6"/>
        <v>-69828.149999999994</v>
      </c>
      <c r="O132" s="83">
        <f t="shared" si="10"/>
        <v>0</v>
      </c>
      <c r="P132" s="82"/>
      <c r="Q132" s="84"/>
      <c r="R132" s="81"/>
    </row>
    <row r="133" spans="1:18" x14ac:dyDescent="0.2">
      <c r="A133" s="101">
        <v>126</v>
      </c>
      <c r="B133" s="93"/>
      <c r="C133" s="99"/>
      <c r="D133" s="99"/>
      <c r="E133" s="94">
        <f t="shared" si="1"/>
        <v>0</v>
      </c>
      <c r="F133" s="95">
        <f t="shared" si="2"/>
        <v>1.6666666666666666E-2</v>
      </c>
      <c r="G133" s="92"/>
      <c r="H133" s="88">
        <f t="shared" si="3"/>
        <v>0</v>
      </c>
      <c r="I133" s="93"/>
      <c r="J133" s="88">
        <f t="shared" si="4"/>
        <v>0</v>
      </c>
      <c r="K133" s="96"/>
      <c r="L133" s="88">
        <f t="shared" si="5"/>
        <v>0</v>
      </c>
      <c r="M133" s="88">
        <v>69828.149999999994</v>
      </c>
      <c r="N133" s="88">
        <f t="shared" si="6"/>
        <v>-69828.149999999994</v>
      </c>
      <c r="O133" s="83">
        <f t="shared" si="10"/>
        <v>0</v>
      </c>
      <c r="P133" s="82"/>
      <c r="Q133" s="84"/>
      <c r="R133" s="81"/>
    </row>
    <row r="134" spans="1:18" x14ac:dyDescent="0.2">
      <c r="A134" s="101">
        <v>127</v>
      </c>
      <c r="B134" s="93"/>
      <c r="C134" s="99"/>
      <c r="D134" s="99"/>
      <c r="E134" s="94">
        <f t="shared" si="1"/>
        <v>0</v>
      </c>
      <c r="F134" s="95">
        <f t="shared" si="2"/>
        <v>1.6666666666666666E-2</v>
      </c>
      <c r="G134" s="92"/>
      <c r="H134" s="88">
        <f t="shared" si="3"/>
        <v>0</v>
      </c>
      <c r="I134" s="93"/>
      <c r="J134" s="88">
        <f t="shared" si="4"/>
        <v>0</v>
      </c>
      <c r="K134" s="96"/>
      <c r="L134" s="88">
        <f t="shared" si="5"/>
        <v>0</v>
      </c>
      <c r="M134" s="88">
        <v>69828.149999999994</v>
      </c>
      <c r="N134" s="88">
        <f t="shared" si="6"/>
        <v>-69828.149999999994</v>
      </c>
      <c r="O134" s="83">
        <f t="shared" si="10"/>
        <v>0</v>
      </c>
      <c r="P134" s="82"/>
      <c r="Q134" s="84"/>
      <c r="R134" s="81"/>
    </row>
    <row r="135" spans="1:18" x14ac:dyDescent="0.2">
      <c r="A135" s="102">
        <v>128</v>
      </c>
      <c r="B135" s="93"/>
      <c r="C135" s="99"/>
      <c r="D135" s="99"/>
      <c r="E135" s="94">
        <f t="shared" si="1"/>
        <v>0</v>
      </c>
      <c r="F135" s="95">
        <f t="shared" si="2"/>
        <v>1.6666666666666666E-2</v>
      </c>
      <c r="G135" s="92"/>
      <c r="H135" s="88">
        <f t="shared" si="3"/>
        <v>0</v>
      </c>
      <c r="I135" s="93"/>
      <c r="J135" s="88">
        <f t="shared" si="4"/>
        <v>0</v>
      </c>
      <c r="K135" s="96"/>
      <c r="L135" s="88">
        <f t="shared" si="5"/>
        <v>0</v>
      </c>
      <c r="M135" s="88">
        <v>69828.149999999994</v>
      </c>
      <c r="N135" s="88">
        <f t="shared" si="6"/>
        <v>-69828.149999999994</v>
      </c>
      <c r="O135" s="83">
        <f t="shared" si="10"/>
        <v>0</v>
      </c>
      <c r="P135" s="82"/>
      <c r="Q135" s="84"/>
      <c r="R135" s="81"/>
    </row>
    <row r="136" spans="1:18" x14ac:dyDescent="0.2">
      <c r="A136" s="101">
        <v>129</v>
      </c>
      <c r="B136" s="93"/>
      <c r="C136" s="99"/>
      <c r="D136" s="99"/>
      <c r="E136" s="94">
        <f t="shared" si="1"/>
        <v>0</v>
      </c>
      <c r="F136" s="95">
        <f t="shared" si="2"/>
        <v>1.6666666666666666E-2</v>
      </c>
      <c r="G136" s="92"/>
      <c r="H136" s="88">
        <f t="shared" ref="H136:H159" si="11">G136-(G136*F136*E136)</f>
        <v>0</v>
      </c>
      <c r="I136" s="93"/>
      <c r="J136" s="88">
        <f t="shared" si="4"/>
        <v>0</v>
      </c>
      <c r="K136" s="96"/>
      <c r="L136" s="88">
        <f t="shared" si="5"/>
        <v>0</v>
      </c>
      <c r="M136" s="88">
        <v>69828.149999999994</v>
      </c>
      <c r="N136" s="88">
        <f t="shared" si="6"/>
        <v>-69828.149999999994</v>
      </c>
      <c r="O136" s="83">
        <f t="shared" si="10"/>
        <v>0</v>
      </c>
      <c r="P136" s="82"/>
      <c r="Q136" s="84"/>
      <c r="R136" s="81"/>
    </row>
    <row r="137" spans="1:18" x14ac:dyDescent="0.2">
      <c r="A137" s="101">
        <v>130</v>
      </c>
      <c r="B137" s="93"/>
      <c r="C137" s="99"/>
      <c r="D137" s="99"/>
      <c r="E137" s="94">
        <f t="shared" ref="E137:E159" si="12">(D137-C137)/30</f>
        <v>0</v>
      </c>
      <c r="F137" s="95">
        <f t="shared" ref="F137:F159" si="13">0.2/12</f>
        <v>1.6666666666666666E-2</v>
      </c>
      <c r="G137" s="92"/>
      <c r="H137" s="88">
        <f t="shared" si="11"/>
        <v>0</v>
      </c>
      <c r="I137" s="93"/>
      <c r="J137" s="88">
        <f t="shared" ref="J137:J159" si="14">+H137*I137</f>
        <v>0</v>
      </c>
      <c r="K137" s="96"/>
      <c r="L137" s="88">
        <f t="shared" ref="L137:L159" si="15">+K137-J137</f>
        <v>0</v>
      </c>
      <c r="M137" s="88">
        <v>69828.149999999994</v>
      </c>
      <c r="N137" s="88">
        <f t="shared" ref="N137:N159" si="16">+L137-M137</f>
        <v>-69828.149999999994</v>
      </c>
      <c r="O137" s="82"/>
      <c r="P137" s="82"/>
      <c r="Q137" s="90"/>
      <c r="R137" s="81"/>
    </row>
    <row r="138" spans="1:18" x14ac:dyDescent="0.2">
      <c r="A138" s="102">
        <v>131</v>
      </c>
      <c r="B138" s="93"/>
      <c r="C138" s="99"/>
      <c r="D138" s="99"/>
      <c r="E138" s="94">
        <f t="shared" si="12"/>
        <v>0</v>
      </c>
      <c r="F138" s="95">
        <f t="shared" si="13"/>
        <v>1.6666666666666666E-2</v>
      </c>
      <c r="G138" s="92"/>
      <c r="H138" s="88">
        <f t="shared" si="11"/>
        <v>0</v>
      </c>
      <c r="I138" s="93"/>
      <c r="J138" s="88">
        <f t="shared" si="14"/>
        <v>0</v>
      </c>
      <c r="K138" s="96"/>
      <c r="L138" s="88">
        <f t="shared" si="15"/>
        <v>0</v>
      </c>
      <c r="M138" s="88">
        <v>69828.149999999994</v>
      </c>
      <c r="N138" s="88">
        <f t="shared" si="16"/>
        <v>-69828.149999999994</v>
      </c>
      <c r="O138" s="83">
        <f t="shared" ref="O138:O139" si="17">IF(N138&gt;1,N138*0.2,0)</f>
        <v>0</v>
      </c>
      <c r="P138" s="82"/>
      <c r="Q138" s="84"/>
      <c r="R138" s="81"/>
    </row>
    <row r="139" spans="1:18" x14ac:dyDescent="0.2">
      <c r="A139" s="101">
        <v>132</v>
      </c>
      <c r="B139" s="93"/>
      <c r="C139" s="99"/>
      <c r="D139" s="99"/>
      <c r="E139" s="94">
        <f t="shared" si="12"/>
        <v>0</v>
      </c>
      <c r="F139" s="95">
        <f t="shared" si="13"/>
        <v>1.6666666666666666E-2</v>
      </c>
      <c r="G139" s="92"/>
      <c r="H139" s="88">
        <f t="shared" si="11"/>
        <v>0</v>
      </c>
      <c r="I139" s="93"/>
      <c r="J139" s="88">
        <f t="shared" si="14"/>
        <v>0</v>
      </c>
      <c r="K139" s="96"/>
      <c r="L139" s="88">
        <f t="shared" si="15"/>
        <v>0</v>
      </c>
      <c r="M139" s="88">
        <v>69828.149999999994</v>
      </c>
      <c r="N139" s="88">
        <f t="shared" si="16"/>
        <v>-69828.149999999994</v>
      </c>
      <c r="O139" s="83">
        <f t="shared" si="17"/>
        <v>0</v>
      </c>
      <c r="P139" s="82"/>
      <c r="Q139" s="84"/>
      <c r="R139" s="81"/>
    </row>
    <row r="140" spans="1:18" x14ac:dyDescent="0.2">
      <c r="A140" s="101">
        <v>133</v>
      </c>
      <c r="B140" s="93"/>
      <c r="C140" s="99"/>
      <c r="D140" s="99"/>
      <c r="E140" s="94">
        <f t="shared" si="12"/>
        <v>0</v>
      </c>
      <c r="F140" s="95">
        <f t="shared" si="13"/>
        <v>1.6666666666666666E-2</v>
      </c>
      <c r="G140" s="92"/>
      <c r="H140" s="88">
        <f t="shared" si="11"/>
        <v>0</v>
      </c>
      <c r="I140" s="93"/>
      <c r="J140" s="88">
        <f t="shared" si="14"/>
        <v>0</v>
      </c>
      <c r="K140" s="96"/>
      <c r="L140" s="88">
        <f t="shared" si="15"/>
        <v>0</v>
      </c>
      <c r="M140" s="88">
        <v>69828.149999999994</v>
      </c>
      <c r="N140" s="88">
        <f t="shared" si="16"/>
        <v>-69828.149999999994</v>
      </c>
      <c r="O140" s="82"/>
      <c r="P140" s="82"/>
      <c r="Q140" s="90"/>
      <c r="R140" s="81"/>
    </row>
    <row r="141" spans="1:18" ht="15" x14ac:dyDescent="0.25">
      <c r="A141" s="102">
        <v>134</v>
      </c>
      <c r="B141" s="103"/>
      <c r="C141" s="99"/>
      <c r="D141" s="104"/>
      <c r="E141" s="94">
        <f t="shared" si="12"/>
        <v>0</v>
      </c>
      <c r="F141" s="95">
        <f t="shared" si="13"/>
        <v>1.6666666666666666E-2</v>
      </c>
      <c r="G141" s="93"/>
      <c r="H141" s="88">
        <f t="shared" si="11"/>
        <v>0</v>
      </c>
      <c r="I141" s="93"/>
      <c r="J141" s="88">
        <f t="shared" si="14"/>
        <v>0</v>
      </c>
      <c r="K141" s="105"/>
      <c r="L141" s="88">
        <f t="shared" si="15"/>
        <v>0</v>
      </c>
      <c r="M141" s="88">
        <v>69828.149999999994</v>
      </c>
      <c r="N141" s="88">
        <f t="shared" si="16"/>
        <v>-69828.149999999994</v>
      </c>
      <c r="O141" s="82"/>
      <c r="P141" s="82"/>
      <c r="Q141" s="85"/>
      <c r="R141" s="81"/>
    </row>
    <row r="142" spans="1:18" x14ac:dyDescent="0.2">
      <c r="A142" s="101">
        <v>135</v>
      </c>
      <c r="B142" s="93"/>
      <c r="C142" s="99"/>
      <c r="D142" s="99"/>
      <c r="E142" s="94">
        <f t="shared" si="12"/>
        <v>0</v>
      </c>
      <c r="F142" s="95">
        <f t="shared" si="13"/>
        <v>1.6666666666666666E-2</v>
      </c>
      <c r="G142" s="92"/>
      <c r="H142" s="88">
        <f t="shared" si="11"/>
        <v>0</v>
      </c>
      <c r="I142" s="93"/>
      <c r="J142" s="88">
        <f t="shared" si="14"/>
        <v>0</v>
      </c>
      <c r="K142" s="96"/>
      <c r="L142" s="88">
        <f t="shared" si="15"/>
        <v>0</v>
      </c>
      <c r="M142" s="88">
        <v>69828.149999999994</v>
      </c>
      <c r="N142" s="88">
        <f t="shared" si="16"/>
        <v>-69828.149999999994</v>
      </c>
      <c r="O142" s="83">
        <f t="shared" ref="O142:O149" si="18">IF(N142&gt;1,N142*0.2,0)</f>
        <v>0</v>
      </c>
      <c r="P142" s="82"/>
      <c r="Q142" s="84"/>
      <c r="R142" s="81"/>
    </row>
    <row r="143" spans="1:18" x14ac:dyDescent="0.2">
      <c r="A143" s="101">
        <v>136</v>
      </c>
      <c r="B143" s="93"/>
      <c r="C143" s="99"/>
      <c r="D143" s="99"/>
      <c r="E143" s="94">
        <f t="shared" si="12"/>
        <v>0</v>
      </c>
      <c r="F143" s="95">
        <f t="shared" si="13"/>
        <v>1.6666666666666666E-2</v>
      </c>
      <c r="G143" s="93"/>
      <c r="H143" s="88">
        <f t="shared" si="11"/>
        <v>0</v>
      </c>
      <c r="I143" s="93"/>
      <c r="J143" s="88">
        <f t="shared" si="14"/>
        <v>0</v>
      </c>
      <c r="K143" s="96"/>
      <c r="L143" s="88">
        <f t="shared" si="15"/>
        <v>0</v>
      </c>
      <c r="M143" s="88">
        <v>69828.149999999994</v>
      </c>
      <c r="N143" s="88">
        <f t="shared" si="16"/>
        <v>-69828.149999999994</v>
      </c>
      <c r="O143" s="83">
        <f t="shared" si="18"/>
        <v>0</v>
      </c>
      <c r="P143" s="82"/>
      <c r="Q143" s="84"/>
      <c r="R143" s="81"/>
    </row>
    <row r="144" spans="1:18" x14ac:dyDescent="0.2">
      <c r="A144" s="102">
        <v>137</v>
      </c>
      <c r="B144" s="93"/>
      <c r="C144" s="99"/>
      <c r="D144" s="99"/>
      <c r="E144" s="94">
        <f t="shared" si="12"/>
        <v>0</v>
      </c>
      <c r="F144" s="95">
        <f t="shared" si="13"/>
        <v>1.6666666666666666E-2</v>
      </c>
      <c r="G144" s="92"/>
      <c r="H144" s="88">
        <f t="shared" si="11"/>
        <v>0</v>
      </c>
      <c r="I144" s="93"/>
      <c r="J144" s="88">
        <f t="shared" si="14"/>
        <v>0</v>
      </c>
      <c r="K144" s="96"/>
      <c r="L144" s="88">
        <f t="shared" si="15"/>
        <v>0</v>
      </c>
      <c r="M144" s="88">
        <v>69828.149999999994</v>
      </c>
      <c r="N144" s="88">
        <f t="shared" si="16"/>
        <v>-69828.149999999994</v>
      </c>
      <c r="O144" s="83">
        <f t="shared" si="18"/>
        <v>0</v>
      </c>
      <c r="P144" s="82"/>
      <c r="Q144" s="84"/>
      <c r="R144" s="81"/>
    </row>
    <row r="145" spans="1:18" x14ac:dyDescent="0.2">
      <c r="A145" s="101">
        <v>138</v>
      </c>
      <c r="B145" s="93"/>
      <c r="C145" s="99"/>
      <c r="D145" s="99"/>
      <c r="E145" s="94">
        <f t="shared" si="12"/>
        <v>0</v>
      </c>
      <c r="F145" s="95">
        <f t="shared" si="13"/>
        <v>1.6666666666666666E-2</v>
      </c>
      <c r="G145" s="92"/>
      <c r="H145" s="88">
        <f t="shared" si="11"/>
        <v>0</v>
      </c>
      <c r="I145" s="93"/>
      <c r="J145" s="88">
        <f t="shared" si="14"/>
        <v>0</v>
      </c>
      <c r="K145" s="96"/>
      <c r="L145" s="88">
        <f t="shared" si="15"/>
        <v>0</v>
      </c>
      <c r="M145" s="88">
        <v>69828.149999999994</v>
      </c>
      <c r="N145" s="88">
        <f t="shared" si="16"/>
        <v>-69828.149999999994</v>
      </c>
      <c r="O145" s="83">
        <f t="shared" si="18"/>
        <v>0</v>
      </c>
      <c r="P145" s="82"/>
      <c r="Q145" s="84"/>
      <c r="R145" s="81"/>
    </row>
    <row r="146" spans="1:18" x14ac:dyDescent="0.2">
      <c r="A146" s="101">
        <v>139</v>
      </c>
      <c r="B146" s="93"/>
      <c r="C146" s="99"/>
      <c r="D146" s="99"/>
      <c r="E146" s="94">
        <f t="shared" si="12"/>
        <v>0</v>
      </c>
      <c r="F146" s="95">
        <f t="shared" si="13"/>
        <v>1.6666666666666666E-2</v>
      </c>
      <c r="G146" s="92"/>
      <c r="H146" s="88">
        <f t="shared" si="11"/>
        <v>0</v>
      </c>
      <c r="I146" s="93"/>
      <c r="J146" s="88">
        <f t="shared" si="14"/>
        <v>0</v>
      </c>
      <c r="K146" s="96"/>
      <c r="L146" s="88">
        <f t="shared" si="15"/>
        <v>0</v>
      </c>
      <c r="M146" s="88">
        <v>69828.149999999994</v>
      </c>
      <c r="N146" s="88">
        <f t="shared" si="16"/>
        <v>-69828.149999999994</v>
      </c>
      <c r="O146" s="83">
        <f t="shared" si="18"/>
        <v>0</v>
      </c>
      <c r="P146" s="82"/>
      <c r="Q146" s="84"/>
      <c r="R146" s="81"/>
    </row>
    <row r="147" spans="1:18" x14ac:dyDescent="0.2">
      <c r="A147" s="102">
        <v>140</v>
      </c>
      <c r="B147" s="93"/>
      <c r="C147" s="99"/>
      <c r="D147" s="99"/>
      <c r="E147" s="94">
        <f t="shared" si="12"/>
        <v>0</v>
      </c>
      <c r="F147" s="95">
        <f t="shared" si="13"/>
        <v>1.6666666666666666E-2</v>
      </c>
      <c r="G147" s="92"/>
      <c r="H147" s="88">
        <f t="shared" si="11"/>
        <v>0</v>
      </c>
      <c r="I147" s="93"/>
      <c r="J147" s="88">
        <f t="shared" si="14"/>
        <v>0</v>
      </c>
      <c r="K147" s="96"/>
      <c r="L147" s="88">
        <f t="shared" si="15"/>
        <v>0</v>
      </c>
      <c r="M147" s="88">
        <v>69828.149999999994</v>
      </c>
      <c r="N147" s="88">
        <f t="shared" si="16"/>
        <v>-69828.149999999994</v>
      </c>
      <c r="O147" s="83">
        <f t="shared" si="18"/>
        <v>0</v>
      </c>
      <c r="P147" s="82"/>
      <c r="Q147" s="84"/>
      <c r="R147" s="81"/>
    </row>
    <row r="148" spans="1:18" x14ac:dyDescent="0.2">
      <c r="A148" s="101">
        <v>141</v>
      </c>
      <c r="B148" s="93"/>
      <c r="C148" s="99"/>
      <c r="D148" s="99"/>
      <c r="E148" s="94">
        <f t="shared" si="12"/>
        <v>0</v>
      </c>
      <c r="F148" s="95">
        <f t="shared" si="13"/>
        <v>1.6666666666666666E-2</v>
      </c>
      <c r="G148" s="92"/>
      <c r="H148" s="88">
        <f t="shared" si="11"/>
        <v>0</v>
      </c>
      <c r="I148" s="93"/>
      <c r="J148" s="88">
        <f t="shared" si="14"/>
        <v>0</v>
      </c>
      <c r="K148" s="96"/>
      <c r="L148" s="88">
        <f t="shared" si="15"/>
        <v>0</v>
      </c>
      <c r="M148" s="88">
        <v>69828.149999999994</v>
      </c>
      <c r="N148" s="88">
        <f t="shared" si="16"/>
        <v>-69828.149999999994</v>
      </c>
      <c r="O148" s="83">
        <f t="shared" si="18"/>
        <v>0</v>
      </c>
      <c r="P148" s="82"/>
      <c r="Q148" s="84"/>
      <c r="R148" s="81"/>
    </row>
    <row r="149" spans="1:18" x14ac:dyDescent="0.2">
      <c r="A149" s="101">
        <v>142</v>
      </c>
      <c r="B149" s="93"/>
      <c r="C149" s="99"/>
      <c r="D149" s="99"/>
      <c r="E149" s="94">
        <f t="shared" si="12"/>
        <v>0</v>
      </c>
      <c r="F149" s="95">
        <f t="shared" si="13"/>
        <v>1.6666666666666666E-2</v>
      </c>
      <c r="G149" s="97"/>
      <c r="H149" s="88">
        <f t="shared" si="11"/>
        <v>0</v>
      </c>
      <c r="I149" s="93"/>
      <c r="J149" s="88">
        <f t="shared" si="14"/>
        <v>0</v>
      </c>
      <c r="K149" s="96"/>
      <c r="L149" s="88">
        <f t="shared" si="15"/>
        <v>0</v>
      </c>
      <c r="M149" s="88">
        <v>69828.149999999994</v>
      </c>
      <c r="N149" s="88">
        <f t="shared" si="16"/>
        <v>-69828.149999999994</v>
      </c>
      <c r="O149" s="83">
        <f t="shared" si="18"/>
        <v>0</v>
      </c>
      <c r="P149" s="82"/>
      <c r="Q149" s="84"/>
      <c r="R149" s="81"/>
    </row>
    <row r="150" spans="1:18" x14ac:dyDescent="0.2">
      <c r="A150" s="102">
        <v>143</v>
      </c>
      <c r="B150" s="93"/>
      <c r="C150" s="99"/>
      <c r="D150" s="99"/>
      <c r="E150" s="94">
        <f t="shared" si="12"/>
        <v>0</v>
      </c>
      <c r="F150" s="95">
        <f t="shared" si="13"/>
        <v>1.6666666666666666E-2</v>
      </c>
      <c r="G150" s="97"/>
      <c r="H150" s="88">
        <f t="shared" si="11"/>
        <v>0</v>
      </c>
      <c r="I150" s="93"/>
      <c r="J150" s="88">
        <f t="shared" si="14"/>
        <v>0</v>
      </c>
      <c r="K150" s="96"/>
      <c r="L150" s="88">
        <f t="shared" si="15"/>
        <v>0</v>
      </c>
      <c r="M150" s="88">
        <v>69828.149999999994</v>
      </c>
      <c r="N150" s="88">
        <f t="shared" si="16"/>
        <v>-69828.149999999994</v>
      </c>
      <c r="O150" s="82"/>
      <c r="P150" s="82"/>
      <c r="Q150" s="90"/>
      <c r="R150" s="81"/>
    </row>
    <row r="151" spans="1:18" x14ac:dyDescent="0.2">
      <c r="A151" s="101">
        <v>144</v>
      </c>
      <c r="B151" s="93"/>
      <c r="C151" s="99"/>
      <c r="D151" s="99"/>
      <c r="E151" s="94">
        <f t="shared" si="12"/>
        <v>0</v>
      </c>
      <c r="F151" s="95">
        <f t="shared" si="13"/>
        <v>1.6666666666666666E-2</v>
      </c>
      <c r="G151" s="97"/>
      <c r="H151" s="88">
        <f t="shared" si="11"/>
        <v>0</v>
      </c>
      <c r="I151" s="93"/>
      <c r="J151" s="88">
        <f t="shared" si="14"/>
        <v>0</v>
      </c>
      <c r="K151" s="96"/>
      <c r="L151" s="88">
        <f t="shared" si="15"/>
        <v>0</v>
      </c>
      <c r="M151" s="88">
        <v>69828.149999999994</v>
      </c>
      <c r="N151" s="88">
        <f t="shared" si="16"/>
        <v>-69828.149999999994</v>
      </c>
      <c r="O151" s="83">
        <f t="shared" ref="O151:O160" si="19">IF(N151&gt;1,N151*0.2,0)</f>
        <v>0</v>
      </c>
      <c r="P151" s="82"/>
      <c r="Q151" s="84"/>
      <c r="R151" s="81"/>
    </row>
    <row r="152" spans="1:18" x14ac:dyDescent="0.2">
      <c r="A152" s="101">
        <v>145</v>
      </c>
      <c r="B152" s="93"/>
      <c r="C152" s="99"/>
      <c r="D152" s="99"/>
      <c r="E152" s="94">
        <f t="shared" si="12"/>
        <v>0</v>
      </c>
      <c r="F152" s="95">
        <f t="shared" si="13"/>
        <v>1.6666666666666666E-2</v>
      </c>
      <c r="G152" s="97"/>
      <c r="H152" s="88">
        <f t="shared" si="11"/>
        <v>0</v>
      </c>
      <c r="I152" s="93"/>
      <c r="J152" s="88">
        <f t="shared" si="14"/>
        <v>0</v>
      </c>
      <c r="K152" s="96"/>
      <c r="L152" s="88">
        <f t="shared" si="15"/>
        <v>0</v>
      </c>
      <c r="M152" s="88">
        <v>69828.149999999994</v>
      </c>
      <c r="N152" s="88">
        <f t="shared" si="16"/>
        <v>-69828.149999999994</v>
      </c>
      <c r="O152" s="83">
        <f t="shared" si="19"/>
        <v>0</v>
      </c>
      <c r="P152" s="82"/>
      <c r="Q152" s="84"/>
      <c r="R152" s="81"/>
    </row>
    <row r="153" spans="1:18" x14ac:dyDescent="0.2">
      <c r="A153" s="102">
        <v>146</v>
      </c>
      <c r="B153" s="93"/>
      <c r="C153" s="99"/>
      <c r="D153" s="99"/>
      <c r="E153" s="94">
        <f t="shared" si="12"/>
        <v>0</v>
      </c>
      <c r="F153" s="95">
        <f t="shared" si="13"/>
        <v>1.6666666666666666E-2</v>
      </c>
      <c r="G153" s="97"/>
      <c r="H153" s="88">
        <f t="shared" si="11"/>
        <v>0</v>
      </c>
      <c r="I153" s="93"/>
      <c r="J153" s="88">
        <f t="shared" si="14"/>
        <v>0</v>
      </c>
      <c r="K153" s="96"/>
      <c r="L153" s="88">
        <f t="shared" si="15"/>
        <v>0</v>
      </c>
      <c r="M153" s="88">
        <v>69828.149999999994</v>
      </c>
      <c r="N153" s="88">
        <f t="shared" si="16"/>
        <v>-69828.149999999994</v>
      </c>
      <c r="O153" s="83">
        <f t="shared" si="19"/>
        <v>0</v>
      </c>
      <c r="P153" s="82"/>
      <c r="Q153" s="84"/>
      <c r="R153" s="81"/>
    </row>
    <row r="154" spans="1:18" x14ac:dyDescent="0.2">
      <c r="A154" s="101">
        <v>147</v>
      </c>
      <c r="B154" s="93"/>
      <c r="C154" s="99"/>
      <c r="D154" s="99"/>
      <c r="E154" s="94">
        <f t="shared" si="12"/>
        <v>0</v>
      </c>
      <c r="F154" s="95">
        <f t="shared" si="13"/>
        <v>1.6666666666666666E-2</v>
      </c>
      <c r="G154" s="97"/>
      <c r="H154" s="88">
        <f t="shared" si="11"/>
        <v>0</v>
      </c>
      <c r="I154" s="93"/>
      <c r="J154" s="88">
        <f t="shared" si="14"/>
        <v>0</v>
      </c>
      <c r="K154" s="96"/>
      <c r="L154" s="88">
        <f t="shared" si="15"/>
        <v>0</v>
      </c>
      <c r="M154" s="88">
        <v>69828.149999999994</v>
      </c>
      <c r="N154" s="88">
        <f t="shared" si="16"/>
        <v>-69828.149999999994</v>
      </c>
      <c r="O154" s="83">
        <f t="shared" si="19"/>
        <v>0</v>
      </c>
      <c r="P154" s="82"/>
      <c r="Q154" s="84"/>
      <c r="R154" s="81"/>
    </row>
    <row r="155" spans="1:18" x14ac:dyDescent="0.2">
      <c r="A155" s="101">
        <v>148</v>
      </c>
      <c r="B155" s="93"/>
      <c r="C155" s="99"/>
      <c r="D155" s="99"/>
      <c r="E155" s="94">
        <f t="shared" si="12"/>
        <v>0</v>
      </c>
      <c r="F155" s="95">
        <f t="shared" si="13"/>
        <v>1.6666666666666666E-2</v>
      </c>
      <c r="G155" s="97"/>
      <c r="H155" s="88">
        <f t="shared" si="11"/>
        <v>0</v>
      </c>
      <c r="I155" s="93"/>
      <c r="J155" s="88">
        <f t="shared" si="14"/>
        <v>0</v>
      </c>
      <c r="K155" s="96"/>
      <c r="L155" s="88">
        <f t="shared" si="15"/>
        <v>0</v>
      </c>
      <c r="M155" s="88">
        <v>69828.149999999994</v>
      </c>
      <c r="N155" s="88">
        <f t="shared" si="16"/>
        <v>-69828.149999999994</v>
      </c>
      <c r="O155" s="83">
        <f t="shared" si="19"/>
        <v>0</v>
      </c>
      <c r="P155" s="82"/>
      <c r="Q155" s="84"/>
      <c r="R155" s="81"/>
    </row>
    <row r="156" spans="1:18" x14ac:dyDescent="0.2">
      <c r="A156" s="102">
        <v>149</v>
      </c>
      <c r="B156" s="93"/>
      <c r="C156" s="99"/>
      <c r="D156" s="99"/>
      <c r="E156" s="94">
        <f t="shared" si="12"/>
        <v>0</v>
      </c>
      <c r="F156" s="95">
        <f t="shared" si="13"/>
        <v>1.6666666666666666E-2</v>
      </c>
      <c r="G156" s="97"/>
      <c r="H156" s="88">
        <f t="shared" si="11"/>
        <v>0</v>
      </c>
      <c r="I156" s="93"/>
      <c r="J156" s="88">
        <f t="shared" si="14"/>
        <v>0</v>
      </c>
      <c r="K156" s="96"/>
      <c r="L156" s="88">
        <f t="shared" si="15"/>
        <v>0</v>
      </c>
      <c r="M156" s="88">
        <v>69828.149999999994</v>
      </c>
      <c r="N156" s="88">
        <f t="shared" si="16"/>
        <v>-69828.149999999994</v>
      </c>
      <c r="O156" s="83">
        <f t="shared" si="19"/>
        <v>0</v>
      </c>
      <c r="P156" s="82"/>
      <c r="Q156" s="84"/>
      <c r="R156" s="81"/>
    </row>
    <row r="157" spans="1:18" x14ac:dyDescent="0.2">
      <c r="A157" s="101">
        <v>150</v>
      </c>
      <c r="B157" s="93"/>
      <c r="C157" s="99"/>
      <c r="D157" s="99"/>
      <c r="E157" s="94">
        <f t="shared" si="12"/>
        <v>0</v>
      </c>
      <c r="F157" s="95">
        <f t="shared" si="13"/>
        <v>1.6666666666666666E-2</v>
      </c>
      <c r="G157" s="97"/>
      <c r="H157" s="88">
        <f t="shared" si="11"/>
        <v>0</v>
      </c>
      <c r="I157" s="93"/>
      <c r="J157" s="88">
        <f t="shared" si="14"/>
        <v>0</v>
      </c>
      <c r="K157" s="96"/>
      <c r="L157" s="88">
        <f t="shared" si="15"/>
        <v>0</v>
      </c>
      <c r="M157" s="88">
        <v>69828.149999999994</v>
      </c>
      <c r="N157" s="88">
        <f t="shared" si="16"/>
        <v>-69828.149999999994</v>
      </c>
      <c r="O157" s="83">
        <f t="shared" si="19"/>
        <v>0</v>
      </c>
      <c r="P157" s="82"/>
      <c r="Q157" s="84"/>
      <c r="R157" s="81"/>
    </row>
    <row r="158" spans="1:18" x14ac:dyDescent="0.2">
      <c r="A158" s="101">
        <v>151</v>
      </c>
      <c r="B158" s="93"/>
      <c r="C158" s="99"/>
      <c r="D158" s="99"/>
      <c r="E158" s="94">
        <f t="shared" si="12"/>
        <v>0</v>
      </c>
      <c r="F158" s="95">
        <f t="shared" si="13"/>
        <v>1.6666666666666666E-2</v>
      </c>
      <c r="G158" s="97"/>
      <c r="H158" s="88">
        <f t="shared" si="11"/>
        <v>0</v>
      </c>
      <c r="I158" s="93"/>
      <c r="J158" s="88">
        <f t="shared" si="14"/>
        <v>0</v>
      </c>
      <c r="K158" s="96"/>
      <c r="L158" s="88">
        <f t="shared" si="15"/>
        <v>0</v>
      </c>
      <c r="M158" s="88">
        <v>69828.149999999994</v>
      </c>
      <c r="N158" s="88">
        <f t="shared" si="16"/>
        <v>-69828.149999999994</v>
      </c>
      <c r="O158" s="83">
        <f t="shared" si="19"/>
        <v>0</v>
      </c>
      <c r="P158" s="82"/>
      <c r="Q158" s="84"/>
      <c r="R158" s="81"/>
    </row>
    <row r="159" spans="1:18" x14ac:dyDescent="0.2">
      <c r="A159" s="102">
        <v>152</v>
      </c>
      <c r="B159" s="93"/>
      <c r="C159" s="99"/>
      <c r="D159" s="99"/>
      <c r="E159" s="94">
        <f t="shared" si="12"/>
        <v>0</v>
      </c>
      <c r="F159" s="95">
        <f t="shared" si="13"/>
        <v>1.6666666666666666E-2</v>
      </c>
      <c r="G159" s="97"/>
      <c r="H159" s="88">
        <f t="shared" si="11"/>
        <v>0</v>
      </c>
      <c r="I159" s="93"/>
      <c r="J159" s="88">
        <f t="shared" si="14"/>
        <v>0</v>
      </c>
      <c r="K159" s="96"/>
      <c r="L159" s="88">
        <f t="shared" si="15"/>
        <v>0</v>
      </c>
      <c r="M159" s="88">
        <v>69828.149999999994</v>
      </c>
      <c r="N159" s="88">
        <f t="shared" si="16"/>
        <v>-69828.149999999994</v>
      </c>
      <c r="O159" s="83">
        <f t="shared" si="19"/>
        <v>0</v>
      </c>
      <c r="P159" s="82"/>
      <c r="Q159" s="84"/>
      <c r="R159" s="81"/>
    </row>
    <row r="160" spans="1:18" x14ac:dyDescent="0.2"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3">
        <f t="shared" si="19"/>
        <v>0</v>
      </c>
      <c r="P160" s="82"/>
      <c r="Q160" s="85"/>
      <c r="R160" s="81"/>
    </row>
    <row r="161" spans="2:18" x14ac:dyDescent="0.2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</row>
    <row r="162" spans="2:18" x14ac:dyDescent="0.2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</row>
    <row r="163" spans="2:18" x14ac:dyDescent="0.2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</row>
    <row r="164" spans="2:18" x14ac:dyDescent="0.2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</row>
    <row r="165" spans="2:18" x14ac:dyDescent="0.2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</row>
    <row r="166" spans="2:18" x14ac:dyDescent="0.2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</row>
    <row r="167" spans="2:18" x14ac:dyDescent="0.2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</row>
    <row r="168" spans="2:18" x14ac:dyDescent="0.2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</row>
    <row r="169" spans="2:18" x14ac:dyDescent="0.2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</row>
    <row r="170" spans="2:18" x14ac:dyDescent="0.2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</row>
    <row r="171" spans="2:18" x14ac:dyDescent="0.2"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</row>
    <row r="172" spans="2:18" x14ac:dyDescent="0.2"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</row>
    <row r="173" spans="2:18" x14ac:dyDescent="0.2"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</row>
    <row r="174" spans="2:18" x14ac:dyDescent="0.2"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</row>
    <row r="175" spans="2:18" x14ac:dyDescent="0.2"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</row>
    <row r="176" spans="2:18" x14ac:dyDescent="0.2"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</row>
    <row r="177" spans="2:18" x14ac:dyDescent="0.2"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</row>
    <row r="178" spans="2:18" x14ac:dyDescent="0.2"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</row>
    <row r="179" spans="2:18" x14ac:dyDescent="0.2"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</row>
    <row r="180" spans="2:18" x14ac:dyDescent="0.2"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</row>
    <row r="181" spans="2:18" x14ac:dyDescent="0.2"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</row>
    <row r="182" spans="2:18" x14ac:dyDescent="0.2"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</row>
    <row r="183" spans="2:18" x14ac:dyDescent="0.2"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</row>
    <row r="184" spans="2:18" x14ac:dyDescent="0.2"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</row>
    <row r="185" spans="2:18" x14ac:dyDescent="0.2"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</row>
    <row r="186" spans="2:18" x14ac:dyDescent="0.2"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</row>
    <row r="187" spans="2:18" x14ac:dyDescent="0.2"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</row>
    <row r="188" spans="2:18" x14ac:dyDescent="0.2"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</row>
    <row r="189" spans="2:18" x14ac:dyDescent="0.2"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</row>
    <row r="190" spans="2:18" x14ac:dyDescent="0.2"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</row>
    <row r="191" spans="2:18" x14ac:dyDescent="0.2"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</row>
    <row r="192" spans="2:18" x14ac:dyDescent="0.2"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</row>
    <row r="193" spans="2:18" x14ac:dyDescent="0.2"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</row>
    <row r="194" spans="2:18" x14ac:dyDescent="0.2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</row>
    <row r="195" spans="2:18" x14ac:dyDescent="0.2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</row>
    <row r="196" spans="2:18" x14ac:dyDescent="0.2"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</row>
    <row r="197" spans="2:18" x14ac:dyDescent="0.2"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</row>
    <row r="198" spans="2:18" x14ac:dyDescent="0.2"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</row>
    <row r="199" spans="2:18" x14ac:dyDescent="0.2"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</row>
    <row r="200" spans="2:18" x14ac:dyDescent="0.2"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</row>
    <row r="201" spans="2:18" x14ac:dyDescent="0.2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</row>
    <row r="202" spans="2:18" x14ac:dyDescent="0.2"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</row>
    <row r="203" spans="2:18" x14ac:dyDescent="0.2"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</row>
    <row r="204" spans="2:18" x14ac:dyDescent="0.2"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</row>
    <row r="205" spans="2:18" x14ac:dyDescent="0.2"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</row>
    <row r="206" spans="2:18" x14ac:dyDescent="0.2"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</row>
    <row r="207" spans="2:18" x14ac:dyDescent="0.2"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</row>
    <row r="208" spans="2:18" x14ac:dyDescent="0.2"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</row>
    <row r="209" spans="2:18" x14ac:dyDescent="0.2"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</row>
    <row r="210" spans="2:18" x14ac:dyDescent="0.2"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</row>
    <row r="211" spans="2:18" x14ac:dyDescent="0.2"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</row>
    <row r="212" spans="2:18" x14ac:dyDescent="0.2"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</row>
    <row r="213" spans="2:18" x14ac:dyDescent="0.2"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</row>
    <row r="214" spans="2:18" x14ac:dyDescent="0.2"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</row>
    <row r="215" spans="2:18" x14ac:dyDescent="0.2"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</row>
    <row r="216" spans="2:18" x14ac:dyDescent="0.2"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</row>
    <row r="217" spans="2:18" x14ac:dyDescent="0.2"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</row>
    <row r="218" spans="2:18" x14ac:dyDescent="0.2"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</row>
    <row r="219" spans="2:18" x14ac:dyDescent="0.2"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</row>
    <row r="220" spans="2:18" x14ac:dyDescent="0.2"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</row>
    <row r="221" spans="2:18" x14ac:dyDescent="0.2"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</row>
    <row r="222" spans="2:18" x14ac:dyDescent="0.2"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</row>
    <row r="223" spans="2:18" x14ac:dyDescent="0.2"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</row>
    <row r="224" spans="2:18" x14ac:dyDescent="0.2"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</row>
    <row r="225" spans="2:18" x14ac:dyDescent="0.2"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</row>
    <row r="226" spans="2:18" x14ac:dyDescent="0.2"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</row>
    <row r="227" spans="2:18" x14ac:dyDescent="0.2"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</row>
    <row r="228" spans="2:18" x14ac:dyDescent="0.2"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</row>
    <row r="229" spans="2:18" x14ac:dyDescent="0.2"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</row>
    <row r="230" spans="2:18" x14ac:dyDescent="0.2"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</row>
    <row r="231" spans="2:18" x14ac:dyDescent="0.2"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</row>
    <row r="232" spans="2:18" x14ac:dyDescent="0.2"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</row>
    <row r="233" spans="2:18" x14ac:dyDescent="0.2"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</row>
    <row r="234" spans="2:18" x14ac:dyDescent="0.2"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</row>
    <row r="235" spans="2:18" x14ac:dyDescent="0.2"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</row>
    <row r="236" spans="2:18" x14ac:dyDescent="0.2"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</row>
    <row r="237" spans="2:18" x14ac:dyDescent="0.2"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</row>
    <row r="238" spans="2:18" x14ac:dyDescent="0.2"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</row>
    <row r="239" spans="2:18" x14ac:dyDescent="0.2"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</row>
    <row r="240" spans="2:18" x14ac:dyDescent="0.2"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</row>
    <row r="241" spans="2:18" x14ac:dyDescent="0.2"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</row>
    <row r="242" spans="2:18" x14ac:dyDescent="0.2"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</row>
    <row r="243" spans="2:18" x14ac:dyDescent="0.2"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</row>
    <row r="244" spans="2:18" x14ac:dyDescent="0.2"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</row>
    <row r="245" spans="2:18" x14ac:dyDescent="0.2"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</row>
    <row r="246" spans="2:18" x14ac:dyDescent="0.2"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</row>
    <row r="247" spans="2:18" x14ac:dyDescent="0.2"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</row>
    <row r="248" spans="2:18" x14ac:dyDescent="0.2"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</row>
    <row r="249" spans="2:18" x14ac:dyDescent="0.2"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</row>
    <row r="250" spans="2:18" x14ac:dyDescent="0.2"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</row>
    <row r="251" spans="2:18" x14ac:dyDescent="0.2"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</row>
    <row r="252" spans="2:18" x14ac:dyDescent="0.2"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</row>
    <row r="253" spans="2:18" x14ac:dyDescent="0.2"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</row>
    <row r="254" spans="2:18" x14ac:dyDescent="0.2"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</row>
    <row r="255" spans="2:18" x14ac:dyDescent="0.2"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</row>
    <row r="256" spans="2:18" x14ac:dyDescent="0.2"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</row>
    <row r="257" spans="2:18" x14ac:dyDescent="0.2"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</row>
    <row r="258" spans="2:18" x14ac:dyDescent="0.2"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</row>
    <row r="259" spans="2:18" x14ac:dyDescent="0.2"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</row>
    <row r="260" spans="2:18" x14ac:dyDescent="0.2"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</row>
    <row r="261" spans="2:18" x14ac:dyDescent="0.2"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</row>
    <row r="262" spans="2:18" x14ac:dyDescent="0.2"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</row>
    <row r="263" spans="2:18" x14ac:dyDescent="0.2"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</row>
    <row r="264" spans="2:18" x14ac:dyDescent="0.2"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</row>
    <row r="265" spans="2:18" x14ac:dyDescent="0.2"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</row>
    <row r="266" spans="2:18" x14ac:dyDescent="0.2"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</row>
    <row r="267" spans="2:18" x14ac:dyDescent="0.2"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</row>
    <row r="268" spans="2:18" x14ac:dyDescent="0.2"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</row>
    <row r="269" spans="2:18" x14ac:dyDescent="0.2"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</row>
    <row r="270" spans="2:18" x14ac:dyDescent="0.2"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</row>
    <row r="271" spans="2:18" x14ac:dyDescent="0.2"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</row>
    <row r="272" spans="2:18" x14ac:dyDescent="0.2"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</row>
    <row r="273" spans="2:18" x14ac:dyDescent="0.2"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</row>
    <row r="274" spans="2:18" x14ac:dyDescent="0.2"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</row>
    <row r="275" spans="2:18" x14ac:dyDescent="0.2"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</row>
    <row r="276" spans="2:18" x14ac:dyDescent="0.2"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</row>
    <row r="277" spans="2:18" x14ac:dyDescent="0.2"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</row>
    <row r="278" spans="2:18" x14ac:dyDescent="0.2"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</row>
    <row r="279" spans="2:18" x14ac:dyDescent="0.2"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</row>
    <row r="280" spans="2:18" x14ac:dyDescent="0.2"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</row>
    <row r="281" spans="2:18" x14ac:dyDescent="0.2"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</row>
    <row r="282" spans="2:18" x14ac:dyDescent="0.2"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</row>
    <row r="283" spans="2:18" x14ac:dyDescent="0.2"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</row>
    <row r="284" spans="2:18" x14ac:dyDescent="0.2"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</row>
    <row r="285" spans="2:18" x14ac:dyDescent="0.2"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</row>
    <row r="286" spans="2:18" x14ac:dyDescent="0.2"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</row>
    <row r="287" spans="2:18" x14ac:dyDescent="0.2"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</row>
    <row r="288" spans="2:18" x14ac:dyDescent="0.2"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</row>
    <row r="289" spans="2:18" x14ac:dyDescent="0.2"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</row>
    <row r="290" spans="2:18" x14ac:dyDescent="0.2"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</row>
    <row r="291" spans="2:18" x14ac:dyDescent="0.2"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</row>
    <row r="292" spans="2:18" x14ac:dyDescent="0.2"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</row>
    <row r="293" spans="2:18" x14ac:dyDescent="0.2"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</row>
    <row r="294" spans="2:18" x14ac:dyDescent="0.2"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</row>
    <row r="295" spans="2:18" x14ac:dyDescent="0.2"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</row>
    <row r="296" spans="2:18" x14ac:dyDescent="0.2"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</row>
    <row r="297" spans="2:18" x14ac:dyDescent="0.2"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</row>
    <row r="298" spans="2:18" x14ac:dyDescent="0.2"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</row>
    <row r="299" spans="2:18" x14ac:dyDescent="0.2"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</row>
    <row r="300" spans="2:18" x14ac:dyDescent="0.2"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</row>
    <row r="301" spans="2:18" x14ac:dyDescent="0.2"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</row>
    <row r="302" spans="2:18" x14ac:dyDescent="0.2"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</row>
    <row r="303" spans="2:18" x14ac:dyDescent="0.2"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</row>
    <row r="304" spans="2:18" x14ac:dyDescent="0.2"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</row>
    <row r="305" spans="2:18" x14ac:dyDescent="0.2"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</row>
    <row r="306" spans="2:18" x14ac:dyDescent="0.2"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</row>
    <row r="307" spans="2:18" x14ac:dyDescent="0.2"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</row>
    <row r="308" spans="2:18" x14ac:dyDescent="0.2"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</row>
    <row r="309" spans="2:18" x14ac:dyDescent="0.2"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</row>
    <row r="310" spans="2:18" x14ac:dyDescent="0.2"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</row>
    <row r="311" spans="2:18" x14ac:dyDescent="0.2"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</row>
    <row r="312" spans="2:18" x14ac:dyDescent="0.2"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</row>
    <row r="313" spans="2:18" x14ac:dyDescent="0.2"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</row>
    <row r="314" spans="2:18" x14ac:dyDescent="0.2"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</row>
    <row r="315" spans="2:18" x14ac:dyDescent="0.2"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</row>
    <row r="316" spans="2:18" x14ac:dyDescent="0.2"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</row>
    <row r="317" spans="2:18" x14ac:dyDescent="0.2"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</row>
    <row r="318" spans="2:18" x14ac:dyDescent="0.2"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</row>
    <row r="319" spans="2:18" x14ac:dyDescent="0.2"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</row>
    <row r="320" spans="2:18" x14ac:dyDescent="0.2"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</row>
    <row r="321" spans="2:18" x14ac:dyDescent="0.2"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</row>
    <row r="322" spans="2:18" x14ac:dyDescent="0.2"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</row>
    <row r="323" spans="2:18" x14ac:dyDescent="0.2"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</row>
    <row r="324" spans="2:18" x14ac:dyDescent="0.2"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</row>
    <row r="325" spans="2:18" x14ac:dyDescent="0.2"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</row>
    <row r="326" spans="2:18" x14ac:dyDescent="0.2"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</row>
    <row r="327" spans="2:18" x14ac:dyDescent="0.2"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</row>
    <row r="328" spans="2:18" x14ac:dyDescent="0.2"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</row>
    <row r="329" spans="2:18" x14ac:dyDescent="0.2"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</row>
    <row r="330" spans="2:18" x14ac:dyDescent="0.2"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</row>
    <row r="331" spans="2:18" x14ac:dyDescent="0.2"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</row>
    <row r="332" spans="2:18" x14ac:dyDescent="0.2"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</row>
    <row r="333" spans="2:18" x14ac:dyDescent="0.2"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</row>
    <row r="334" spans="2:18" x14ac:dyDescent="0.2"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</row>
    <row r="335" spans="2:18" x14ac:dyDescent="0.2"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</row>
    <row r="336" spans="2:18" x14ac:dyDescent="0.2"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</row>
    <row r="337" spans="2:18" x14ac:dyDescent="0.2"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</row>
    <row r="338" spans="2:18" x14ac:dyDescent="0.2"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</row>
    <row r="339" spans="2:18" x14ac:dyDescent="0.2"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</row>
    <row r="340" spans="2:18" x14ac:dyDescent="0.2"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</row>
    <row r="341" spans="2:18" x14ac:dyDescent="0.2"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</row>
    <row r="342" spans="2:18" x14ac:dyDescent="0.2"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</row>
    <row r="343" spans="2:18" x14ac:dyDescent="0.2"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</row>
    <row r="344" spans="2:18" x14ac:dyDescent="0.2"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</row>
    <row r="345" spans="2:18" x14ac:dyDescent="0.2"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</row>
    <row r="346" spans="2:18" x14ac:dyDescent="0.2"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</row>
    <row r="347" spans="2:18" x14ac:dyDescent="0.2"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</row>
    <row r="348" spans="2:18" x14ac:dyDescent="0.2"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</row>
    <row r="349" spans="2:18" x14ac:dyDescent="0.2"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</row>
    <row r="350" spans="2:18" x14ac:dyDescent="0.2"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</row>
    <row r="351" spans="2:18" x14ac:dyDescent="0.2"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</row>
    <row r="352" spans="2:18" x14ac:dyDescent="0.2"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</row>
    <row r="353" spans="2:18" x14ac:dyDescent="0.2"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</row>
    <row r="354" spans="2:18" x14ac:dyDescent="0.2"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</row>
    <row r="355" spans="2:18" x14ac:dyDescent="0.2"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</row>
    <row r="356" spans="2:18" x14ac:dyDescent="0.2"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</row>
    <row r="357" spans="2:18" x14ac:dyDescent="0.2"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</row>
    <row r="358" spans="2:18" x14ac:dyDescent="0.2"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</row>
    <row r="359" spans="2:18" x14ac:dyDescent="0.2"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</row>
    <row r="360" spans="2:18" x14ac:dyDescent="0.2"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</row>
    <row r="361" spans="2:18" x14ac:dyDescent="0.2"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</row>
    <row r="362" spans="2:18" x14ac:dyDescent="0.2"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</row>
    <row r="363" spans="2:18" x14ac:dyDescent="0.2"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</row>
    <row r="364" spans="2:18" x14ac:dyDescent="0.2"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</row>
    <row r="365" spans="2:18" x14ac:dyDescent="0.2"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</row>
    <row r="366" spans="2:18" x14ac:dyDescent="0.2"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</row>
    <row r="367" spans="2:18" x14ac:dyDescent="0.2"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</row>
    <row r="368" spans="2:18" x14ac:dyDescent="0.2"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</row>
    <row r="369" spans="2:18" x14ac:dyDescent="0.2"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</row>
    <row r="370" spans="2:18" x14ac:dyDescent="0.2"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</row>
    <row r="371" spans="2:18" x14ac:dyDescent="0.2"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</row>
    <row r="372" spans="2:18" x14ac:dyDescent="0.2"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</row>
    <row r="373" spans="2:18" x14ac:dyDescent="0.2"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</row>
    <row r="374" spans="2:18" x14ac:dyDescent="0.2"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</row>
    <row r="375" spans="2:18" x14ac:dyDescent="0.2"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</row>
    <row r="376" spans="2:18" x14ac:dyDescent="0.2"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</row>
    <row r="377" spans="2:18" x14ac:dyDescent="0.2"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</row>
    <row r="378" spans="2:18" x14ac:dyDescent="0.2"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</row>
    <row r="379" spans="2:18" x14ac:dyDescent="0.2"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</row>
    <row r="380" spans="2:18" x14ac:dyDescent="0.2"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</row>
    <row r="381" spans="2:18" x14ac:dyDescent="0.2"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</row>
    <row r="382" spans="2:18" x14ac:dyDescent="0.2"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</row>
    <row r="383" spans="2:18" x14ac:dyDescent="0.2"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</row>
    <row r="384" spans="2:18" x14ac:dyDescent="0.2"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</row>
    <row r="385" spans="2:18" x14ac:dyDescent="0.2"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</row>
    <row r="386" spans="2:18" x14ac:dyDescent="0.2"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</row>
    <row r="387" spans="2:18" x14ac:dyDescent="0.2"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</row>
  </sheetData>
  <autoFilter ref="A7:Q160"/>
  <mergeCells count="2">
    <mergeCell ref="D2:Q2"/>
    <mergeCell ref="D3:Q3"/>
  </mergeCells>
  <phoneticPr fontId="0" type="noConversion"/>
  <pageMargins left="0.29652777777777778" right="0.26458333333333334" top="0.31388888888888888" bottom="0.98402777777777772" header="0.51180555555555551" footer="0.51180555555555551"/>
  <pageSetup scale="54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workbookViewId="0">
      <pane xSplit="1" ySplit="1" topLeftCell="B24" activePane="bottomRight" state="frozen"/>
      <selection pane="topRight" activeCell="B1" sqref="B1"/>
      <selection pane="bottomLeft" activeCell="A2" sqref="A2"/>
      <selection pane="bottomRight" activeCell="L60" sqref="L60"/>
    </sheetView>
  </sheetViews>
  <sheetFormatPr baseColWidth="10" defaultRowHeight="12.75" x14ac:dyDescent="0.2"/>
  <cols>
    <col min="1" max="1" width="6.140625" customWidth="1"/>
    <col min="2" max="14" width="8.5703125" customWidth="1"/>
    <col min="16" max="16" width="12.42578125" bestFit="1" customWidth="1"/>
  </cols>
  <sheetData>
    <row r="1" spans="1:14" x14ac:dyDescent="0.2">
      <c r="A1" s="45"/>
      <c r="B1" s="45" t="s">
        <v>35</v>
      </c>
      <c r="C1" s="45" t="s">
        <v>36</v>
      </c>
      <c r="D1" s="45" t="s">
        <v>37</v>
      </c>
      <c r="E1" s="45" t="s">
        <v>38</v>
      </c>
      <c r="F1" s="45" t="s">
        <v>39</v>
      </c>
      <c r="G1" s="45" t="s">
        <v>40</v>
      </c>
      <c r="H1" s="46" t="s">
        <v>41</v>
      </c>
      <c r="I1" s="45" t="s">
        <v>42</v>
      </c>
      <c r="J1" s="45" t="s">
        <v>43</v>
      </c>
      <c r="K1" s="45" t="s">
        <v>44</v>
      </c>
      <c r="L1" s="45" t="s">
        <v>45</v>
      </c>
      <c r="M1" s="45" t="s">
        <v>46</v>
      </c>
      <c r="N1" s="45" t="s">
        <v>35</v>
      </c>
    </row>
    <row r="2" spans="1:14" x14ac:dyDescent="0.2">
      <c r="A2" s="45">
        <v>1969</v>
      </c>
      <c r="B2" s="47"/>
      <c r="C2" s="48">
        <v>2.2381000000000002E-2</v>
      </c>
      <c r="D2" s="47">
        <v>2.2461999999999999E-2</v>
      </c>
      <c r="E2" s="47">
        <v>2.2484000000000001E-2</v>
      </c>
      <c r="F2" s="47">
        <v>2.2544999999999999E-2</v>
      </c>
      <c r="G2" s="47">
        <v>2.2544999999999999E-2</v>
      </c>
      <c r="H2" s="49">
        <v>2.2624999999999999E-2</v>
      </c>
      <c r="I2" s="47">
        <v>2.2710999999999999E-2</v>
      </c>
      <c r="J2" s="47">
        <v>2.2735999999999999E-2</v>
      </c>
      <c r="K2" s="47">
        <v>2.2949000000000001E-2</v>
      </c>
      <c r="L2" s="47">
        <v>2.3189999999999999E-2</v>
      </c>
      <c r="M2" s="47">
        <v>2.3189999999999999E-2</v>
      </c>
      <c r="N2" s="47" t="s">
        <v>47</v>
      </c>
    </row>
    <row r="3" spans="1:14" x14ac:dyDescent="0.2">
      <c r="A3" s="45">
        <v>1970</v>
      </c>
      <c r="B3" s="47"/>
      <c r="C3" s="47">
        <v>2.3545E-2</v>
      </c>
      <c r="D3" s="47">
        <v>2.3542E-2</v>
      </c>
      <c r="E3" s="47">
        <v>2.3612000000000001E-2</v>
      </c>
      <c r="F3" s="47">
        <v>2.3642E-2</v>
      </c>
      <c r="G3" s="47">
        <v>2.3692000000000001E-2</v>
      </c>
      <c r="H3" s="49">
        <v>2.3836E-2</v>
      </c>
      <c r="I3" s="47">
        <v>2.3952000000000001E-2</v>
      </c>
      <c r="J3" s="47">
        <v>2.4063000000000001E-2</v>
      </c>
      <c r="K3" s="47">
        <v>2.4121E-2</v>
      </c>
      <c r="L3" s="47">
        <v>2.4129999999999999E-2</v>
      </c>
      <c r="M3" s="47"/>
      <c r="N3" s="47"/>
    </row>
    <row r="4" spans="1:14" x14ac:dyDescent="0.2">
      <c r="A4" s="45">
        <v>1971</v>
      </c>
      <c r="B4" s="47"/>
      <c r="C4" s="47">
        <v>2.4705999999999999E-2</v>
      </c>
      <c r="D4" s="47">
        <v>2.4806000000000002E-2</v>
      </c>
      <c r="E4" s="47">
        <v>2.4902000000000001E-2</v>
      </c>
      <c r="F4" s="47">
        <v>2.503E-2</v>
      </c>
      <c r="G4" s="47">
        <v>2.5083000000000001E-2</v>
      </c>
      <c r="H4" s="49">
        <v>2.5196E-2</v>
      </c>
      <c r="I4" s="47">
        <v>2.5177000000000001E-2</v>
      </c>
      <c r="J4" s="47">
        <v>2.5406999999999999E-2</v>
      </c>
      <c r="K4" s="47">
        <v>2.5489999999999999E-2</v>
      </c>
      <c r="L4" s="47">
        <v>2.5514999999999999E-2</v>
      </c>
      <c r="M4" s="47"/>
      <c r="N4" s="47"/>
    </row>
    <row r="5" spans="1:14" x14ac:dyDescent="0.2">
      <c r="A5" s="45">
        <v>1972</v>
      </c>
      <c r="B5" s="47"/>
      <c r="C5" s="47">
        <v>2.5791999999999999E-2</v>
      </c>
      <c r="D5" s="47">
        <v>2.5871999999999999E-2</v>
      </c>
      <c r="E5" s="47">
        <v>2.6013000000000001E-2</v>
      </c>
      <c r="F5" s="47">
        <v>2.6176999999999999E-2</v>
      </c>
      <c r="G5" s="47">
        <v>2.6228999999999999E-2</v>
      </c>
      <c r="H5" s="49">
        <v>2.6422999999999999E-2</v>
      </c>
      <c r="I5" s="47">
        <v>2.6523000000000001E-2</v>
      </c>
      <c r="J5" s="47">
        <v>2.6698E-2</v>
      </c>
      <c r="K5" s="47">
        <v>2.682E-2</v>
      </c>
      <c r="L5" s="47">
        <v>2.6838999999999998E-2</v>
      </c>
      <c r="M5" s="47"/>
      <c r="N5" s="47"/>
    </row>
    <row r="6" spans="1:14" x14ac:dyDescent="0.2">
      <c r="A6" s="45">
        <v>1973</v>
      </c>
      <c r="B6" s="47"/>
      <c r="C6" s="47">
        <v>2.7498000000000002E-2</v>
      </c>
      <c r="D6" s="47">
        <v>2.7725E-2</v>
      </c>
      <c r="E6" s="47">
        <v>2.7969000000000001E-2</v>
      </c>
      <c r="F6" s="47">
        <v>2.8412E-2</v>
      </c>
      <c r="G6" s="47">
        <v>2.8714E-2</v>
      </c>
      <c r="H6" s="49">
        <v>2.895E-2</v>
      </c>
      <c r="I6" s="47">
        <v>2.9692E-2</v>
      </c>
      <c r="J6" s="47">
        <v>3.0169000000000001E-2</v>
      </c>
      <c r="K6" s="47">
        <v>3.0886E-2</v>
      </c>
      <c r="L6" s="47">
        <v>3.1282999999999998E-2</v>
      </c>
      <c r="M6" s="47"/>
      <c r="N6" s="47"/>
    </row>
    <row r="7" spans="1:14" x14ac:dyDescent="0.2">
      <c r="A7" s="45">
        <v>1974</v>
      </c>
      <c r="B7" s="47"/>
      <c r="C7" s="47">
        <v>3.4075000000000001E-2</v>
      </c>
      <c r="D7" s="47">
        <v>3.4845000000000001E-2</v>
      </c>
      <c r="E7" s="47">
        <v>3.5113999999999999E-2</v>
      </c>
      <c r="F7" s="47">
        <v>3.5589999999999997E-2</v>
      </c>
      <c r="G7" s="47">
        <v>3.5869999999999999E-2</v>
      </c>
      <c r="H7" s="49">
        <v>3.6225E-2</v>
      </c>
      <c r="I7" s="47">
        <v>3.6748000000000003E-2</v>
      </c>
      <c r="J7" s="47">
        <v>3.7136000000000002E-2</v>
      </c>
      <c r="K7" s="47">
        <v>3.7557E-2</v>
      </c>
      <c r="L7" s="47">
        <v>3.8302999999999997E-2</v>
      </c>
      <c r="M7" s="47"/>
      <c r="N7" s="47"/>
    </row>
    <row r="8" spans="1:14" x14ac:dyDescent="0.2">
      <c r="A8" s="45">
        <v>1975</v>
      </c>
      <c r="B8" s="47"/>
      <c r="C8" s="47">
        <v>4.0181000000000001E-2</v>
      </c>
      <c r="D8" s="47">
        <v>4.0402E-2</v>
      </c>
      <c r="E8" s="47">
        <v>4.0656999999999999E-2</v>
      </c>
      <c r="F8" s="47">
        <v>4.1001000000000003E-2</v>
      </c>
      <c r="G8" s="47">
        <v>4.1549000000000003E-2</v>
      </c>
      <c r="H8" s="49">
        <v>4.2256000000000002E-2</v>
      </c>
      <c r="I8" s="47">
        <v>4.2594E-2</v>
      </c>
      <c r="J8" s="47">
        <v>4.2962E-2</v>
      </c>
      <c r="K8" s="47">
        <v>4.3275000000000001E-2</v>
      </c>
      <c r="L8" s="47">
        <v>4.3497000000000001E-2</v>
      </c>
      <c r="M8" s="47"/>
      <c r="N8" s="47"/>
    </row>
    <row r="9" spans="1:14" x14ac:dyDescent="0.2">
      <c r="A9" s="45">
        <v>1976</v>
      </c>
      <c r="B9" s="47"/>
      <c r="C9" s="47">
        <v>4.5012000000000003E-2</v>
      </c>
      <c r="D9" s="47">
        <v>4.5853999999999999E-2</v>
      </c>
      <c r="E9" s="47">
        <v>4.6302999999999997E-2</v>
      </c>
      <c r="F9" s="47">
        <v>4.6627000000000002E-2</v>
      </c>
      <c r="G9" s="47">
        <v>4.6954000000000003E-2</v>
      </c>
      <c r="H9" s="49">
        <v>4.7142999999999997E-2</v>
      </c>
      <c r="I9" s="47">
        <v>4.7542000000000001E-2</v>
      </c>
      <c r="J9" s="47">
        <v>4.7995999999999997E-2</v>
      </c>
      <c r="K9" s="47">
        <v>4.9632999999999997E-2</v>
      </c>
      <c r="L9" s="47">
        <v>5.2428000000000002E-2</v>
      </c>
      <c r="M9" s="47"/>
      <c r="N9" s="47"/>
    </row>
    <row r="10" spans="1:14" x14ac:dyDescent="0.2">
      <c r="A10" s="45">
        <v>1977</v>
      </c>
      <c r="B10" s="47"/>
      <c r="C10" s="47">
        <v>5.7960999999999999E-2</v>
      </c>
      <c r="D10" s="47">
        <v>5.9241000000000002E-2</v>
      </c>
      <c r="E10" s="47">
        <v>6.0274000000000001E-2</v>
      </c>
      <c r="F10" s="47">
        <v>6.1185000000000003E-2</v>
      </c>
      <c r="G10" s="47">
        <v>6.1723E-2</v>
      </c>
      <c r="H10" s="49">
        <v>6.2479E-2</v>
      </c>
      <c r="I10" s="47">
        <v>6.3186000000000006E-2</v>
      </c>
      <c r="J10" s="47">
        <v>6.4481999999999998E-2</v>
      </c>
      <c r="K10" s="47">
        <v>6.5626000000000004E-2</v>
      </c>
      <c r="L10" s="47">
        <v>6.6128000000000006E-2</v>
      </c>
      <c r="M10" s="47"/>
      <c r="N10" s="47"/>
    </row>
    <row r="11" spans="1:14" x14ac:dyDescent="0.2">
      <c r="A11" s="45">
        <v>1978</v>
      </c>
      <c r="B11" s="47"/>
      <c r="C11" s="47">
        <v>6.9282999999999997E-2</v>
      </c>
      <c r="D11" s="47">
        <v>7.0277999999999993E-2</v>
      </c>
      <c r="E11" s="47">
        <v>7.1009000000000003E-2</v>
      </c>
      <c r="F11" s="47">
        <v>7.1799000000000002E-2</v>
      </c>
      <c r="G11" s="47">
        <v>7.2501999999999997E-2</v>
      </c>
      <c r="H11" s="49">
        <v>7.3499999999999996E-2</v>
      </c>
      <c r="I11" s="47">
        <v>7.4746000000000007E-2</v>
      </c>
      <c r="J11" s="47">
        <v>7.5491000000000003E-2</v>
      </c>
      <c r="K11" s="47">
        <v>7.6353000000000004E-2</v>
      </c>
      <c r="L11" s="47">
        <v>7.7277999999999999E-2</v>
      </c>
      <c r="M11" s="47"/>
      <c r="N11" s="47"/>
    </row>
    <row r="12" spans="1:14" x14ac:dyDescent="0.2">
      <c r="A12" s="45">
        <v>1979</v>
      </c>
      <c r="B12" s="47"/>
      <c r="C12" s="47">
        <v>8.1531000000000006E-2</v>
      </c>
      <c r="D12" s="47">
        <v>8.2702999999999999E-2</v>
      </c>
      <c r="E12" s="47">
        <v>8.3824999999999997E-2</v>
      </c>
      <c r="F12" s="47">
        <v>8.4574999999999997E-2</v>
      </c>
      <c r="G12" s="47">
        <v>8.5683999999999996E-2</v>
      </c>
      <c r="H12" s="49">
        <v>8.6634000000000003E-2</v>
      </c>
      <c r="I12" s="47">
        <v>8.7683999999999998E-2</v>
      </c>
      <c r="J12" s="47">
        <v>8.9011000000000007E-2</v>
      </c>
      <c r="K12" s="47">
        <v>9.0102000000000002E-2</v>
      </c>
      <c r="L12" s="47">
        <v>9.1675999999999994E-2</v>
      </c>
      <c r="M12" s="47"/>
      <c r="N12" s="47">
        <f>0.03411*27.7032/100</f>
        <v>9.4495615200000001E-3</v>
      </c>
    </row>
    <row r="13" spans="1:14" x14ac:dyDescent="0.2">
      <c r="A13" s="45">
        <v>1980</v>
      </c>
      <c r="B13" s="70">
        <f t="shared" ref="B13:B25" si="0">+N12</f>
        <v>9.4495615200000001E-3</v>
      </c>
      <c r="C13" s="47">
        <v>9.9106E-2</v>
      </c>
      <c r="D13" s="47">
        <v>1.014E-2</v>
      </c>
      <c r="E13" s="47">
        <v>0.10348</v>
      </c>
      <c r="F13" s="47">
        <v>0.10528999999999999</v>
      </c>
      <c r="G13" s="47">
        <v>0.10700999999999999</v>
      </c>
      <c r="H13" s="49">
        <v>0.10913</v>
      </c>
      <c r="I13" s="47">
        <v>0.11218</v>
      </c>
      <c r="J13" s="47">
        <v>0.1145</v>
      </c>
      <c r="K13" s="47">
        <v>0.11577</v>
      </c>
      <c r="L13" s="47">
        <v>0.11753</v>
      </c>
      <c r="M13" s="47">
        <f>0.04242*27.7032/100</f>
        <v>1.175169744E-2</v>
      </c>
      <c r="N13" s="47">
        <f>0.4429*27.7032/100</f>
        <v>0.12269747280000001</v>
      </c>
    </row>
    <row r="14" spans="1:14" x14ac:dyDescent="0.2">
      <c r="A14" s="45">
        <v>1981</v>
      </c>
      <c r="B14" s="70">
        <f t="shared" si="0"/>
        <v>0.12269747280000001</v>
      </c>
      <c r="C14" s="47">
        <v>0.12665999999999999</v>
      </c>
      <c r="D14" s="47">
        <v>0.12977</v>
      </c>
      <c r="E14" s="47">
        <v>0.13253999999999999</v>
      </c>
      <c r="F14" s="47">
        <v>0.13553000000000001</v>
      </c>
      <c r="G14" s="47">
        <v>0.13758000000000001</v>
      </c>
      <c r="H14" s="49">
        <v>0.13951</v>
      </c>
      <c r="I14" s="47">
        <v>0.14196</v>
      </c>
      <c r="J14" s="47">
        <v>0.14488999999999999</v>
      </c>
      <c r="K14" s="47">
        <v>0.14757999999999999</v>
      </c>
      <c r="L14" s="47">
        <v>0.15085999999999999</v>
      </c>
      <c r="M14" s="47">
        <f>0.555*27.7032/100</f>
        <v>0.15375276000000002</v>
      </c>
      <c r="N14" s="47">
        <f>0.57*27.7032/100</f>
        <v>0.15790823999999998</v>
      </c>
    </row>
    <row r="15" spans="1:14" x14ac:dyDescent="0.2">
      <c r="A15" s="45">
        <v>1982</v>
      </c>
      <c r="B15" s="70">
        <f t="shared" si="0"/>
        <v>0.15790823999999998</v>
      </c>
      <c r="C15" s="47">
        <v>0.16575000000000001</v>
      </c>
      <c r="D15" s="47">
        <v>0.17226</v>
      </c>
      <c r="E15" s="47">
        <v>0.17854999999999999</v>
      </c>
      <c r="F15" s="47">
        <v>0.18823000000000001</v>
      </c>
      <c r="G15" s="47">
        <v>0.19880999999999999</v>
      </c>
      <c r="H15" s="49">
        <v>0.20838000000000001</v>
      </c>
      <c r="I15" s="47">
        <v>0.21912000000000001</v>
      </c>
      <c r="J15" s="47">
        <v>0.24371000000000001</v>
      </c>
      <c r="K15" s="47">
        <v>0.25672</v>
      </c>
      <c r="L15" s="47">
        <v>0.27002999999999999</v>
      </c>
      <c r="M15" s="47">
        <f>1.024*27.7032/100</f>
        <v>0.28368076800000003</v>
      </c>
      <c r="N15" s="47">
        <f>1.1334*27.7032/100</f>
        <v>0.31398806879999996</v>
      </c>
    </row>
    <row r="16" spans="1:14" x14ac:dyDescent="0.2">
      <c r="A16" s="45">
        <v>1983</v>
      </c>
      <c r="B16" s="70">
        <f t="shared" si="0"/>
        <v>0.31398806879999996</v>
      </c>
      <c r="C16" s="47">
        <v>0.34814000000000001</v>
      </c>
      <c r="D16" s="47">
        <v>0.36681999999999998</v>
      </c>
      <c r="E16" s="47">
        <v>0.38457999999999998</v>
      </c>
      <c r="F16" s="47">
        <v>0.40893000000000002</v>
      </c>
      <c r="G16" s="47">
        <v>0.42665999999999998</v>
      </c>
      <c r="H16" s="49">
        <v>0.44281999999999999</v>
      </c>
      <c r="I16" s="47">
        <v>0.46471000000000001</v>
      </c>
      <c r="J16" s="47">
        <v>0.48275000000000001</v>
      </c>
      <c r="K16" s="47">
        <v>0.49761</v>
      </c>
      <c r="L16" s="47">
        <v>0.51412000000000002</v>
      </c>
      <c r="M16" s="47">
        <f>1.9648*27.7032/100</f>
        <v>0.54431247360000001</v>
      </c>
      <c r="N16" s="47">
        <f>2.0488*27.7032/100</f>
        <v>0.5675831616</v>
      </c>
    </row>
    <row r="17" spans="1:15" x14ac:dyDescent="0.2">
      <c r="A17" s="45">
        <v>1984</v>
      </c>
      <c r="B17" s="70">
        <f t="shared" si="0"/>
        <v>0.5675831616</v>
      </c>
      <c r="C17" s="47">
        <v>0.60365999999999997</v>
      </c>
      <c r="D17" s="47">
        <v>0.63551999999999997</v>
      </c>
      <c r="E17" s="47">
        <v>0.66268000000000005</v>
      </c>
      <c r="F17" s="47">
        <v>0.69135000000000002</v>
      </c>
      <c r="G17" s="47">
        <v>0.71426999999999996</v>
      </c>
      <c r="H17" s="49">
        <v>0.74012</v>
      </c>
      <c r="I17" s="47">
        <v>0.76437999999999995</v>
      </c>
      <c r="J17" s="47">
        <v>0.78610999999999998</v>
      </c>
      <c r="K17" s="47">
        <v>0.80952999999999997</v>
      </c>
      <c r="L17" s="47">
        <v>0.83781000000000005</v>
      </c>
      <c r="M17" s="47">
        <f>3.128*27.7032/100</f>
        <v>0.86655609600000005</v>
      </c>
      <c r="N17" s="47">
        <f>3.2609*27.7032/100</f>
        <v>0.90337364879999993</v>
      </c>
    </row>
    <row r="18" spans="1:15" x14ac:dyDescent="0.2">
      <c r="A18" s="45">
        <v>1985</v>
      </c>
      <c r="B18" s="70">
        <f t="shared" si="0"/>
        <v>0.90337364879999993</v>
      </c>
      <c r="C18" s="47">
        <v>0.97038000000000002</v>
      </c>
      <c r="D18" s="47">
        <v>1.0106999999999999</v>
      </c>
      <c r="E18" s="47">
        <v>1.0499000000000001</v>
      </c>
      <c r="F18" s="47">
        <v>1.0822000000000001</v>
      </c>
      <c r="G18" s="47">
        <v>1.1077999999999999</v>
      </c>
      <c r="H18" s="49">
        <v>1.1355</v>
      </c>
      <c r="I18" s="47">
        <v>1.1751</v>
      </c>
      <c r="J18" s="47">
        <v>1.2264999999999999</v>
      </c>
      <c r="K18" s="47">
        <v>1.2754000000000001</v>
      </c>
      <c r="L18" s="47">
        <v>1.3239000000000001</v>
      </c>
      <c r="M18" s="47">
        <f>4.9993*27.7032/100</f>
        <v>1.3849660775999999</v>
      </c>
      <c r="N18" s="47">
        <f>5.3397*27.7032/100</f>
        <v>1.4792677703999999</v>
      </c>
    </row>
    <row r="19" spans="1:15" x14ac:dyDescent="0.2">
      <c r="A19" s="45">
        <v>1986</v>
      </c>
      <c r="B19" s="70">
        <f t="shared" si="0"/>
        <v>1.4792677703999999</v>
      </c>
      <c r="C19" s="47">
        <v>1.61</v>
      </c>
      <c r="D19" s="47">
        <v>1.6816</v>
      </c>
      <c r="E19" s="47">
        <v>1.7598</v>
      </c>
      <c r="F19" s="47">
        <v>1.8516999999999999</v>
      </c>
      <c r="G19" s="47">
        <v>1.9545999999999999</v>
      </c>
      <c r="H19" s="49">
        <v>2.08</v>
      </c>
      <c r="I19" s="47">
        <v>2.1838000000000002</v>
      </c>
      <c r="J19" s="47">
        <v>2.3578999999999999</v>
      </c>
      <c r="K19" s="47">
        <v>2.4994000000000001</v>
      </c>
      <c r="L19" s="47">
        <v>2.6421999999999999</v>
      </c>
      <c r="M19" s="47">
        <f>10.1823*27.7032/100</f>
        <v>2.8208229336000001</v>
      </c>
      <c r="N19" s="47">
        <f>10.9862*27.7032/100</f>
        <v>3.0435289583999996</v>
      </c>
    </row>
    <row r="20" spans="1:15" x14ac:dyDescent="0.2">
      <c r="A20" s="45">
        <v>1987</v>
      </c>
      <c r="B20" s="70">
        <f t="shared" si="0"/>
        <v>3.0435289583999996</v>
      </c>
      <c r="C20" s="47">
        <v>3.29</v>
      </c>
      <c r="D20" s="47">
        <v>3.5274000000000001</v>
      </c>
      <c r="E20" s="47">
        <v>3.7605</v>
      </c>
      <c r="F20" s="47">
        <v>4.0895000000000001</v>
      </c>
      <c r="G20" s="47">
        <v>4.3978000000000002</v>
      </c>
      <c r="H20" s="49">
        <v>4.7160000000000002</v>
      </c>
      <c r="I20" s="47">
        <v>5.0979999999999999</v>
      </c>
      <c r="J20" s="47">
        <v>5.5145999999999997</v>
      </c>
      <c r="K20" s="47">
        <v>5.8779000000000003</v>
      </c>
      <c r="L20" s="47">
        <v>6.3677999999999999</v>
      </c>
      <c r="M20" s="47">
        <f>24.8087*27.7032/100</f>
        <v>6.8728037784000007</v>
      </c>
      <c r="N20" s="47">
        <f>28.4729*27.7032/100</f>
        <v>7.8879044328000001</v>
      </c>
    </row>
    <row r="21" spans="1:15" x14ac:dyDescent="0.2">
      <c r="A21" s="45">
        <v>1988</v>
      </c>
      <c r="B21" s="70">
        <f t="shared" si="0"/>
        <v>7.8879044328000001</v>
      </c>
      <c r="C21" s="47">
        <v>9.1075999999999997</v>
      </c>
      <c r="D21" s="47">
        <v>9.8673000000000002</v>
      </c>
      <c r="E21" s="47">
        <v>10.372999999999999</v>
      </c>
      <c r="F21" s="47">
        <v>10.692</v>
      </c>
      <c r="G21" s="47">
        <v>10.898999999999999</v>
      </c>
      <c r="H21" s="49">
        <v>11.121</v>
      </c>
      <c r="I21" s="47">
        <v>11.307</v>
      </c>
      <c r="J21" s="47">
        <v>11.411</v>
      </c>
      <c r="K21" s="47">
        <v>11.476000000000001</v>
      </c>
      <c r="L21" s="47">
        <v>11.563000000000001</v>
      </c>
      <c r="M21" s="47">
        <f>42.2989*27.7032/100</f>
        <v>11.7181488648</v>
      </c>
      <c r="N21" s="47">
        <f>43.1814*27.7032/100</f>
        <v>11.9626296048</v>
      </c>
    </row>
    <row r="22" spans="1:15" x14ac:dyDescent="0.2">
      <c r="A22" s="45">
        <v>1989</v>
      </c>
      <c r="B22" s="70">
        <f t="shared" si="0"/>
        <v>11.9626296048</v>
      </c>
      <c r="C22" s="47">
        <v>12.256</v>
      </c>
      <c r="D22" s="47">
        <v>12.422000000000001</v>
      </c>
      <c r="E22" s="47">
        <v>12.555999999999999</v>
      </c>
      <c r="F22" s="47">
        <v>12.744</v>
      </c>
      <c r="G22" s="47">
        <v>12.92</v>
      </c>
      <c r="H22" s="49">
        <v>13.077</v>
      </c>
      <c r="I22" s="47">
        <v>13.207000000000001</v>
      </c>
      <c r="J22" s="47">
        <v>13.333</v>
      </c>
      <c r="K22" s="47">
        <v>13.461</v>
      </c>
      <c r="L22" s="47">
        <v>13.66</v>
      </c>
      <c r="M22" s="47">
        <f>49.9996*27.7032/100</f>
        <v>13.8514891872</v>
      </c>
      <c r="N22" s="47">
        <f>51.687*27.7032/100</f>
        <v>14.318952983999997</v>
      </c>
    </row>
    <row r="23" spans="1:15" x14ac:dyDescent="0.2">
      <c r="A23" s="45">
        <v>1990</v>
      </c>
      <c r="B23" s="70">
        <f t="shared" si="0"/>
        <v>14.318952983999997</v>
      </c>
      <c r="C23" s="47">
        <v>15.01</v>
      </c>
      <c r="D23" s="47">
        <v>15.35</v>
      </c>
      <c r="E23" s="47">
        <v>15.621</v>
      </c>
      <c r="F23" s="47">
        <v>15.858000000000001</v>
      </c>
      <c r="G23" s="47">
        <v>16.135000000000002</v>
      </c>
      <c r="H23" s="49">
        <v>16.489999999999998</v>
      </c>
      <c r="I23" s="47">
        <v>16.791</v>
      </c>
      <c r="J23" s="47">
        <v>17.077000000000002</v>
      </c>
      <c r="K23" s="47">
        <v>17.321000000000002</v>
      </c>
      <c r="L23" s="47">
        <v>17.57</v>
      </c>
      <c r="M23" s="47">
        <f>65.1049*27.7032/100</f>
        <v>18.036140656799997</v>
      </c>
      <c r="N23" s="47">
        <f>67.1568*27.7032/100</f>
        <v>18.604582617600002</v>
      </c>
    </row>
    <row r="24" spans="1:15" x14ac:dyDescent="0.2">
      <c r="A24" s="45">
        <v>1991</v>
      </c>
      <c r="B24" s="70">
        <f t="shared" si="0"/>
        <v>18.604582617600002</v>
      </c>
      <c r="C24" s="47">
        <v>19.079000000000001</v>
      </c>
      <c r="D24" s="47">
        <v>19.411999999999999</v>
      </c>
      <c r="E24" s="47">
        <v>19.689</v>
      </c>
      <c r="F24" s="47">
        <v>19.895</v>
      </c>
      <c r="G24" s="47">
        <v>20.088999999999999</v>
      </c>
      <c r="H24" s="49">
        <v>20.3</v>
      </c>
      <c r="I24" s="47">
        <v>20.48</v>
      </c>
      <c r="J24" s="47">
        <v>20.622</v>
      </c>
      <c r="K24" s="47">
        <v>20.827999999999999</v>
      </c>
      <c r="L24" s="47">
        <v>21.07</v>
      </c>
      <c r="M24" s="47">
        <f>77.9438*27.7032/100</f>
        <v>21.592926801599997</v>
      </c>
      <c r="N24" s="47">
        <f>79.7786*27.7032/100</f>
        <v>22.101225115199998</v>
      </c>
    </row>
    <row r="25" spans="1:15" x14ac:dyDescent="0.2">
      <c r="A25" s="45">
        <v>1992</v>
      </c>
      <c r="B25" s="70">
        <f t="shared" si="0"/>
        <v>22.101225115199998</v>
      </c>
      <c r="C25" s="47">
        <v>22.503</v>
      </c>
      <c r="D25" s="47">
        <v>22.77</v>
      </c>
      <c r="E25" s="47">
        <v>23.001000000000001</v>
      </c>
      <c r="F25" s="47">
        <v>23.206</v>
      </c>
      <c r="G25" s="47">
        <v>23.359000000000002</v>
      </c>
      <c r="H25" s="49">
        <v>23.516999999999999</v>
      </c>
      <c r="I25" s="47">
        <v>23.666</v>
      </c>
      <c r="J25" s="47">
        <v>23.811</v>
      </c>
      <c r="K25" s="47">
        <v>24.018000000000001</v>
      </c>
      <c r="L25" s="47">
        <v>24.190999999999999</v>
      </c>
      <c r="M25" s="47">
        <v>24.391999999999999</v>
      </c>
      <c r="N25" s="47">
        <v>24.74</v>
      </c>
    </row>
    <row r="26" spans="1:15" x14ac:dyDescent="0.2">
      <c r="A26" s="45">
        <v>1993</v>
      </c>
      <c r="B26" s="70">
        <f>+N25</f>
        <v>24.74</v>
      </c>
      <c r="C26" s="47">
        <v>25.05</v>
      </c>
      <c r="D26" s="47">
        <v>25.254999999999999</v>
      </c>
      <c r="E26" s="47">
        <v>25.402000000000001</v>
      </c>
      <c r="F26" s="47">
        <v>25.547999999999998</v>
      </c>
      <c r="G26" s="47">
        <v>25.693999999999999</v>
      </c>
      <c r="H26" s="49">
        <v>25.838999999999999</v>
      </c>
      <c r="I26" s="47">
        <v>25.963000000000001</v>
      </c>
      <c r="J26" s="47">
        <v>26.102</v>
      </c>
      <c r="K26" s="47">
        <v>26.295000000000002</v>
      </c>
      <c r="L26" s="47">
        <v>26.402999999999999</v>
      </c>
      <c r="M26" s="47">
        <v>26.518999999999998</v>
      </c>
      <c r="N26" s="47">
        <v>26.721</v>
      </c>
    </row>
    <row r="27" spans="1:15" x14ac:dyDescent="0.2">
      <c r="A27" s="45">
        <v>1994</v>
      </c>
      <c r="B27" s="70">
        <f t="shared" ref="B27:B35" si="1">+N26</f>
        <v>26.721</v>
      </c>
      <c r="C27" s="47">
        <v>26.928000000000001</v>
      </c>
      <c r="D27" s="47">
        <v>27.067</v>
      </c>
      <c r="E27" s="47">
        <v>27.206</v>
      </c>
      <c r="F27" s="47">
        <v>27.338999999999999</v>
      </c>
      <c r="G27" s="47">
        <v>27.471</v>
      </c>
      <c r="H27" s="49">
        <v>27.609000000000002</v>
      </c>
      <c r="I27" s="47">
        <v>27.731000000000002</v>
      </c>
      <c r="J27" s="47">
        <v>27.861000000000001</v>
      </c>
      <c r="K27" s="47">
        <v>28.059000000000001</v>
      </c>
      <c r="L27" s="47">
        <v>28.206</v>
      </c>
      <c r="M27" s="47">
        <v>28.356999999999999</v>
      </c>
      <c r="N27" s="47">
        <v>28.606000000000002</v>
      </c>
    </row>
    <row r="28" spans="1:15" x14ac:dyDescent="0.2">
      <c r="A28" s="50">
        <v>1995</v>
      </c>
      <c r="B28" s="70">
        <f t="shared" si="1"/>
        <v>28.606000000000002</v>
      </c>
      <c r="C28" s="51">
        <v>29.681999999999999</v>
      </c>
      <c r="D28" s="51">
        <v>30.94</v>
      </c>
      <c r="E28" s="51">
        <v>32.764000000000003</v>
      </c>
      <c r="F28" s="51">
        <v>35.375</v>
      </c>
      <c r="G28" s="51">
        <v>36.853000000000002</v>
      </c>
      <c r="H28" s="52">
        <v>38.023000000000003</v>
      </c>
      <c r="I28" s="51">
        <v>37.798000000000002</v>
      </c>
      <c r="J28" s="51">
        <v>39.442</v>
      </c>
      <c r="K28" s="51">
        <v>40.258000000000003</v>
      </c>
      <c r="L28" s="51">
        <v>41.085999999999999</v>
      </c>
      <c r="M28" s="51">
        <v>42.098999999999997</v>
      </c>
      <c r="N28" s="51">
        <v>43.470999999999997</v>
      </c>
    </row>
    <row r="29" spans="1:15" x14ac:dyDescent="0.2">
      <c r="A29" s="45">
        <v>1996</v>
      </c>
      <c r="B29" s="70">
        <f t="shared" si="1"/>
        <v>43.470999999999997</v>
      </c>
      <c r="C29" s="47">
        <v>45.033000000000001</v>
      </c>
      <c r="D29" s="47">
        <v>46.084000000000003</v>
      </c>
      <c r="E29" s="47">
        <v>47.098999999999997</v>
      </c>
      <c r="F29" s="47">
        <v>48.438000000000002</v>
      </c>
      <c r="G29" s="47">
        <v>49.320999999999998</v>
      </c>
      <c r="H29" s="49">
        <v>50.124000000000002</v>
      </c>
      <c r="I29" s="47">
        <v>50.835999999999999</v>
      </c>
      <c r="J29" s="47">
        <v>51.512</v>
      </c>
      <c r="K29" s="47">
        <v>52.335999999999999</v>
      </c>
      <c r="L29" s="47">
        <v>52.988999999999997</v>
      </c>
      <c r="M29" s="47">
        <v>53.792000000000002</v>
      </c>
      <c r="N29" s="47">
        <v>55.514000000000003</v>
      </c>
    </row>
    <row r="30" spans="1:15" x14ac:dyDescent="0.2">
      <c r="A30" s="45">
        <v>1997</v>
      </c>
      <c r="B30" s="70">
        <f t="shared" si="1"/>
        <v>55.514000000000003</v>
      </c>
      <c r="C30" s="47">
        <v>56.942</v>
      </c>
      <c r="D30" s="47">
        <v>57.898000000000003</v>
      </c>
      <c r="E30" s="47">
        <v>58.619</v>
      </c>
      <c r="F30" s="47">
        <v>59.252000000000002</v>
      </c>
      <c r="G30" s="47">
        <v>59.792999999999999</v>
      </c>
      <c r="H30" s="49">
        <v>60.323999999999998</v>
      </c>
      <c r="I30" s="47">
        <v>60.848999999999997</v>
      </c>
      <c r="J30" s="47">
        <v>61.39</v>
      </c>
      <c r="K30" s="47">
        <v>62.155000000000001</v>
      </c>
      <c r="L30" s="47">
        <v>62.652000000000001</v>
      </c>
      <c r="M30" s="47">
        <v>63.351999999999997</v>
      </c>
      <c r="N30" s="47">
        <v>64.239999999999995</v>
      </c>
      <c r="O30" s="53"/>
    </row>
    <row r="31" spans="1:15" x14ac:dyDescent="0.2">
      <c r="A31" s="45">
        <v>1998</v>
      </c>
      <c r="B31" s="70">
        <f t="shared" si="1"/>
        <v>64.239999999999995</v>
      </c>
      <c r="C31" s="47">
        <v>65.638000000000005</v>
      </c>
      <c r="D31" s="47">
        <v>66.787000000000006</v>
      </c>
      <c r="E31" s="47">
        <v>67.569000000000003</v>
      </c>
      <c r="F31" s="47">
        <v>68.200999999999993</v>
      </c>
      <c r="G31" s="47">
        <v>68.745000000000005</v>
      </c>
      <c r="H31" s="49">
        <v>69.557000000000002</v>
      </c>
      <c r="I31" s="47">
        <v>70.227999999999994</v>
      </c>
      <c r="J31" s="47">
        <v>70.903000000000006</v>
      </c>
      <c r="K31" s="47">
        <v>72.052999999999997</v>
      </c>
      <c r="L31" s="47">
        <v>73.084999999999994</v>
      </c>
      <c r="M31" s="47">
        <v>74.38</v>
      </c>
      <c r="N31" s="47">
        <v>76.194000000000003</v>
      </c>
    </row>
    <row r="32" spans="1:15" x14ac:dyDescent="0.2">
      <c r="A32">
        <v>1999</v>
      </c>
      <c r="B32" s="70">
        <f t="shared" si="1"/>
        <v>76.194000000000003</v>
      </c>
      <c r="C32" s="47">
        <v>78.119</v>
      </c>
      <c r="D32" s="47">
        <v>79.168999999999997</v>
      </c>
      <c r="E32" s="47">
        <v>79.903999999999996</v>
      </c>
      <c r="F32" s="47">
        <v>80.637</v>
      </c>
      <c r="G32" s="47">
        <v>81.122</v>
      </c>
      <c r="H32" s="49">
        <v>81.655000000000001</v>
      </c>
      <c r="I32" s="47">
        <v>82.194999999999993</v>
      </c>
      <c r="J32" s="47">
        <v>82.658000000000001</v>
      </c>
      <c r="K32" s="47">
        <v>83.456000000000003</v>
      </c>
      <c r="L32" s="47">
        <v>83.984999999999999</v>
      </c>
      <c r="M32" s="47">
        <v>84.731999999999999</v>
      </c>
      <c r="N32" s="47">
        <v>85.581000000000003</v>
      </c>
    </row>
    <row r="33" spans="1:17" x14ac:dyDescent="0.2">
      <c r="A33">
        <v>2000</v>
      </c>
      <c r="B33" s="70">
        <f t="shared" si="1"/>
        <v>85.581000000000003</v>
      </c>
      <c r="C33" s="47">
        <v>86.73</v>
      </c>
      <c r="D33" s="47">
        <v>87.498999999999995</v>
      </c>
      <c r="E33" s="47">
        <v>87.983999999999995</v>
      </c>
      <c r="F33" s="47">
        <v>88.484999999999999</v>
      </c>
      <c r="G33" s="47">
        <v>88.816000000000003</v>
      </c>
      <c r="H33" s="49">
        <v>89.341999999999999</v>
      </c>
      <c r="I33" s="47">
        <v>89.69</v>
      </c>
      <c r="J33" s="47">
        <v>90.183000000000007</v>
      </c>
      <c r="K33" s="47">
        <v>90.841999999999999</v>
      </c>
      <c r="L33" s="47">
        <v>91.466999999999999</v>
      </c>
      <c r="M33" s="47">
        <v>92.248999999999995</v>
      </c>
      <c r="N33" s="47">
        <v>93.248000000000005</v>
      </c>
    </row>
    <row r="34" spans="1:17" x14ac:dyDescent="0.2">
      <c r="A34">
        <v>2001</v>
      </c>
      <c r="B34" s="70">
        <f t="shared" si="1"/>
        <v>93.248000000000005</v>
      </c>
      <c r="C34" s="47">
        <v>93.765000000000001</v>
      </c>
      <c r="D34" s="47">
        <v>93.703000000000003</v>
      </c>
      <c r="E34" s="47">
        <v>94.296999999999997</v>
      </c>
      <c r="F34" s="47">
        <v>94.772000000000006</v>
      </c>
      <c r="G34" s="47">
        <v>94.99</v>
      </c>
      <c r="H34" s="49">
        <v>95.215000000000003</v>
      </c>
      <c r="I34" s="47">
        <v>94.966999999999999</v>
      </c>
      <c r="J34" s="47">
        <v>95.53</v>
      </c>
      <c r="K34" s="47">
        <v>96.418999999999997</v>
      </c>
      <c r="L34" s="47">
        <v>96.855000000000004</v>
      </c>
      <c r="M34" s="47">
        <v>97.22</v>
      </c>
      <c r="N34" s="47">
        <v>97.353999999999999</v>
      </c>
    </row>
    <row r="35" spans="1:17" x14ac:dyDescent="0.2">
      <c r="A35">
        <v>2002</v>
      </c>
      <c r="B35" s="70">
        <f t="shared" si="1"/>
        <v>97.353999999999999</v>
      </c>
      <c r="C35" s="47">
        <v>98.253</v>
      </c>
      <c r="D35" s="47">
        <v>98.19</v>
      </c>
      <c r="E35" s="47">
        <v>98.691999999999993</v>
      </c>
      <c r="F35" s="47">
        <v>99.230999999999995</v>
      </c>
      <c r="G35" s="47">
        <v>99.432000000000002</v>
      </c>
      <c r="H35" s="49">
        <v>99.917000000000002</v>
      </c>
      <c r="I35" s="47">
        <v>100.20399999999999</v>
      </c>
      <c r="J35" s="47">
        <v>100.58499999999999</v>
      </c>
      <c r="K35" s="47">
        <v>101.19</v>
      </c>
      <c r="L35" s="47">
        <v>101.636</v>
      </c>
      <c r="M35" s="47">
        <v>102.458</v>
      </c>
      <c r="N35" s="47">
        <v>102.904</v>
      </c>
    </row>
    <row r="36" spans="1:17" x14ac:dyDescent="0.2">
      <c r="A36">
        <v>2003</v>
      </c>
      <c r="B36" s="70">
        <f>+N35</f>
        <v>102.904</v>
      </c>
      <c r="C36" s="45">
        <v>103.32</v>
      </c>
      <c r="D36" s="45">
        <v>103.607</v>
      </c>
      <c r="E36" s="45">
        <v>104.261</v>
      </c>
      <c r="F36" s="45">
        <v>104.43899999999999</v>
      </c>
      <c r="G36" s="45">
        <v>104.102</v>
      </c>
      <c r="H36" s="46">
        <v>104.188</v>
      </c>
      <c r="I36" s="45">
        <v>104.339</v>
      </c>
      <c r="J36" s="45">
        <v>104.652</v>
      </c>
      <c r="K36" s="45">
        <v>105.27500000000001</v>
      </c>
      <c r="L36" s="45">
        <v>105.661</v>
      </c>
      <c r="M36" s="45">
        <v>106.538</v>
      </c>
      <c r="N36" s="45">
        <v>106.996</v>
      </c>
      <c r="O36">
        <f>TRUNC(N36/N35,4)</f>
        <v>1.0397000000000001</v>
      </c>
      <c r="P36" s="54">
        <f t="shared" ref="P36:P46" si="2">+O36-1</f>
        <v>3.9700000000000069E-2</v>
      </c>
    </row>
    <row r="37" spans="1:17" s="55" customFormat="1" x14ac:dyDescent="0.2">
      <c r="A37" s="55">
        <v>2004</v>
      </c>
      <c r="B37" s="71">
        <v>73.783729734575999</v>
      </c>
      <c r="C37" s="56">
        <v>74.2423093102</v>
      </c>
      <c r="D37" s="56">
        <v>74.686407425541006</v>
      </c>
      <c r="E37" s="56">
        <v>74.939488183818</v>
      </c>
      <c r="F37" s="56">
        <v>75.052581492694003</v>
      </c>
      <c r="G37" s="56">
        <v>74.864322509016006</v>
      </c>
      <c r="H37" s="49">
        <v>74.984311751359996</v>
      </c>
      <c r="I37" s="56">
        <v>75.180845855198996</v>
      </c>
      <c r="J37" s="56">
        <v>75.644942177597997</v>
      </c>
      <c r="K37" s="56">
        <v>76.270403343148999</v>
      </c>
      <c r="L37" s="56">
        <v>76.798631846800006</v>
      </c>
      <c r="M37" s="56">
        <v>77.453745526263006</v>
      </c>
      <c r="N37" s="56">
        <v>77.613731182722006</v>
      </c>
      <c r="O37" s="55">
        <f t="shared" ref="O37:O42" si="3">TRUNC(N37/N36,4)</f>
        <v>0.72529999999999994</v>
      </c>
      <c r="P37" s="57">
        <f t="shared" si="2"/>
        <v>-0.27470000000000006</v>
      </c>
      <c r="Q37" s="55" t="s">
        <v>48</v>
      </c>
    </row>
    <row r="38" spans="1:17" x14ac:dyDescent="0.2">
      <c r="A38">
        <v>2005</v>
      </c>
      <c r="B38" s="70">
        <v>77.613731182722006</v>
      </c>
      <c r="C38" s="47">
        <v>77.616489556109002</v>
      </c>
      <c r="D38" s="47">
        <v>77.875087061160002</v>
      </c>
      <c r="E38" s="47">
        <v>78.226090074683</v>
      </c>
      <c r="F38" s="47">
        <v>78.504685786791995</v>
      </c>
      <c r="G38" s="47">
        <v>78.307462089606005</v>
      </c>
      <c r="H38" s="49">
        <v>78.232296414803997</v>
      </c>
      <c r="I38" s="47">
        <v>78.538475860784999</v>
      </c>
      <c r="J38" s="47">
        <v>78.632260555949998</v>
      </c>
      <c r="K38" s="47">
        <v>78.947404715439006</v>
      </c>
      <c r="L38" s="47">
        <v>79.141180445890996</v>
      </c>
      <c r="M38" s="47">
        <v>79.710784550350994</v>
      </c>
      <c r="N38" s="54">
        <v>80.200395826581001</v>
      </c>
      <c r="O38">
        <f t="shared" si="3"/>
        <v>1.0333000000000001</v>
      </c>
      <c r="P38" s="54">
        <f t="shared" si="2"/>
        <v>3.3300000000000107E-2</v>
      </c>
    </row>
    <row r="39" spans="1:17" x14ac:dyDescent="0.2">
      <c r="A39">
        <v>2006</v>
      </c>
      <c r="B39" s="70">
        <v>80.200395826581001</v>
      </c>
      <c r="C39" s="47">
        <v>80.670698489100999</v>
      </c>
      <c r="D39" s="47">
        <v>80.794135698179005</v>
      </c>
      <c r="E39" s="47">
        <v>80.895505920158996</v>
      </c>
      <c r="F39" s="47">
        <v>81.014115975809005</v>
      </c>
      <c r="G39" s="47">
        <v>80.653458655430995</v>
      </c>
      <c r="H39" s="49">
        <v>80.723107583458003</v>
      </c>
      <c r="I39" s="47">
        <v>80.944467047781998</v>
      </c>
      <c r="J39" s="47">
        <v>81.357533462516997</v>
      </c>
      <c r="K39" s="47">
        <v>82.178839138559994</v>
      </c>
      <c r="L39" s="47">
        <v>82.538117272245003</v>
      </c>
      <c r="M39" s="47">
        <v>82.971181894037002</v>
      </c>
      <c r="N39" s="47">
        <v>83.451138863411998</v>
      </c>
      <c r="O39">
        <f t="shared" si="3"/>
        <v>1.0405</v>
      </c>
      <c r="P39" s="54">
        <f t="shared" si="2"/>
        <v>4.049999999999998E-2</v>
      </c>
    </row>
    <row r="40" spans="1:17" x14ac:dyDescent="0.2">
      <c r="A40">
        <v>2007</v>
      </c>
      <c r="B40" s="70">
        <v>83.451138863411998</v>
      </c>
      <c r="C40" s="47">
        <v>83.882134705164006</v>
      </c>
      <c r="D40" s="47">
        <v>84.116596443077995</v>
      </c>
      <c r="E40" s="47">
        <v>84.298649086634001</v>
      </c>
      <c r="F40" s="47">
        <v>84.248308772317003</v>
      </c>
      <c r="G40" s="47">
        <v>83.837311137621995</v>
      </c>
      <c r="H40" s="49">
        <v>83.937991766254996</v>
      </c>
      <c r="I40" s="47">
        <v>84.294511526552995</v>
      </c>
      <c r="J40" s="47">
        <v>84.637929013261001</v>
      </c>
      <c r="K40" s="47">
        <v>85.295111472765001</v>
      </c>
      <c r="L40" s="47">
        <v>85.627495465924</v>
      </c>
      <c r="M40" s="47">
        <v>86.231579237724006</v>
      </c>
      <c r="N40" s="47">
        <v>86.588098998020996</v>
      </c>
      <c r="O40">
        <f>TRUNC(N40/N39,4)</f>
        <v>1.0375000000000001</v>
      </c>
      <c r="P40" s="54">
        <f t="shared" si="2"/>
        <v>3.7500000000000089E-2</v>
      </c>
      <c r="Q40" s="45"/>
    </row>
    <row r="41" spans="1:17" x14ac:dyDescent="0.2">
      <c r="A41">
        <v>2008</v>
      </c>
      <c r="B41" s="70">
        <v>86.588098998020996</v>
      </c>
      <c r="C41" s="47">
        <v>86.989442325859997</v>
      </c>
      <c r="D41" s="47">
        <v>87.248039830912006</v>
      </c>
      <c r="E41" s="47">
        <v>87.880396929930001</v>
      </c>
      <c r="F41" s="47">
        <v>88.080379000503001</v>
      </c>
      <c r="G41" s="47">
        <v>87.985215118645002</v>
      </c>
      <c r="H41" s="49">
        <v>88.349320405756998</v>
      </c>
      <c r="I41" s="47">
        <v>88.841690055374002</v>
      </c>
      <c r="J41" s="47">
        <v>89.354747505396006</v>
      </c>
      <c r="K41" s="47">
        <v>89.963658430622999</v>
      </c>
      <c r="L41" s="47">
        <v>90.576706915931993</v>
      </c>
      <c r="M41" s="56">
        <v>91.606269782709006</v>
      </c>
      <c r="N41" s="56">
        <v>92.240695661768001</v>
      </c>
      <c r="O41">
        <f t="shared" si="3"/>
        <v>1.0651999999999999</v>
      </c>
      <c r="P41" s="54">
        <f t="shared" si="2"/>
        <v>6.5199999999999925E-2</v>
      </c>
      <c r="Q41" s="47"/>
    </row>
    <row r="42" spans="1:17" x14ac:dyDescent="0.2">
      <c r="A42">
        <v>2009</v>
      </c>
      <c r="B42" s="70">
        <v>92.240695661768001</v>
      </c>
      <c r="C42" s="47">
        <v>92.454469599277004</v>
      </c>
      <c r="D42" s="47">
        <v>92.658589229930996</v>
      </c>
      <c r="E42" s="47">
        <v>93.19164488701</v>
      </c>
      <c r="F42" s="47">
        <v>93.517822540048002</v>
      </c>
      <c r="G42" s="47">
        <v>93.245433168060998</v>
      </c>
      <c r="H42" s="49">
        <v>93.417141911415001</v>
      </c>
      <c r="I42" s="47">
        <v>93.671601856384996</v>
      </c>
      <c r="J42" s="47">
        <v>93.895719694096002</v>
      </c>
      <c r="K42" s="47">
        <v>94.366711949963005</v>
      </c>
      <c r="L42" s="47">
        <v>94.652203595540001</v>
      </c>
      <c r="M42" s="56">
        <v>95.143194058464005</v>
      </c>
      <c r="N42" s="56">
        <v>95.536951859487999</v>
      </c>
      <c r="O42">
        <f t="shared" si="3"/>
        <v>1.0357000000000001</v>
      </c>
      <c r="P42" s="54">
        <f t="shared" si="2"/>
        <v>3.5700000000000065E-2</v>
      </c>
      <c r="Q42" s="47"/>
    </row>
    <row r="43" spans="1:17" s="58" customFormat="1" x14ac:dyDescent="0.2">
      <c r="A43" s="58">
        <v>2010</v>
      </c>
      <c r="B43" s="70">
        <f>+N42</f>
        <v>95.536951859487999</v>
      </c>
      <c r="C43" s="58">
        <v>96.575479439774</v>
      </c>
      <c r="D43" s="58">
        <v>97.134050050685005</v>
      </c>
      <c r="E43" s="58">
        <v>97.823643397488993</v>
      </c>
      <c r="F43" s="58">
        <v>97.511947204733005</v>
      </c>
      <c r="G43" s="58">
        <v>96.897519532732005</v>
      </c>
      <c r="H43" s="60">
        <v>96.867177425471994</v>
      </c>
      <c r="I43" s="58">
        <v>97.077503396246996</v>
      </c>
      <c r="J43" s="58">
        <v>97.347134394847004</v>
      </c>
      <c r="K43" s="58">
        <v>97.857433470000004</v>
      </c>
      <c r="L43" s="58">
        <v>98.461517243282003</v>
      </c>
      <c r="M43" s="77">
        <v>99.250412032024997</v>
      </c>
      <c r="N43" s="77">
        <v>99.742092088296005</v>
      </c>
      <c r="O43" s="59">
        <f>TRUNC(N43/N42,4)</f>
        <v>1.044</v>
      </c>
      <c r="P43" s="59">
        <f t="shared" si="2"/>
        <v>4.4000000000000039E-2</v>
      </c>
      <c r="Q43" s="47"/>
    </row>
    <row r="44" spans="1:17" x14ac:dyDescent="0.2">
      <c r="A44">
        <v>2011</v>
      </c>
      <c r="B44" s="70">
        <f>+N42</f>
        <v>95.536951859487999</v>
      </c>
      <c r="C44">
        <v>100.22799999999999</v>
      </c>
      <c r="D44">
        <v>100.604</v>
      </c>
      <c r="E44">
        <v>100.797</v>
      </c>
      <c r="F44">
        <v>100.789</v>
      </c>
      <c r="G44" s="61">
        <v>100.04600000000001</v>
      </c>
      <c r="H44" s="62">
        <v>100.041</v>
      </c>
      <c r="I44">
        <v>100.521</v>
      </c>
      <c r="J44">
        <v>100.68</v>
      </c>
      <c r="K44">
        <v>100.92700000000001</v>
      </c>
      <c r="L44">
        <v>101.608</v>
      </c>
      <c r="M44" s="55">
        <v>102.70699999999999</v>
      </c>
      <c r="N44" s="55">
        <v>103.551</v>
      </c>
      <c r="O44" s="54">
        <f>TRUNC(N44/N42,4)</f>
        <v>1.0838000000000001</v>
      </c>
      <c r="P44" s="63">
        <f t="shared" si="2"/>
        <v>8.3800000000000097E-2</v>
      </c>
      <c r="Q44" s="47"/>
    </row>
    <row r="45" spans="1:17" x14ac:dyDescent="0.2">
      <c r="A45">
        <v>2012</v>
      </c>
      <c r="B45" s="70">
        <f>+N44</f>
        <v>103.551</v>
      </c>
      <c r="C45">
        <v>104.28400000000001</v>
      </c>
      <c r="D45">
        <v>104.496</v>
      </c>
      <c r="E45">
        <v>104.556</v>
      </c>
      <c r="F45">
        <v>104.22799999999999</v>
      </c>
      <c r="G45">
        <v>103.899</v>
      </c>
      <c r="H45" s="62">
        <v>104.378</v>
      </c>
      <c r="I45">
        <v>104.964</v>
      </c>
      <c r="J45">
        <v>105.279</v>
      </c>
      <c r="K45">
        <v>105.74299999999999</v>
      </c>
      <c r="L45">
        <v>106.27800000000001</v>
      </c>
      <c r="M45" s="78">
        <v>107</v>
      </c>
      <c r="N45" s="78">
        <v>107.246</v>
      </c>
      <c r="O45" s="54">
        <f>TRUNC(N45/N44,4)</f>
        <v>1.0356000000000001</v>
      </c>
      <c r="P45" s="63">
        <f t="shared" si="2"/>
        <v>3.5600000000000076E-2</v>
      </c>
      <c r="Q45" s="47"/>
    </row>
    <row r="46" spans="1:17" x14ac:dyDescent="0.2">
      <c r="A46">
        <v>2013</v>
      </c>
      <c r="B46" s="72">
        <f>+N45</f>
        <v>107.246</v>
      </c>
      <c r="C46" s="65">
        <v>107.678</v>
      </c>
      <c r="D46" s="64">
        <v>108.208</v>
      </c>
      <c r="E46" s="64">
        <v>109.002</v>
      </c>
      <c r="F46" s="65">
        <v>109.074</v>
      </c>
      <c r="G46" s="64">
        <v>108.711</v>
      </c>
      <c r="H46" s="66">
        <v>108.645</v>
      </c>
      <c r="I46" s="64">
        <v>108.60899999999999</v>
      </c>
      <c r="J46" s="64">
        <v>108.91800000000001</v>
      </c>
      <c r="K46" s="64">
        <v>109.328</v>
      </c>
      <c r="L46" s="64">
        <v>109.848</v>
      </c>
      <c r="M46" s="79">
        <v>110.872</v>
      </c>
      <c r="N46" s="79">
        <v>111.508</v>
      </c>
      <c r="O46" s="54">
        <f>TRUNC(J46/N45,4)</f>
        <v>1.0155000000000001</v>
      </c>
      <c r="P46" s="63">
        <f t="shared" si="2"/>
        <v>1.5500000000000069E-2</v>
      </c>
      <c r="Q46" s="47"/>
    </row>
    <row r="47" spans="1:17" x14ac:dyDescent="0.2">
      <c r="A47">
        <v>2014</v>
      </c>
      <c r="B47" s="72">
        <f>+N46</f>
        <v>111.508</v>
      </c>
      <c r="C47">
        <v>112.505</v>
      </c>
      <c r="D47" s="61">
        <v>112.79</v>
      </c>
      <c r="E47">
        <v>113.099</v>
      </c>
      <c r="F47" s="61">
        <v>112.88800000000001</v>
      </c>
      <c r="G47">
        <v>112.527</v>
      </c>
      <c r="H47" s="62">
        <v>112.72199999999999</v>
      </c>
      <c r="I47">
        <v>113.032</v>
      </c>
      <c r="J47">
        <v>113.438</v>
      </c>
      <c r="K47">
        <v>113.93899999999999</v>
      </c>
      <c r="L47">
        <v>114.569</v>
      </c>
      <c r="M47">
        <v>115.43899999999999</v>
      </c>
      <c r="N47">
        <v>116.059</v>
      </c>
      <c r="O47" s="47"/>
      <c r="P47" s="47"/>
      <c r="Q47" s="47"/>
    </row>
    <row r="48" spans="1:17" x14ac:dyDescent="0.2">
      <c r="A48">
        <v>2015</v>
      </c>
      <c r="B48" s="72">
        <f>+N47</f>
        <v>116.059</v>
      </c>
      <c r="C48">
        <v>116.059</v>
      </c>
      <c r="D48">
        <v>116.17400000000001</v>
      </c>
      <c r="E48">
        <v>116.64700000000001</v>
      </c>
      <c r="F48">
        <v>116.345</v>
      </c>
      <c r="G48" s="64">
        <v>115.764</v>
      </c>
      <c r="H48" s="62">
        <v>115.958</v>
      </c>
      <c r="I48">
        <v>116.128</v>
      </c>
      <c r="J48">
        <v>116.373</v>
      </c>
      <c r="K48">
        <v>116.809</v>
      </c>
      <c r="L48">
        <v>117.41</v>
      </c>
      <c r="M48">
        <v>118.051</v>
      </c>
      <c r="N48">
        <v>118.532</v>
      </c>
      <c r="O48" s="47"/>
      <c r="P48" s="47"/>
      <c r="Q48" s="47"/>
    </row>
    <row r="49" spans="1:17" x14ac:dyDescent="0.2">
      <c r="A49">
        <v>2016</v>
      </c>
      <c r="B49">
        <v>118.532</v>
      </c>
      <c r="C49">
        <v>118.98399999999999</v>
      </c>
      <c r="D49">
        <v>119.505</v>
      </c>
      <c r="E49">
        <v>119.681</v>
      </c>
      <c r="O49" s="47"/>
      <c r="P49" s="47"/>
      <c r="Q49" s="47"/>
    </row>
    <row r="50" spans="1:17" x14ac:dyDescent="0.2">
      <c r="O50" s="47"/>
      <c r="P50" s="47"/>
      <c r="Q50" s="47"/>
    </row>
    <row r="51" spans="1:17" x14ac:dyDescent="0.2">
      <c r="O51" s="47"/>
      <c r="P51" s="47"/>
      <c r="Q51" s="47"/>
    </row>
    <row r="52" spans="1:17" x14ac:dyDescent="0.2">
      <c r="O52" s="47"/>
      <c r="P52" s="47"/>
      <c r="Q52" s="47"/>
    </row>
    <row r="53" spans="1:17" x14ac:dyDescent="0.2">
      <c r="O53" s="47"/>
      <c r="P53" s="47"/>
      <c r="Q53" s="47"/>
    </row>
    <row r="54" spans="1:17" x14ac:dyDescent="0.2">
      <c r="O54" s="47"/>
      <c r="P54" s="47"/>
      <c r="Q54" s="47"/>
    </row>
    <row r="65" spans="13:16" x14ac:dyDescent="0.2">
      <c r="M65" t="s">
        <v>47</v>
      </c>
    </row>
    <row r="66" spans="13:16" x14ac:dyDescent="0.2">
      <c r="M66" t="s">
        <v>47</v>
      </c>
    </row>
    <row r="67" spans="13:16" x14ac:dyDescent="0.2">
      <c r="M67" t="s">
        <v>47</v>
      </c>
    </row>
    <row r="68" spans="13:16" x14ac:dyDescent="0.2">
      <c r="M68" t="s">
        <v>47</v>
      </c>
    </row>
    <row r="69" spans="13:16" x14ac:dyDescent="0.2">
      <c r="M69" t="s">
        <v>47</v>
      </c>
    </row>
    <row r="70" spans="13:16" x14ac:dyDescent="0.2">
      <c r="M70" t="s">
        <v>47</v>
      </c>
    </row>
    <row r="71" spans="13:16" x14ac:dyDescent="0.2">
      <c r="M71" t="s">
        <v>47</v>
      </c>
    </row>
    <row r="72" spans="13:16" x14ac:dyDescent="0.2">
      <c r="M72" t="s">
        <v>47</v>
      </c>
    </row>
    <row r="73" spans="13:16" x14ac:dyDescent="0.2">
      <c r="M73" t="s">
        <v>47</v>
      </c>
    </row>
    <row r="74" spans="13:16" x14ac:dyDescent="0.2">
      <c r="M74" t="s">
        <v>47</v>
      </c>
    </row>
    <row r="75" spans="13:16" x14ac:dyDescent="0.2">
      <c r="M75" t="s">
        <v>47</v>
      </c>
      <c r="P75" t="s">
        <v>47</v>
      </c>
    </row>
    <row r="348" spans="5:5" x14ac:dyDescent="0.2">
      <c r="E348" s="67">
        <f>[1]BalGen!D17+[1]BalGen!D18</f>
        <v>3457562.95</v>
      </c>
    </row>
  </sheetData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calculo</vt:lpstr>
      <vt:lpstr>INDICES</vt:lpstr>
      <vt:lpstr>Hoja3</vt:lpstr>
      <vt:lpstr>calculo!Área_de_impresión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Gildardo Enrique Santana Anaya</cp:lastModifiedBy>
  <cp:lastPrinted>2015-02-01T00:59:20Z</cp:lastPrinted>
  <dcterms:created xsi:type="dcterms:W3CDTF">2014-04-01T16:50:44Z</dcterms:created>
  <dcterms:modified xsi:type="dcterms:W3CDTF">2016-08-17T15:20:38Z</dcterms:modified>
</cp:coreProperties>
</file>