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MARRE IVA\IVA 2014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0">Hoja1!$A$1:$N$55</definedName>
  </definedNames>
  <calcPr calcId="15251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C11" i="1"/>
  <c r="D11" i="1"/>
  <c r="H11" i="1"/>
  <c r="I11" i="1"/>
  <c r="J11" i="1"/>
  <c r="K11" i="1"/>
  <c r="O11" i="1"/>
  <c r="J12" i="1"/>
  <c r="O12" i="1"/>
  <c r="C13" i="1"/>
  <c r="D13" i="1"/>
  <c r="D23" i="1" s="1"/>
  <c r="D28" i="1" s="1"/>
  <c r="D30" i="1" s="1"/>
  <c r="D32" i="1" s="1"/>
  <c r="D34" i="1" s="1"/>
  <c r="D38" i="1" s="1"/>
  <c r="E13" i="1"/>
  <c r="F13" i="1"/>
  <c r="G13" i="1"/>
  <c r="H13" i="1"/>
  <c r="H23" i="1" s="1"/>
  <c r="H28" i="1" s="1"/>
  <c r="H30" i="1" s="1"/>
  <c r="H32" i="1" s="1"/>
  <c r="H34" i="1" s="1"/>
  <c r="H38" i="1" s="1"/>
  <c r="I13" i="1"/>
  <c r="J13" i="1"/>
  <c r="K13" i="1"/>
  <c r="L13" i="1"/>
  <c r="L23" i="1" s="1"/>
  <c r="L28" i="1" s="1"/>
  <c r="L30" i="1" s="1"/>
  <c r="L32" i="1" s="1"/>
  <c r="L34" i="1" s="1"/>
  <c r="L38" i="1" s="1"/>
  <c r="M13" i="1"/>
  <c r="N13" i="1"/>
  <c r="I19" i="1"/>
  <c r="J19" i="1"/>
  <c r="J22" i="1" s="1"/>
  <c r="J23" i="1" s="1"/>
  <c r="J28" i="1" s="1"/>
  <c r="J30" i="1" s="1"/>
  <c r="J32" i="1" s="1"/>
  <c r="J34" i="1" s="1"/>
  <c r="J38" i="1" s="1"/>
  <c r="K19" i="1"/>
  <c r="C22" i="1"/>
  <c r="D22" i="1"/>
  <c r="E22" i="1"/>
  <c r="F22" i="1"/>
  <c r="G22" i="1"/>
  <c r="H22" i="1"/>
  <c r="I22" i="1"/>
  <c r="K22" i="1"/>
  <c r="L22" i="1"/>
  <c r="M22" i="1"/>
  <c r="N22" i="1"/>
  <c r="C23" i="1"/>
  <c r="E23" i="1"/>
  <c r="F23" i="1"/>
  <c r="G23" i="1"/>
  <c r="I23" i="1"/>
  <c r="K23" i="1"/>
  <c r="M23" i="1"/>
  <c r="N23" i="1"/>
  <c r="C28" i="1"/>
  <c r="E28" i="1"/>
  <c r="F28" i="1"/>
  <c r="G28" i="1"/>
  <c r="I28" i="1"/>
  <c r="K28" i="1"/>
  <c r="M28" i="1"/>
  <c r="N28" i="1"/>
  <c r="C30" i="1"/>
  <c r="E30" i="1"/>
  <c r="F30" i="1"/>
  <c r="G30" i="1"/>
  <c r="I30" i="1"/>
  <c r="K30" i="1"/>
  <c r="M30" i="1"/>
  <c r="N30" i="1"/>
  <c r="C32" i="1"/>
  <c r="E32" i="1"/>
  <c r="F32" i="1"/>
  <c r="G32" i="1"/>
  <c r="I32" i="1"/>
  <c r="K32" i="1"/>
  <c r="M32" i="1"/>
  <c r="N32" i="1"/>
  <c r="C34" i="1"/>
  <c r="E34" i="1"/>
  <c r="F34" i="1"/>
  <c r="G34" i="1"/>
  <c r="I34" i="1"/>
  <c r="K34" i="1"/>
  <c r="M34" i="1"/>
  <c r="N34" i="1"/>
  <c r="C38" i="1"/>
  <c r="E38" i="1"/>
  <c r="E61" i="1" s="1"/>
  <c r="F38" i="1"/>
  <c r="G38" i="1"/>
  <c r="I38" i="1"/>
  <c r="I61" i="1" s="1"/>
  <c r="K38" i="1"/>
  <c r="M38" i="1"/>
  <c r="M61" i="1" s="1"/>
  <c r="N38" i="1"/>
  <c r="C42" i="1"/>
  <c r="C48" i="1" s="1"/>
  <c r="C52" i="1" s="1"/>
  <c r="C54" i="1" s="1"/>
  <c r="C55" i="1" s="1"/>
  <c r="E42" i="1"/>
  <c r="E48" i="1" s="1"/>
  <c r="E52" i="1" s="1"/>
  <c r="E54" i="1" s="1"/>
  <c r="E55" i="1" s="1"/>
  <c r="F42" i="1"/>
  <c r="G42" i="1"/>
  <c r="G48" i="1" s="1"/>
  <c r="G52" i="1" s="1"/>
  <c r="G54" i="1" s="1"/>
  <c r="G55" i="1" s="1"/>
  <c r="I42" i="1"/>
  <c r="I48" i="1" s="1"/>
  <c r="I52" i="1" s="1"/>
  <c r="I54" i="1" s="1"/>
  <c r="I55" i="1" s="1"/>
  <c r="K42" i="1"/>
  <c r="K48" i="1" s="1"/>
  <c r="K52" i="1" s="1"/>
  <c r="K54" i="1" s="1"/>
  <c r="K55" i="1" s="1"/>
  <c r="N42" i="1"/>
  <c r="C47" i="1"/>
  <c r="D47" i="1"/>
  <c r="E47" i="1"/>
  <c r="F47" i="1"/>
  <c r="G47" i="1"/>
  <c r="H47" i="1"/>
  <c r="I47" i="1"/>
  <c r="J47" i="1"/>
  <c r="K47" i="1"/>
  <c r="L47" i="1"/>
  <c r="M47" i="1"/>
  <c r="N47" i="1"/>
  <c r="F48" i="1"/>
  <c r="N48" i="1"/>
  <c r="D50" i="1"/>
  <c r="E50" i="1"/>
  <c r="F50" i="1"/>
  <c r="G50" i="1"/>
  <c r="H50" i="1"/>
  <c r="I50" i="1"/>
  <c r="J50" i="1"/>
  <c r="K50" i="1"/>
  <c r="L50" i="1"/>
  <c r="M50" i="1"/>
  <c r="N50" i="1"/>
  <c r="F52" i="1"/>
  <c r="N52" i="1"/>
  <c r="F54" i="1"/>
  <c r="N54" i="1"/>
  <c r="F55" i="1"/>
  <c r="N55" i="1"/>
  <c r="C60" i="1"/>
  <c r="F60" i="1"/>
  <c r="G60" i="1"/>
  <c r="K60" i="1"/>
  <c r="N60" i="1"/>
  <c r="C61" i="1"/>
  <c r="F61" i="1"/>
  <c r="G61" i="1"/>
  <c r="K61" i="1"/>
  <c r="N61" i="1"/>
  <c r="C62" i="1"/>
  <c r="C63" i="1" s="1"/>
  <c r="D62" i="1"/>
  <c r="E62" i="1"/>
  <c r="F62" i="1"/>
  <c r="G62" i="1"/>
  <c r="G63" i="1" s="1"/>
  <c r="H62" i="1"/>
  <c r="I62" i="1"/>
  <c r="J62" i="1"/>
  <c r="K62" i="1"/>
  <c r="K63" i="1" s="1"/>
  <c r="L62" i="1"/>
  <c r="M62" i="1"/>
  <c r="N62" i="1"/>
  <c r="O62" i="1"/>
  <c r="F63" i="1"/>
  <c r="F67" i="1" s="1"/>
  <c r="N63" i="1"/>
  <c r="M89" i="1" s="1"/>
  <c r="F66" i="1"/>
  <c r="N66" i="1"/>
  <c r="F68" i="1"/>
  <c r="N68" i="1"/>
  <c r="N77" i="1"/>
  <c r="M81" i="1"/>
  <c r="J42" i="1" l="1"/>
  <c r="J48" i="1" s="1"/>
  <c r="J52" i="1" s="1"/>
  <c r="J54" i="1" s="1"/>
  <c r="J55" i="1" s="1"/>
  <c r="J61" i="1"/>
  <c r="D42" i="1"/>
  <c r="D61" i="1"/>
  <c r="M66" i="1"/>
  <c r="M60" i="1"/>
  <c r="M63" i="1"/>
  <c r="H61" i="1"/>
  <c r="H42" i="1"/>
  <c r="H48" i="1" s="1"/>
  <c r="H52" i="1" s="1"/>
  <c r="H54" i="1" s="1"/>
  <c r="H55" i="1" s="1"/>
  <c r="E66" i="1"/>
  <c r="M80" i="1" s="1"/>
  <c r="E60" i="1"/>
  <c r="E63" i="1"/>
  <c r="L42" i="1"/>
  <c r="L48" i="1" s="1"/>
  <c r="L52" i="1" s="1"/>
  <c r="L54" i="1" s="1"/>
  <c r="L55" i="1" s="1"/>
  <c r="L61" i="1"/>
  <c r="K68" i="1"/>
  <c r="M86" i="1"/>
  <c r="G68" i="1"/>
  <c r="G67" i="1"/>
  <c r="C68" i="1"/>
  <c r="C70" i="1"/>
  <c r="C67" i="1"/>
  <c r="M78" i="1"/>
  <c r="N78" i="1" s="1"/>
  <c r="I66" i="1"/>
  <c r="M84" i="1" s="1"/>
  <c r="I63" i="1"/>
  <c r="I60" i="1"/>
  <c r="N67" i="1"/>
  <c r="K66" i="1"/>
  <c r="K67" i="1" s="1"/>
  <c r="G66" i="1"/>
  <c r="M82" i="1" s="1"/>
  <c r="C66" i="1"/>
  <c r="M42" i="1"/>
  <c r="M48" i="1" s="1"/>
  <c r="M52" i="1" s="1"/>
  <c r="M54" i="1" s="1"/>
  <c r="M55" i="1" s="1"/>
  <c r="E67" i="1" l="1"/>
  <c r="E68" i="1"/>
  <c r="D63" i="1"/>
  <c r="D66" i="1"/>
  <c r="D60" i="1"/>
  <c r="O61" i="1"/>
  <c r="O66" i="1" s="1"/>
  <c r="O69" i="1" s="1"/>
  <c r="M67" i="1"/>
  <c r="M68" i="1"/>
  <c r="M88" i="1"/>
  <c r="D48" i="1"/>
  <c r="D52" i="1" s="1"/>
  <c r="D54" i="1" s="1"/>
  <c r="D55" i="1" s="1"/>
  <c r="O42" i="1"/>
  <c r="H63" i="1"/>
  <c r="H60" i="1"/>
  <c r="H66" i="1"/>
  <c r="M83" i="1" s="1"/>
  <c r="D67" i="1"/>
  <c r="I67" i="1"/>
  <c r="I68" i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L66" i="1"/>
  <c r="L63" i="1"/>
  <c r="L60" i="1"/>
  <c r="J60" i="1"/>
  <c r="J66" i="1"/>
  <c r="J63" i="1"/>
  <c r="M79" i="1" l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D68" i="1"/>
  <c r="O63" i="1"/>
  <c r="M85" i="1"/>
  <c r="J67" i="1"/>
  <c r="J68" i="1"/>
  <c r="L67" i="1"/>
  <c r="M87" i="1"/>
  <c r="L68" i="1"/>
  <c r="H67" i="1"/>
  <c r="H68" i="1"/>
  <c r="O60" i="1"/>
  <c r="O64" i="1" l="1"/>
  <c r="O67" i="1"/>
</calcChain>
</file>

<file path=xl/comments1.xml><?xml version="1.0" encoding="utf-8"?>
<comments xmlns="http://schemas.openxmlformats.org/spreadsheetml/2006/main">
  <authors>
    <author>Marisol Avila</author>
  </authors>
  <commentList>
    <comment ref="C40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pendiente de checar si se va a efectuar ajuste
</t>
        </r>
      </text>
    </comment>
    <comment ref="D63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COMPLEMENTARIA</t>
        </r>
      </text>
    </comment>
    <comment ref="C68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BORRAR Y NO PRESENTAR COMPL</t>
        </r>
      </text>
    </comment>
  </commentList>
</comments>
</file>

<file path=xl/sharedStrings.xml><?xml version="1.0" encoding="utf-8"?>
<sst xmlns="http://schemas.openxmlformats.org/spreadsheetml/2006/main" count="77" uniqueCount="65">
  <si>
    <t>ALECSA CELAYA, S DE RL DE CV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</si>
  <si>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</si>
  <si>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</si>
  <si>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</si>
  <si>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</si>
  <si>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</si>
  <si>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</si>
  <si>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</si>
  <si>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</si>
  <si>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</si>
  <si>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</si>
  <si>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</si>
  <si>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</si>
  <si>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</si>
  <si>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 DE AUTOS NUEVOS</t>
  </si>
  <si>
    <t>VENTA DE AUTOS NUEVOS INTERCAMBIOS</t>
  </si>
  <si>
    <t xml:space="preserve"> VENTA ACTIVO FIJO</t>
  </si>
  <si>
    <t>VENTA AUTO USADOS</t>
  </si>
  <si>
    <t>VENTA F &amp; I</t>
  </si>
  <si>
    <t>VENTA POR SERVICIOS</t>
  </si>
  <si>
    <t>VENTA DE REFACCIONES Y ACCESORIOS</t>
  </si>
  <si>
    <t>SUMA VENTAS</t>
  </si>
  <si>
    <t>600-</t>
  </si>
  <si>
    <t>683-</t>
  </si>
  <si>
    <t>805-GASTOS DE COBRANZA</t>
  </si>
  <si>
    <t>806- INGRESOS POR TRASLADOS</t>
  </si>
  <si>
    <t>809- COMISIONES PRODUC F&amp;I</t>
  </si>
  <si>
    <t>325-005 ISAN</t>
  </si>
  <si>
    <t>INTERCOMPAÑIAS</t>
  </si>
  <si>
    <t>SUMA FINANCIEROS Y OTROS</t>
  </si>
  <si>
    <t>SUBTOTAL</t>
  </si>
  <si>
    <t>DESCUENTOS</t>
  </si>
  <si>
    <t>BONIFICACION GTOS DE COBRANZA</t>
  </si>
  <si>
    <t>TOTAL INGRSOS NETOS</t>
  </si>
  <si>
    <t>BASE PARA IVA CON FLUJO</t>
  </si>
  <si>
    <t>IVA POR PAGAR</t>
  </si>
  <si>
    <t>IVA FACTURADO</t>
  </si>
  <si>
    <t>IVA ACREEDITABLE PAGADO 324-004</t>
  </si>
  <si>
    <t>IMPUESTO A CARGO O A FAVOR</t>
  </si>
  <si>
    <t>IVA PENDIENTE DE ACREEDITAR 324-003</t>
  </si>
  <si>
    <t>IVA POR PAGAR NO COBRADO (IVA FACTURADO)</t>
  </si>
  <si>
    <t>SALDO A FAVOR A CARGO</t>
  </si>
  <si>
    <t>SALDO A FAVOR ANTERIOR Y PP :</t>
  </si>
  <si>
    <t>Sdo Inicial 324 IVA+Debe324-004 IVA PAGADO/SALDO A FAVOR ANTERIOR Y PP</t>
  </si>
  <si>
    <t xml:space="preserve"> </t>
  </si>
  <si>
    <t>SALDO EN INTEGRACION</t>
  </si>
  <si>
    <t xml:space="preserve">SALDO EN LIBROS </t>
  </si>
  <si>
    <t>DIF</t>
  </si>
  <si>
    <t>TASA 16% IVA POR PAGAR</t>
  </si>
  <si>
    <t>PAGO</t>
  </si>
  <si>
    <t>FAVOR</t>
  </si>
  <si>
    <t>REMANENTE</t>
  </si>
  <si>
    <t>complementaria</t>
  </si>
  <si>
    <t>BASE</t>
  </si>
  <si>
    <t>IVA ACREEDITABLE</t>
  </si>
  <si>
    <t>SALDO A -FAVOR O CARGO</t>
  </si>
  <si>
    <t>SALDO 2008</t>
  </si>
  <si>
    <t>SALDO 2009</t>
  </si>
  <si>
    <t>SALDO 2010</t>
  </si>
  <si>
    <t>SALDO A FAVOR 2010</t>
  </si>
  <si>
    <t>APLICACIÓN DE REMANENTE A FAVOR</t>
  </si>
  <si>
    <t>CONCILIACION IVA 2012</t>
  </si>
  <si>
    <t>804-</t>
  </si>
  <si>
    <t>BASE ANTES DE FLUJO</t>
  </si>
  <si>
    <t>PAGOS DE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</si>
</sst>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</font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b/>
      <sz val="10"/>
      <color indexed="20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61"/>
      <name val="Calibri"/>
      <family val="2"/>
    </font>
    <font>
      <sz val="10"/>
      <color indexed="10"/>
      <name val="Calibri"/>
      <family val="2"/>
    </font>
    <font>
      <sz val="10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21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5" fillId="0" borderId="0" xfId="0" applyFont="1"/>
    <xf numFmtId="43" fontId="4" fillId="0" borderId="0" xfId="1" applyFont="1"/>
    <xf numFmtId="43" fontId="6" fillId="0" borderId="0" xfId="1" applyFont="1" applyFill="1" applyAlignment="1">
      <alignment horizontal="center"/>
    </xf>
    <xf numFmtId="43" fontId="4" fillId="0" borderId="0" xfId="1" applyFont="1" applyFill="1"/>
    <xf numFmtId="43" fontId="6" fillId="0" borderId="0" xfId="1" applyFont="1" applyFill="1" applyAlignment="1">
      <alignment horizontal="left"/>
    </xf>
    <xf numFmtId="43" fontId="7" fillId="0" borderId="0" xfId="1" applyFont="1" applyFill="1"/>
    <xf numFmtId="43" fontId="6" fillId="0" borderId="0" xfId="1" applyFont="1" applyFill="1"/>
    <xf numFmtId="43" fontId="8" fillId="0" borderId="0" xfId="1" applyFont="1" applyFill="1" applyAlignment="1">
      <alignment horizontal="right"/>
    </xf>
    <xf numFmtId="0" fontId="4" fillId="0" borderId="0" xfId="1" applyNumberFormat="1" applyFont="1" applyFill="1"/>
    <xf numFmtId="2" fontId="4" fillId="0" borderId="0" xfId="1" applyNumberFormat="1" applyFont="1" applyFill="1"/>
    <xf numFmtId="43" fontId="7" fillId="0" borderId="0" xfId="1" applyFo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3" fontId="4" fillId="0" borderId="1" xfId="1" applyFont="1" applyBorder="1"/>
    <xf numFmtId="3" fontId="4" fillId="0" borderId="1" xfId="1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/>
    <xf numFmtId="3" fontId="4" fillId="0" borderId="0" xfId="0" applyNumberFormat="1" applyFont="1"/>
    <xf numFmtId="3" fontId="11" fillId="0" borderId="0" xfId="0" applyNumberFormat="1" applyFont="1"/>
    <xf numFmtId="3" fontId="12" fillId="0" borderId="1" xfId="0" applyNumberFormat="1" applyFont="1" applyBorder="1"/>
    <xf numFmtId="3" fontId="4" fillId="0" borderId="0" xfId="1" applyNumberFormat="1" applyFont="1"/>
    <xf numFmtId="3" fontId="4" fillId="0" borderId="0" xfId="1" applyNumberFormat="1" applyFont="1" applyFill="1"/>
    <xf numFmtId="3" fontId="6" fillId="2" borderId="2" xfId="1" applyNumberFormat="1" applyFont="1" applyFill="1" applyBorder="1"/>
    <xf numFmtId="3" fontId="4" fillId="0" borderId="0" xfId="0" applyNumberFormat="1" applyFont="1" applyFill="1"/>
    <xf numFmtId="3" fontId="7" fillId="0" borderId="0" xfId="1" applyNumberFormat="1" applyFont="1" applyFill="1"/>
    <xf numFmtId="3" fontId="6" fillId="3" borderId="3" xfId="1" applyNumberFormat="1" applyFont="1" applyFill="1" applyBorder="1"/>
    <xf numFmtId="3" fontId="6" fillId="0" borderId="0" xfId="1" applyNumberFormat="1" applyFont="1" applyFill="1"/>
    <xf numFmtId="3" fontId="6" fillId="4" borderId="3" xfId="1" applyNumberFormat="1" applyFont="1" applyFill="1" applyBorder="1"/>
    <xf numFmtId="3" fontId="6" fillId="4" borderId="0" xfId="1" applyNumberFormat="1" applyFont="1" applyFill="1"/>
    <xf numFmtId="3" fontId="8" fillId="0" borderId="0" xfId="1" applyNumberFormat="1" applyFont="1" applyAlignment="1">
      <alignment horizontal="right"/>
    </xf>
    <xf numFmtId="3" fontId="4" fillId="5" borderId="0" xfId="1" applyNumberFormat="1" applyFont="1" applyFill="1"/>
    <xf numFmtId="3" fontId="10" fillId="6" borderId="0" xfId="1" applyNumberFormat="1" applyFont="1" applyFill="1"/>
    <xf numFmtId="3" fontId="6" fillId="7" borderId="4" xfId="1" applyNumberFormat="1" applyFont="1" applyFill="1" applyBorder="1"/>
    <xf numFmtId="3" fontId="6" fillId="7" borderId="1" xfId="1" applyNumberFormat="1" applyFont="1" applyFill="1" applyBorder="1"/>
    <xf numFmtId="3" fontId="6" fillId="0" borderId="1" xfId="1" applyNumberFormat="1" applyFont="1" applyBorder="1" applyAlignment="1">
      <alignment horizontal="center"/>
    </xf>
    <xf numFmtId="3" fontId="9" fillId="0" borderId="0" xfId="1" applyNumberFormat="1" applyFont="1"/>
    <xf numFmtId="4" fontId="4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4" fillId="0" borderId="0" xfId="0" applyFont="1" applyFill="1"/>
    <xf numFmtId="3" fontId="9" fillId="7" borderId="0" xfId="0" applyNumberFormat="1" applyFont="1" applyFill="1"/>
    <xf numFmtId="3" fontId="4" fillId="7" borderId="0" xfId="1" applyNumberFormat="1" applyFont="1" applyFill="1"/>
    <xf numFmtId="3" fontId="4" fillId="7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2505075</xdr:colOff>
      <xdr:row>67</xdr:row>
      <xdr:rowOff>47625</xdr:rowOff>
    </xdr:from>
    <xdr:to>
      <xdr:col>2</xdr:col>
      <xdr:colOff>628650</xdr:colOff>
      <xdr:row>68</xdr:row>
      <xdr:rowOff>123825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2505075" y="10991850"/>
          <a:ext cx="179070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67</xdr:row>
      <xdr:rowOff>95250</xdr:rowOff>
    </xdr:from>
    <xdr:to>
      <xdr:col>4</xdr:col>
      <xdr:colOff>314325</xdr:colOff>
      <xdr:row>69</xdr:row>
      <xdr:rowOff>152400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4800600" y="11039475"/>
          <a:ext cx="143827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zoomScale="90" workbookViewId="0">
      <selection activeCell="Q8" sqref="Q8"/>
    </sheetView>
  </sheetViews>
  <sheetFormatPr baseColWidth="10" defaultRowHeight="12.75" outlineLevelCol="1" x14ac:dyDescent="0.2"/>
  <cols>
    <col min="1" max="1" width="39.7109375" style="2" customWidth="1"/>
    <col min="2" max="2" width="15.28515625" style="2" customWidth="1"/>
    <col min="3" max="3" width="16.42578125" style="2" customWidth="1" outlineLevel="1"/>
    <col min="4" max="4" width="17.42578125" style="4" customWidth="1" outlineLevel="1"/>
    <col min="5" max="5" width="16.28515625" style="2" customWidth="1" outlineLevel="1"/>
    <col min="6" max="6" width="19.140625" style="2" customWidth="1" outlineLevel="1"/>
    <col min="7" max="7" width="18.5703125" style="2" customWidth="1" outlineLevel="1"/>
    <col min="8" max="8" width="18.5703125" style="2" customWidth="1" outlineLevel="1" collapsed="1"/>
    <col min="9" max="9" width="16.28515625" style="4" customWidth="1" outlineLevel="1"/>
    <col min="10" max="10" width="18.5703125" style="2" customWidth="1" outlineLevel="1"/>
    <col min="11" max="11" width="16.28515625" style="2" customWidth="1" outlineLevel="1"/>
    <col min="12" max="12" width="18.5703125" style="4" bestFit="1" customWidth="1"/>
    <col min="13" max="14" width="18.5703125" style="2" bestFit="1" customWidth="1"/>
    <col min="15" max="15" width="16" style="2" bestFit="1" customWidth="1"/>
    <col min="16" max="16" width="11.42578125" style="2"/>
    <col min="17" max="17" width="15.85546875" style="2" bestFit="1" customWidth="1"/>
    <col min="18" max="16384" width="11.42578125" style="2"/>
  </cols>
  <sheetData>
    <row r="1" spans="1:17" x14ac:dyDescent="0.2">
      <c r="A1" s="3" t="s">
        <v>0</v>
      </c>
    </row>
    <row r="2" spans="1:17" x14ac:dyDescent="0.2">
      <c r="A2" s="3" t="s">
        <v>61</v>
      </c>
    </row>
    <row r="5" spans="1:17" x14ac:dyDescent="0.2">
      <c r="A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1:17" x14ac:dyDescent="0.2">
      <c r="A6" s="6" t="s">
        <v>14</v>
      </c>
      <c r="C6" s="23">
        <v>9992304.8300000001</v>
      </c>
      <c r="D6" s="23">
        <v>10998008.859999999</v>
      </c>
      <c r="E6" s="23">
        <v>12570098.380000001</v>
      </c>
      <c r="F6" s="23">
        <v>9128680.7300000004</v>
      </c>
      <c r="G6" s="23">
        <v>14084949.109999999</v>
      </c>
      <c r="H6" s="23">
        <v>11587100.130000001</v>
      </c>
      <c r="I6" s="23">
        <v>12311994.6</v>
      </c>
      <c r="J6" s="23">
        <v>13655557.369999999</v>
      </c>
      <c r="K6" s="23">
        <v>12699491.25</v>
      </c>
      <c r="L6" s="23">
        <v>11130738.560000001</v>
      </c>
      <c r="M6" s="23">
        <v>13500152.99</v>
      </c>
      <c r="N6" s="23">
        <v>17870155.34</v>
      </c>
      <c r="O6" s="23">
        <f t="shared" ref="O6:O12" si="0">SUM(C6:N6)</f>
        <v>149529232.14999998</v>
      </c>
      <c r="P6" s="20"/>
    </row>
    <row r="7" spans="1:17" x14ac:dyDescent="0.2">
      <c r="A7" s="6" t="s">
        <v>15</v>
      </c>
      <c r="C7" s="23">
        <v>6872016.8399999999</v>
      </c>
      <c r="D7" s="23">
        <v>7501533.75</v>
      </c>
      <c r="E7" s="23">
        <v>7011322.2300000004</v>
      </c>
      <c r="F7" s="23">
        <v>6469624.21</v>
      </c>
      <c r="G7" s="23">
        <v>7867127.3799999999</v>
      </c>
      <c r="H7" s="23">
        <v>7186597.7999999998</v>
      </c>
      <c r="I7" s="23">
        <v>4919302.2300000004</v>
      </c>
      <c r="J7" s="23">
        <v>6887572.4400000004</v>
      </c>
      <c r="K7" s="23">
        <v>7449805.6799999997</v>
      </c>
      <c r="L7" s="23">
        <v>9062608.0800000001</v>
      </c>
      <c r="M7" s="23">
        <v>11041569.02</v>
      </c>
      <c r="N7" s="23">
        <v>8702812.9600000009</v>
      </c>
      <c r="O7" s="23">
        <f t="shared" si="0"/>
        <v>90971892.620000005</v>
      </c>
      <c r="P7" s="20"/>
    </row>
    <row r="8" spans="1:17" x14ac:dyDescent="0.2">
      <c r="A8" s="6" t="s">
        <v>16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43103.45</v>
      </c>
      <c r="K8" s="23">
        <v>0</v>
      </c>
      <c r="L8" s="23">
        <v>0</v>
      </c>
      <c r="M8" s="23">
        <v>0</v>
      </c>
      <c r="N8" s="23">
        <v>0</v>
      </c>
      <c r="O8" s="23">
        <f t="shared" si="0"/>
        <v>43103.45</v>
      </c>
      <c r="P8" s="20"/>
    </row>
    <row r="9" spans="1:17" x14ac:dyDescent="0.2">
      <c r="A9" s="6" t="s">
        <v>17</v>
      </c>
      <c r="C9" s="24">
        <v>475402.27</v>
      </c>
      <c r="D9" s="23">
        <v>258620.69</v>
      </c>
      <c r="E9" s="23">
        <v>319082</v>
      </c>
      <c r="F9" s="24">
        <v>556034.56000000006</v>
      </c>
      <c r="G9" s="23">
        <v>340172.44</v>
      </c>
      <c r="H9" s="23">
        <v>532758.68999999994</v>
      </c>
      <c r="I9" s="24">
        <v>602671.88</v>
      </c>
      <c r="J9" s="24">
        <v>397069.06</v>
      </c>
      <c r="K9" s="23">
        <v>479827.69</v>
      </c>
      <c r="L9" s="23">
        <v>193965.5</v>
      </c>
      <c r="M9" s="24">
        <v>128186.19</v>
      </c>
      <c r="N9" s="23">
        <v>368103.56</v>
      </c>
      <c r="O9" s="23">
        <f t="shared" si="0"/>
        <v>4651894.5299999993</v>
      </c>
      <c r="P9" s="20"/>
    </row>
    <row r="10" spans="1:17" x14ac:dyDescent="0.2">
      <c r="A10" s="6" t="s">
        <v>18</v>
      </c>
      <c r="C10" s="23">
        <v>3232.76</v>
      </c>
      <c r="D10" s="23">
        <v>14262.93</v>
      </c>
      <c r="E10" s="23">
        <v>72711.19</v>
      </c>
      <c r="F10" s="23">
        <v>23286.07</v>
      </c>
      <c r="G10" s="23">
        <v>49841.87</v>
      </c>
      <c r="H10" s="23">
        <v>41481.43</v>
      </c>
      <c r="I10" s="23">
        <v>69611.199999999997</v>
      </c>
      <c r="J10" s="23">
        <v>53738.1</v>
      </c>
      <c r="K10" s="23">
        <v>57280.72</v>
      </c>
      <c r="L10" s="23">
        <v>6107.76</v>
      </c>
      <c r="M10" s="23">
        <v>106204.16</v>
      </c>
      <c r="N10" s="23">
        <v>139110.18</v>
      </c>
      <c r="O10" s="23">
        <f t="shared" si="0"/>
        <v>636868.37000000011</v>
      </c>
      <c r="P10" s="20"/>
      <c r="Q10" s="1"/>
    </row>
    <row r="11" spans="1:17" x14ac:dyDescent="0.2">
      <c r="A11" s="6" t="s">
        <v>19</v>
      </c>
      <c r="C11" s="23">
        <f>1198875.72-21492.62-13655.21+5800</f>
        <v>1169527.8899999999</v>
      </c>
      <c r="D11" s="23">
        <f>818378.74</f>
        <v>818378.74</v>
      </c>
      <c r="E11" s="23">
        <v>1021069.44</v>
      </c>
      <c r="F11" s="23">
        <v>868005.66</v>
      </c>
      <c r="G11" s="23">
        <v>1382300.76</v>
      </c>
      <c r="H11" s="23">
        <f>1039534.51-10250</f>
        <v>1029284.51</v>
      </c>
      <c r="I11" s="23">
        <f>877047.79</f>
        <v>877047.79</v>
      </c>
      <c r="J11" s="23">
        <f>1294121.98+7852</f>
        <v>1301973.98</v>
      </c>
      <c r="K11" s="23">
        <f>1012428.39-14500</f>
        <v>997928.39</v>
      </c>
      <c r="L11" s="23">
        <v>1220096.29</v>
      </c>
      <c r="M11" s="23">
        <v>924587.62</v>
      </c>
      <c r="N11" s="23">
        <v>1129702.96</v>
      </c>
      <c r="O11" s="23">
        <f t="shared" si="0"/>
        <v>12739904.029999997</v>
      </c>
      <c r="P11" s="20"/>
      <c r="Q11" s="1"/>
    </row>
    <row r="12" spans="1:17" ht="13.5" thickBot="1" x14ac:dyDescent="0.25">
      <c r="A12" s="6" t="s">
        <v>20</v>
      </c>
      <c r="C12" s="23">
        <v>197738.51</v>
      </c>
      <c r="D12" s="23">
        <v>119906.48</v>
      </c>
      <c r="E12" s="23">
        <v>138622.51999999999</v>
      </c>
      <c r="F12" s="23">
        <v>128826.74</v>
      </c>
      <c r="G12" s="23">
        <v>235389.13</v>
      </c>
      <c r="H12" s="23">
        <v>235108.25</v>
      </c>
      <c r="I12" s="23">
        <v>222575.78</v>
      </c>
      <c r="J12" s="23">
        <f>277821.94</f>
        <v>277821.94</v>
      </c>
      <c r="K12" s="23">
        <v>192754.47</v>
      </c>
      <c r="L12" s="23">
        <v>196921.97</v>
      </c>
      <c r="M12" s="23">
        <v>136212.19</v>
      </c>
      <c r="N12" s="23">
        <v>158129.39000000001</v>
      </c>
      <c r="O12" s="23">
        <f t="shared" si="0"/>
        <v>2240007.3699999996</v>
      </c>
      <c r="P12" s="20"/>
      <c r="Q12" s="1"/>
    </row>
    <row r="13" spans="1:17" ht="13.5" thickBot="1" x14ac:dyDescent="0.25">
      <c r="A13" s="7" t="s">
        <v>21</v>
      </c>
      <c r="C13" s="25">
        <f t="shared" ref="C13:M13" si="1">SUM(C6:C12)</f>
        <v>18710223.100000005</v>
      </c>
      <c r="D13" s="25">
        <f t="shared" si="1"/>
        <v>19710711.449999999</v>
      </c>
      <c r="E13" s="25">
        <f t="shared" si="1"/>
        <v>21132905.760000002</v>
      </c>
      <c r="F13" s="25">
        <f t="shared" si="1"/>
        <v>17174457.969999999</v>
      </c>
      <c r="G13" s="25">
        <f t="shared" si="1"/>
        <v>23959780.690000001</v>
      </c>
      <c r="H13" s="25">
        <f t="shared" si="1"/>
        <v>20612330.810000002</v>
      </c>
      <c r="I13" s="25">
        <f t="shared" si="1"/>
        <v>19003203.479999997</v>
      </c>
      <c r="J13" s="25">
        <f t="shared" si="1"/>
        <v>22616836.34</v>
      </c>
      <c r="K13" s="25">
        <f t="shared" si="1"/>
        <v>21877088.199999999</v>
      </c>
      <c r="L13" s="25">
        <f t="shared" si="1"/>
        <v>21810438.16</v>
      </c>
      <c r="M13" s="25">
        <f t="shared" si="1"/>
        <v>25836912.170000002</v>
      </c>
      <c r="N13" s="25">
        <f>SUM(N6:N12)</f>
        <v>28368014.390000001</v>
      </c>
      <c r="O13" s="23"/>
      <c r="P13" s="20"/>
      <c r="Q13" s="1"/>
    </row>
    <row r="14" spans="1:17" x14ac:dyDescent="0.2">
      <c r="A14" s="6" t="s">
        <v>62</v>
      </c>
      <c r="C14" s="24">
        <v>177892.93</v>
      </c>
      <c r="D14" s="23">
        <v>175669.27</v>
      </c>
      <c r="E14" s="23">
        <v>162255.57</v>
      </c>
      <c r="F14" s="20">
        <v>171418.55</v>
      </c>
      <c r="G14" s="20">
        <v>163546</v>
      </c>
      <c r="H14" s="23">
        <v>166774.6</v>
      </c>
      <c r="I14" s="23">
        <v>157428.57</v>
      </c>
      <c r="J14" s="20">
        <v>162327.29999999999</v>
      </c>
      <c r="K14" s="20">
        <v>160103.6</v>
      </c>
      <c r="L14" s="23">
        <v>152787</v>
      </c>
      <c r="M14" s="26">
        <v>155656.29999999999</v>
      </c>
      <c r="N14" s="23">
        <v>148483.20000000001</v>
      </c>
      <c r="O14" s="23"/>
      <c r="P14" s="20"/>
      <c r="Q14" s="1"/>
    </row>
    <row r="15" spans="1:17" x14ac:dyDescent="0.2">
      <c r="A15" s="6" t="s">
        <v>22</v>
      </c>
      <c r="C15" s="24">
        <v>0</v>
      </c>
      <c r="D15" s="23">
        <v>0</v>
      </c>
      <c r="E15" s="23">
        <v>0</v>
      </c>
      <c r="F15" s="23">
        <v>0</v>
      </c>
      <c r="G15" s="23">
        <v>0</v>
      </c>
      <c r="H15" s="23">
        <v>35344.83</v>
      </c>
      <c r="I15" s="23"/>
      <c r="J15" s="20"/>
      <c r="K15" s="23"/>
      <c r="L15" s="23"/>
      <c r="M15" s="24"/>
      <c r="N15" s="23">
        <v>148275.82</v>
      </c>
      <c r="O15" s="23"/>
      <c r="P15" s="20"/>
      <c r="Q15" s="1"/>
    </row>
    <row r="16" spans="1:17" x14ac:dyDescent="0.2">
      <c r="A16" s="6" t="s">
        <v>23</v>
      </c>
      <c r="C16" s="24"/>
      <c r="D16" s="23"/>
      <c r="E16" s="20"/>
      <c r="F16" s="20"/>
      <c r="G16" s="20"/>
      <c r="H16" s="23"/>
      <c r="I16" s="23"/>
      <c r="J16" s="20"/>
      <c r="K16" s="20"/>
      <c r="L16" s="23"/>
      <c r="M16" s="26"/>
      <c r="N16" s="23"/>
      <c r="O16" s="23"/>
      <c r="P16" s="20"/>
      <c r="Q16" s="1"/>
    </row>
    <row r="17" spans="1:17" x14ac:dyDescent="0.2">
      <c r="A17" s="6" t="s">
        <v>24</v>
      </c>
      <c r="C17" s="24">
        <v>3392.24</v>
      </c>
      <c r="D17" s="23">
        <v>3435.33</v>
      </c>
      <c r="E17" s="23">
        <v>2124.9899999999998</v>
      </c>
      <c r="F17" s="23">
        <v>100260.42</v>
      </c>
      <c r="G17" s="23">
        <v>82794.31</v>
      </c>
      <c r="H17" s="23">
        <v>10174.99</v>
      </c>
      <c r="I17" s="23">
        <v>7858.95</v>
      </c>
      <c r="J17" s="23">
        <v>13220.62</v>
      </c>
      <c r="K17" s="20">
        <v>6522.56</v>
      </c>
      <c r="L17" s="20">
        <v>2229.2600000000002</v>
      </c>
      <c r="M17" s="26">
        <v>16552.45</v>
      </c>
      <c r="N17" s="23">
        <v>19635.37</v>
      </c>
      <c r="O17" s="23"/>
      <c r="P17" s="20"/>
      <c r="Q17" s="1"/>
    </row>
    <row r="18" spans="1:17" x14ac:dyDescent="0.2">
      <c r="A18" s="6" t="s">
        <v>25</v>
      </c>
      <c r="C18" s="24"/>
      <c r="D18" s="20"/>
      <c r="E18" s="23">
        <v>40452.160000000003</v>
      </c>
      <c r="F18" s="23"/>
      <c r="G18" s="23">
        <v>5263.45</v>
      </c>
      <c r="H18" s="23"/>
      <c r="I18" s="23"/>
      <c r="J18" s="23">
        <v>14224.14</v>
      </c>
      <c r="K18" s="20">
        <v>39160.53</v>
      </c>
      <c r="L18" s="20">
        <v>3879.31</v>
      </c>
      <c r="M18" s="26">
        <v>5760</v>
      </c>
      <c r="N18" s="23">
        <v>45386.9</v>
      </c>
      <c r="O18" s="23"/>
      <c r="P18" s="20"/>
      <c r="Q18" s="1"/>
    </row>
    <row r="19" spans="1:17" x14ac:dyDescent="0.2">
      <c r="A19" s="6" t="s">
        <v>26</v>
      </c>
      <c r="C19" s="24">
        <v>584571.29</v>
      </c>
      <c r="D19" s="20">
        <v>160798.42000000001</v>
      </c>
      <c r="E19" s="23">
        <v>131091.28</v>
      </c>
      <c r="F19" s="23">
        <v>372790.44</v>
      </c>
      <c r="G19" s="23">
        <v>204187.26</v>
      </c>
      <c r="H19" s="23">
        <v>330673.06</v>
      </c>
      <c r="I19" s="23">
        <f>330585.7+47405.37</f>
        <v>377991.07</v>
      </c>
      <c r="J19" s="23">
        <f>440306.93</f>
        <v>440306.93</v>
      </c>
      <c r="K19" s="20">
        <f>246526.95+76081.38</f>
        <v>322608.33</v>
      </c>
      <c r="L19" s="20">
        <v>346454.89</v>
      </c>
      <c r="M19" s="26">
        <v>260432.42</v>
      </c>
      <c r="N19" s="23">
        <v>274186.7</v>
      </c>
      <c r="O19" s="23"/>
      <c r="P19" s="20"/>
    </row>
    <row r="20" spans="1:17" x14ac:dyDescent="0.2">
      <c r="A20" s="6" t="s">
        <v>27</v>
      </c>
      <c r="C20" s="24">
        <v>312350</v>
      </c>
      <c r="D20" s="23">
        <v>418457</v>
      </c>
      <c r="E20" s="23">
        <v>563833</v>
      </c>
      <c r="F20" s="24">
        <v>347181</v>
      </c>
      <c r="G20" s="23">
        <v>512710</v>
      </c>
      <c r="H20" s="23">
        <v>400771</v>
      </c>
      <c r="I20" s="23">
        <v>532919</v>
      </c>
      <c r="J20" s="23">
        <v>613459</v>
      </c>
      <c r="K20" s="23">
        <v>544267</v>
      </c>
      <c r="L20" s="23">
        <v>418141</v>
      </c>
      <c r="M20" s="24">
        <v>536358</v>
      </c>
      <c r="N20" s="23">
        <v>643940</v>
      </c>
      <c r="O20" s="23"/>
      <c r="P20" s="20"/>
    </row>
    <row r="21" spans="1:17" x14ac:dyDescent="0.2">
      <c r="A21" s="6" t="s">
        <v>28</v>
      </c>
      <c r="C21" s="24">
        <v>0</v>
      </c>
      <c r="D21" s="23"/>
      <c r="E21" s="20"/>
      <c r="F21" s="26"/>
      <c r="G21" s="20"/>
      <c r="H21" s="23"/>
      <c r="I21" s="23"/>
      <c r="J21" s="20"/>
      <c r="K21" s="20"/>
      <c r="L21" s="23"/>
      <c r="M21" s="26"/>
      <c r="N21" s="23"/>
      <c r="O21" s="23"/>
      <c r="P21" s="20"/>
    </row>
    <row r="22" spans="1:17" ht="13.5" thickBot="1" x14ac:dyDescent="0.25">
      <c r="A22" s="8" t="s">
        <v>29</v>
      </c>
      <c r="C22" s="27">
        <f t="shared" ref="C22:I22" si="2">SUM(C14:C21)</f>
        <v>1078206.46</v>
      </c>
      <c r="D22" s="27">
        <f t="shared" si="2"/>
        <v>758360.02</v>
      </c>
      <c r="E22" s="27">
        <f t="shared" si="2"/>
        <v>899757</v>
      </c>
      <c r="F22" s="27">
        <f t="shared" si="2"/>
        <v>991650.40999999992</v>
      </c>
      <c r="G22" s="27">
        <f t="shared" si="2"/>
        <v>968501.02</v>
      </c>
      <c r="H22" s="27">
        <f t="shared" si="2"/>
        <v>943738.48</v>
      </c>
      <c r="I22" s="27">
        <f t="shared" si="2"/>
        <v>1076197.5900000001</v>
      </c>
      <c r="J22" s="27">
        <f>SUM(J14:J21)</f>
        <v>1243537.99</v>
      </c>
      <c r="K22" s="27">
        <f>SUM(K14:K21)</f>
        <v>1072662.02</v>
      </c>
      <c r="L22" s="27">
        <f>SUM(L14:L21)</f>
        <v>923491.46</v>
      </c>
      <c r="M22" s="27">
        <f>SUM(M14:M21)</f>
        <v>974759.17</v>
      </c>
      <c r="N22" s="27">
        <f>SUM(N14:N21)</f>
        <v>1279907.99</v>
      </c>
      <c r="O22" s="23"/>
      <c r="P22" s="20"/>
    </row>
    <row r="23" spans="1:17" ht="13.5" thickBot="1" x14ac:dyDescent="0.25">
      <c r="A23" s="9" t="s">
        <v>30</v>
      </c>
      <c r="C23" s="28">
        <f t="shared" ref="C23:N23" si="3">SUM(C22,C13)</f>
        <v>19788429.560000006</v>
      </c>
      <c r="D23" s="28">
        <f t="shared" si="3"/>
        <v>20469071.469999999</v>
      </c>
      <c r="E23" s="28">
        <f t="shared" si="3"/>
        <v>22032662.760000002</v>
      </c>
      <c r="F23" s="28">
        <f t="shared" si="3"/>
        <v>18166108.379999999</v>
      </c>
      <c r="G23" s="28">
        <f t="shared" si="3"/>
        <v>24928281.710000001</v>
      </c>
      <c r="H23" s="28">
        <f t="shared" si="3"/>
        <v>21556069.290000003</v>
      </c>
      <c r="I23" s="28">
        <f t="shared" si="3"/>
        <v>20079401.069999997</v>
      </c>
      <c r="J23" s="28">
        <f t="shared" si="3"/>
        <v>23860374.329999998</v>
      </c>
      <c r="K23" s="28">
        <f t="shared" si="3"/>
        <v>22949750.219999999</v>
      </c>
      <c r="L23" s="28">
        <f t="shared" si="3"/>
        <v>22733929.620000001</v>
      </c>
      <c r="M23" s="28">
        <f t="shared" si="3"/>
        <v>26811671.340000004</v>
      </c>
      <c r="N23" s="28">
        <f t="shared" si="3"/>
        <v>29647922.379999999</v>
      </c>
      <c r="O23" s="23"/>
      <c r="P23" s="20"/>
    </row>
    <row r="24" spans="1:17" x14ac:dyDescent="0.2">
      <c r="A24" s="9"/>
      <c r="C24" s="29"/>
      <c r="D24" s="23"/>
      <c r="E24" s="20"/>
      <c r="F24" s="20"/>
      <c r="G24" s="20"/>
      <c r="H24" s="23"/>
      <c r="I24" s="23"/>
      <c r="J24" s="20"/>
      <c r="K24" s="20"/>
      <c r="L24" s="23"/>
      <c r="M24" s="20"/>
      <c r="N24" s="23"/>
      <c r="O24" s="23"/>
      <c r="P24" s="20"/>
    </row>
    <row r="25" spans="1:17" x14ac:dyDescent="0.2">
      <c r="A25" s="9" t="s">
        <v>31</v>
      </c>
      <c r="C25" s="23"/>
      <c r="D25" s="23"/>
      <c r="E25" s="20"/>
      <c r="F25" s="23"/>
      <c r="G25" s="23"/>
      <c r="H25" s="23"/>
      <c r="I25" s="23"/>
      <c r="J25" s="23"/>
      <c r="K25" s="20"/>
      <c r="L25" s="20"/>
      <c r="M25" s="23"/>
      <c r="N25" s="23"/>
      <c r="O25" s="23"/>
      <c r="P25" s="20"/>
    </row>
    <row r="26" spans="1:17" x14ac:dyDescent="0.2">
      <c r="A26" s="9" t="s">
        <v>32</v>
      </c>
      <c r="C26" s="24">
        <v>0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>
        <v>0</v>
      </c>
      <c r="O26" s="23"/>
      <c r="P26" s="20"/>
    </row>
    <row r="27" spans="1:17" ht="13.5" thickBot="1" x14ac:dyDescent="0.25">
      <c r="A27" s="9"/>
      <c r="C27" s="29"/>
      <c r="D27" s="29"/>
      <c r="E27" s="20"/>
      <c r="F27" s="20"/>
      <c r="G27" s="20"/>
      <c r="H27" s="23"/>
      <c r="I27" s="23"/>
      <c r="J27" s="20"/>
      <c r="K27" s="20"/>
      <c r="L27" s="23"/>
      <c r="M27" s="20"/>
      <c r="N27" s="23"/>
      <c r="O27" s="23"/>
      <c r="P27" s="20"/>
    </row>
    <row r="28" spans="1:17" ht="13.5" thickBot="1" x14ac:dyDescent="0.25">
      <c r="A28" s="9" t="s">
        <v>33</v>
      </c>
      <c r="C28" s="30">
        <f t="shared" ref="C28:K28" si="4">SUM(C23:C27)</f>
        <v>19788429.560000006</v>
      </c>
      <c r="D28" s="30">
        <f t="shared" si="4"/>
        <v>20469071.469999999</v>
      </c>
      <c r="E28" s="30">
        <f t="shared" si="4"/>
        <v>22032662.760000002</v>
      </c>
      <c r="F28" s="30">
        <f t="shared" si="4"/>
        <v>18166108.379999999</v>
      </c>
      <c r="G28" s="30">
        <f t="shared" si="4"/>
        <v>24928281.710000001</v>
      </c>
      <c r="H28" s="30">
        <f t="shared" si="4"/>
        <v>21556069.290000003</v>
      </c>
      <c r="I28" s="30">
        <f t="shared" si="4"/>
        <v>20079401.069999997</v>
      </c>
      <c r="J28" s="30">
        <f t="shared" si="4"/>
        <v>23860374.329999998</v>
      </c>
      <c r="K28" s="30">
        <f t="shared" si="4"/>
        <v>22949750.219999999</v>
      </c>
      <c r="L28" s="30">
        <f>SUM(L23:L27)</f>
        <v>22733929.620000001</v>
      </c>
      <c r="M28" s="30">
        <f>SUM(M23:M27)</f>
        <v>26811671.340000004</v>
      </c>
      <c r="N28" s="30">
        <f>SUM(N23:N27)</f>
        <v>29647922.379999999</v>
      </c>
      <c r="O28" s="23"/>
      <c r="P28" s="20"/>
    </row>
    <row r="29" spans="1:17" x14ac:dyDescent="0.2">
      <c r="A29" s="9"/>
      <c r="C29" s="29"/>
      <c r="D29" s="29"/>
      <c r="E29" s="20"/>
      <c r="F29" s="20"/>
      <c r="G29" s="20"/>
      <c r="H29" s="23"/>
      <c r="I29" s="23"/>
      <c r="J29" s="20"/>
      <c r="K29" s="20"/>
      <c r="L29" s="23"/>
      <c r="M29" s="20"/>
      <c r="N29" s="23"/>
      <c r="O29" s="23"/>
      <c r="P29" s="20"/>
    </row>
    <row r="30" spans="1:17" x14ac:dyDescent="0.2">
      <c r="A30" s="9" t="s">
        <v>63</v>
      </c>
      <c r="C30" s="29">
        <f t="shared" ref="C30:N30" si="5">+C28</f>
        <v>19788429.560000006</v>
      </c>
      <c r="D30" s="29">
        <f t="shared" si="5"/>
        <v>20469071.469999999</v>
      </c>
      <c r="E30" s="29">
        <f t="shared" si="5"/>
        <v>22032662.760000002</v>
      </c>
      <c r="F30" s="29">
        <f t="shared" si="5"/>
        <v>18166108.379999999</v>
      </c>
      <c r="G30" s="29">
        <f t="shared" si="5"/>
        <v>24928281.710000001</v>
      </c>
      <c r="H30" s="29">
        <f t="shared" si="5"/>
        <v>21556069.290000003</v>
      </c>
      <c r="I30" s="29">
        <f t="shared" si="5"/>
        <v>20079401.069999997</v>
      </c>
      <c r="J30" s="29">
        <f t="shared" si="5"/>
        <v>23860374.329999998</v>
      </c>
      <c r="K30" s="29">
        <f t="shared" si="5"/>
        <v>22949750.219999999</v>
      </c>
      <c r="L30" s="29">
        <f t="shared" si="5"/>
        <v>22733929.620000001</v>
      </c>
      <c r="M30" s="29">
        <f t="shared" si="5"/>
        <v>26811671.340000004</v>
      </c>
      <c r="N30" s="29">
        <f t="shared" si="5"/>
        <v>29647922.379999999</v>
      </c>
      <c r="O30" s="23"/>
      <c r="P30" s="20"/>
    </row>
    <row r="31" spans="1:17" x14ac:dyDescent="0.2">
      <c r="A31" s="6"/>
      <c r="C31" s="24"/>
      <c r="D31" s="24"/>
      <c r="E31" s="24"/>
      <c r="F31" s="24"/>
      <c r="G31" s="20"/>
      <c r="H31" s="23"/>
      <c r="I31" s="23"/>
      <c r="J31" s="20"/>
      <c r="K31" s="20"/>
      <c r="L31" s="23"/>
      <c r="M31" s="20"/>
      <c r="N31" s="23"/>
      <c r="O31" s="23"/>
      <c r="P31" s="20"/>
    </row>
    <row r="32" spans="1:17" x14ac:dyDescent="0.2">
      <c r="A32" s="9" t="s">
        <v>34</v>
      </c>
      <c r="C32" s="31">
        <f t="shared" ref="C32:N32" si="6">SUM(C30:C31)</f>
        <v>19788429.560000006</v>
      </c>
      <c r="D32" s="31">
        <f t="shared" si="6"/>
        <v>20469071.469999999</v>
      </c>
      <c r="E32" s="31">
        <f t="shared" si="6"/>
        <v>22032662.760000002</v>
      </c>
      <c r="F32" s="31">
        <f t="shared" si="6"/>
        <v>18166108.379999999</v>
      </c>
      <c r="G32" s="31">
        <f t="shared" si="6"/>
        <v>24928281.710000001</v>
      </c>
      <c r="H32" s="31">
        <f t="shared" si="6"/>
        <v>21556069.290000003</v>
      </c>
      <c r="I32" s="31">
        <f t="shared" si="6"/>
        <v>20079401.069999997</v>
      </c>
      <c r="J32" s="31">
        <f t="shared" si="6"/>
        <v>23860374.329999998</v>
      </c>
      <c r="K32" s="31">
        <f t="shared" si="6"/>
        <v>22949750.219999999</v>
      </c>
      <c r="L32" s="31">
        <f t="shared" si="6"/>
        <v>22733929.620000001</v>
      </c>
      <c r="M32" s="31">
        <f t="shared" si="6"/>
        <v>26811671.340000004</v>
      </c>
      <c r="N32" s="31">
        <f t="shared" si="6"/>
        <v>29647922.379999999</v>
      </c>
      <c r="O32" s="23"/>
      <c r="P32" s="20"/>
    </row>
    <row r="33" spans="1:16" x14ac:dyDescent="0.2">
      <c r="A33" s="7" t="s">
        <v>48</v>
      </c>
      <c r="C33" s="39">
        <v>0.16</v>
      </c>
      <c r="D33" s="39">
        <v>0.16</v>
      </c>
      <c r="E33" s="39">
        <v>0.16</v>
      </c>
      <c r="F33" s="39">
        <v>0.16</v>
      </c>
      <c r="G33" s="39">
        <v>0.16</v>
      </c>
      <c r="H33" s="39">
        <v>0.16</v>
      </c>
      <c r="I33" s="39">
        <v>0.16</v>
      </c>
      <c r="J33" s="39">
        <v>0.16</v>
      </c>
      <c r="K33" s="39">
        <v>0.16</v>
      </c>
      <c r="L33" s="39">
        <v>0.16</v>
      </c>
      <c r="M33" s="39">
        <v>0.16</v>
      </c>
      <c r="N33" s="39">
        <v>0.16</v>
      </c>
      <c r="O33" s="23"/>
      <c r="P33" s="20"/>
    </row>
    <row r="34" spans="1:16" x14ac:dyDescent="0.2">
      <c r="A34" s="9" t="s">
        <v>35</v>
      </c>
      <c r="C34" s="29">
        <f t="shared" ref="C34:N34" si="7">C32*0.16</f>
        <v>3166148.7296000011</v>
      </c>
      <c r="D34" s="29">
        <f t="shared" si="7"/>
        <v>3275051.4351999997</v>
      </c>
      <c r="E34" s="29">
        <f t="shared" si="7"/>
        <v>3525226.0416000001</v>
      </c>
      <c r="F34" s="29">
        <f t="shared" si="7"/>
        <v>2906577.3407999999</v>
      </c>
      <c r="G34" s="29">
        <f t="shared" si="7"/>
        <v>3988525.0736000002</v>
      </c>
      <c r="H34" s="29">
        <f t="shared" si="7"/>
        <v>3448971.0864000004</v>
      </c>
      <c r="I34" s="29">
        <f t="shared" si="7"/>
        <v>3212704.1711999997</v>
      </c>
      <c r="J34" s="29">
        <f t="shared" si="7"/>
        <v>3817659.8927999996</v>
      </c>
      <c r="K34" s="29">
        <f t="shared" si="7"/>
        <v>3671960.0351999998</v>
      </c>
      <c r="L34" s="29">
        <f t="shared" si="7"/>
        <v>3637428.7392000002</v>
      </c>
      <c r="M34" s="29">
        <f t="shared" si="7"/>
        <v>4289867.4144000011</v>
      </c>
      <c r="N34" s="29">
        <f t="shared" si="7"/>
        <v>4743667.5807999996</v>
      </c>
      <c r="O34" s="23"/>
      <c r="P34" s="20"/>
    </row>
    <row r="35" spans="1:16" x14ac:dyDescent="0.2">
      <c r="A35" s="10"/>
      <c r="C35" s="32"/>
      <c r="D35" s="23"/>
      <c r="E35" s="23"/>
      <c r="F35" s="23"/>
      <c r="G35" s="23"/>
      <c r="H35" s="20"/>
      <c r="I35" s="23"/>
      <c r="J35" s="20"/>
      <c r="K35" s="20"/>
      <c r="L35" s="23"/>
      <c r="M35" s="20"/>
      <c r="N35" s="23"/>
      <c r="O35" s="23"/>
      <c r="P35" s="20"/>
    </row>
    <row r="36" spans="1:16" x14ac:dyDescent="0.2">
      <c r="A36" s="11" t="s">
        <v>36</v>
      </c>
      <c r="C36" s="24">
        <v>333145.31</v>
      </c>
      <c r="D36" s="23">
        <v>417311.27999999933</v>
      </c>
      <c r="E36" s="23">
        <v>132244.37</v>
      </c>
      <c r="F36" s="23">
        <v>-219527.24</v>
      </c>
      <c r="G36" s="23">
        <v>1190598.75</v>
      </c>
      <c r="H36" s="23">
        <v>-534428.43999999948</v>
      </c>
      <c r="I36" s="23">
        <v>-56781.980000000447</v>
      </c>
      <c r="J36" s="23">
        <v>515230.99</v>
      </c>
      <c r="K36" s="23">
        <v>251429.92</v>
      </c>
      <c r="L36" s="23">
        <v>255574.7</v>
      </c>
      <c r="M36" s="23">
        <v>138944.26</v>
      </c>
      <c r="N36" s="23">
        <v>-150820</v>
      </c>
      <c r="O36" s="23"/>
      <c r="P36" s="20"/>
    </row>
    <row r="37" spans="1:16" x14ac:dyDescent="0.2">
      <c r="A37" s="11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0"/>
    </row>
    <row r="38" spans="1:16" x14ac:dyDescent="0.2">
      <c r="A38" s="12" t="s">
        <v>35</v>
      </c>
      <c r="C38" s="24">
        <f t="shared" ref="C38:M38" si="8">C34-C36</f>
        <v>2833003.4196000011</v>
      </c>
      <c r="D38" s="24">
        <f t="shared" si="8"/>
        <v>2857740.1552000004</v>
      </c>
      <c r="E38" s="24">
        <f t="shared" si="8"/>
        <v>3392981.6716</v>
      </c>
      <c r="F38" s="24">
        <f t="shared" si="8"/>
        <v>3126104.5807999996</v>
      </c>
      <c r="G38" s="24">
        <f t="shared" si="8"/>
        <v>2797926.3236000002</v>
      </c>
      <c r="H38" s="24">
        <f t="shared" si="8"/>
        <v>3983399.5263999999</v>
      </c>
      <c r="I38" s="24">
        <f t="shared" si="8"/>
        <v>3269486.1512000002</v>
      </c>
      <c r="J38" s="24">
        <f t="shared" si="8"/>
        <v>3302428.9027999993</v>
      </c>
      <c r="K38" s="24">
        <f t="shared" si="8"/>
        <v>3420530.1151999999</v>
      </c>
      <c r="L38" s="24">
        <f t="shared" si="8"/>
        <v>3381854.0392</v>
      </c>
      <c r="M38" s="24">
        <f t="shared" si="8"/>
        <v>4150923.1544000013</v>
      </c>
      <c r="N38" s="24">
        <f>N34-N36-386</f>
        <v>4894101.5807999996</v>
      </c>
      <c r="O38" s="23"/>
      <c r="P38" s="20"/>
    </row>
    <row r="39" spans="1:16" x14ac:dyDescent="0.2">
      <c r="A39" s="11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0"/>
    </row>
    <row r="40" spans="1:16" x14ac:dyDescent="0.2">
      <c r="A40" s="11" t="s">
        <v>37</v>
      </c>
      <c r="C40" s="42">
        <v>4010732.86</v>
      </c>
      <c r="D40" s="43">
        <v>2848461.41</v>
      </c>
      <c r="E40" s="43">
        <v>3218654.33</v>
      </c>
      <c r="F40" s="43">
        <v>2826033.06</v>
      </c>
      <c r="G40" s="43">
        <v>3160941.27</v>
      </c>
      <c r="H40" s="43">
        <v>3314390.41</v>
      </c>
      <c r="I40" s="44">
        <v>3155109.62</v>
      </c>
      <c r="J40" s="43">
        <v>3538505.03</v>
      </c>
      <c r="K40" s="43">
        <v>4155424.24</v>
      </c>
      <c r="L40" s="43">
        <v>4411208.34</v>
      </c>
      <c r="M40" s="43">
        <v>3838159.96</v>
      </c>
      <c r="N40" s="23">
        <v>4845308.75</v>
      </c>
      <c r="O40" s="23"/>
      <c r="P40" s="20"/>
    </row>
    <row r="41" spans="1:16" x14ac:dyDescent="0.2">
      <c r="A41" s="11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0"/>
    </row>
    <row r="42" spans="1:16" x14ac:dyDescent="0.2">
      <c r="A42" s="11" t="s">
        <v>38</v>
      </c>
      <c r="B42" s="13">
        <v>-290700</v>
      </c>
      <c r="C42" s="33">
        <f t="shared" ref="C42:N42" si="9">C38-C40</f>
        <v>-1177729.4403999988</v>
      </c>
      <c r="D42" s="33">
        <f t="shared" si="9"/>
        <v>9278.7452000002377</v>
      </c>
      <c r="E42" s="33">
        <f t="shared" si="9"/>
        <v>174327.34159999993</v>
      </c>
      <c r="F42" s="33">
        <f t="shared" si="9"/>
        <v>300071.52079999959</v>
      </c>
      <c r="G42" s="33">
        <f t="shared" si="9"/>
        <v>-363014.94639999978</v>
      </c>
      <c r="H42" s="33">
        <f t="shared" si="9"/>
        <v>669009.11639999971</v>
      </c>
      <c r="I42" s="33">
        <f t="shared" si="9"/>
        <v>114376.53120000008</v>
      </c>
      <c r="J42" s="33">
        <f t="shared" si="9"/>
        <v>-236076.12720000045</v>
      </c>
      <c r="K42" s="33">
        <f t="shared" si="9"/>
        <v>-734894.12480000034</v>
      </c>
      <c r="L42" s="33">
        <f t="shared" si="9"/>
        <v>-1029354.3007999999</v>
      </c>
      <c r="M42" s="33">
        <f t="shared" si="9"/>
        <v>312763.19440000132</v>
      </c>
      <c r="N42" s="33">
        <f t="shared" si="9"/>
        <v>48792.830799999647</v>
      </c>
      <c r="O42" s="34">
        <f>SUM(B42:N42)</f>
        <v>-2203149.6591999987</v>
      </c>
      <c r="P42" s="20"/>
    </row>
    <row r="43" spans="1:16" x14ac:dyDescent="0.2">
      <c r="A43" s="11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0"/>
    </row>
    <row r="44" spans="1:16" x14ac:dyDescent="0.2">
      <c r="A44" s="11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0"/>
    </row>
    <row r="45" spans="1:16" x14ac:dyDescent="0.2">
      <c r="A45" s="11" t="s">
        <v>39</v>
      </c>
      <c r="C45" s="24">
        <v>23316.04</v>
      </c>
      <c r="D45" s="24">
        <v>17234.22</v>
      </c>
      <c r="E45" s="24">
        <v>20820.099999999999</v>
      </c>
      <c r="F45" s="24">
        <v>54674.96</v>
      </c>
      <c r="G45" s="24">
        <v>138450.87</v>
      </c>
      <c r="H45" s="24">
        <v>53233.49</v>
      </c>
      <c r="I45" s="24">
        <v>-15592.79</v>
      </c>
      <c r="J45" s="24">
        <v>95663.929999999935</v>
      </c>
      <c r="K45" s="24">
        <v>-22255.759999999998</v>
      </c>
      <c r="L45" s="24">
        <v>-46043.749999999942</v>
      </c>
      <c r="M45" s="24">
        <v>33953.620000000003</v>
      </c>
      <c r="N45" s="24">
        <v>14414.039999999921</v>
      </c>
      <c r="O45" s="23"/>
      <c r="P45" s="20"/>
    </row>
    <row r="46" spans="1:16" x14ac:dyDescent="0.2">
      <c r="A46" s="11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0"/>
    </row>
    <row r="47" spans="1:16" x14ac:dyDescent="0.2">
      <c r="A47" s="11" t="s">
        <v>40</v>
      </c>
      <c r="C47" s="24">
        <f>+C36</f>
        <v>333145.31</v>
      </c>
      <c r="D47" s="24">
        <f t="shared" ref="D47:N47" si="10">+D36</f>
        <v>417311.27999999933</v>
      </c>
      <c r="E47" s="24">
        <f t="shared" si="10"/>
        <v>132244.37</v>
      </c>
      <c r="F47" s="24">
        <f t="shared" si="10"/>
        <v>-219527.24</v>
      </c>
      <c r="G47" s="24">
        <f t="shared" si="10"/>
        <v>1190598.75</v>
      </c>
      <c r="H47" s="24">
        <f t="shared" si="10"/>
        <v>-534428.43999999948</v>
      </c>
      <c r="I47" s="24">
        <f t="shared" si="10"/>
        <v>-56781.980000000447</v>
      </c>
      <c r="J47" s="24">
        <f t="shared" si="10"/>
        <v>515230.99</v>
      </c>
      <c r="K47" s="24">
        <f t="shared" si="10"/>
        <v>251429.92</v>
      </c>
      <c r="L47" s="24">
        <f t="shared" si="10"/>
        <v>255574.7</v>
      </c>
      <c r="M47" s="24">
        <f t="shared" si="10"/>
        <v>138944.26</v>
      </c>
      <c r="N47" s="24">
        <f t="shared" si="10"/>
        <v>-150820</v>
      </c>
      <c r="O47" s="23"/>
      <c r="P47" s="20"/>
    </row>
    <row r="48" spans="1:16" ht="15.75" x14ac:dyDescent="0.25">
      <c r="A48" s="11" t="s">
        <v>41</v>
      </c>
      <c r="C48" s="40">
        <f t="shared" ref="C48:N48" si="11">+C42-C45+C47</f>
        <v>-867900.17039999878</v>
      </c>
      <c r="D48" s="40">
        <f t="shared" si="11"/>
        <v>409355.8051999996</v>
      </c>
      <c r="E48" s="40">
        <f t="shared" si="11"/>
        <v>285751.61159999995</v>
      </c>
      <c r="F48" s="40">
        <f t="shared" si="11"/>
        <v>25869.320799999608</v>
      </c>
      <c r="G48" s="40">
        <f t="shared" si="11"/>
        <v>689132.93360000022</v>
      </c>
      <c r="H48" s="40">
        <f t="shared" si="11"/>
        <v>81347.186400000239</v>
      </c>
      <c r="I48" s="40">
        <f t="shared" si="11"/>
        <v>73187.341199999646</v>
      </c>
      <c r="J48" s="40">
        <f t="shared" si="11"/>
        <v>183490.9327999996</v>
      </c>
      <c r="K48" s="40">
        <f t="shared" si="11"/>
        <v>-461208.44480000029</v>
      </c>
      <c r="L48" s="40">
        <f t="shared" si="11"/>
        <v>-727735.8507999999</v>
      </c>
      <c r="M48" s="40">
        <f t="shared" si="11"/>
        <v>417753.83440000133</v>
      </c>
      <c r="N48" s="40">
        <f t="shared" si="11"/>
        <v>-116441.20920000027</v>
      </c>
      <c r="O48" s="23"/>
      <c r="P48" s="20"/>
    </row>
    <row r="49" spans="1:16" x14ac:dyDescent="0.2">
      <c r="A49" s="11" t="s">
        <v>42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0"/>
    </row>
    <row r="50" spans="1:16" x14ac:dyDescent="0.2">
      <c r="A50" s="11" t="s">
        <v>43</v>
      </c>
      <c r="C50" s="20">
        <v>-362824.06</v>
      </c>
      <c r="D50" s="23">
        <f t="shared" ref="D50:K50" si="12">+C53</f>
        <v>505134.15</v>
      </c>
      <c r="E50" s="23">
        <f t="shared" si="12"/>
        <v>95778.02</v>
      </c>
      <c r="F50" s="23">
        <f t="shared" si="12"/>
        <v>-189973.85</v>
      </c>
      <c r="G50" s="23">
        <f t="shared" si="12"/>
        <v>-215812.2</v>
      </c>
      <c r="H50" s="23">
        <f t="shared" si="12"/>
        <v>-904945.43</v>
      </c>
      <c r="I50" s="23">
        <f t="shared" si="12"/>
        <v>-986342.41</v>
      </c>
      <c r="J50" s="23">
        <f t="shared" si="12"/>
        <v>-945139.37</v>
      </c>
      <c r="K50" s="23">
        <f t="shared" si="12"/>
        <v>-1097241.78</v>
      </c>
      <c r="L50" s="23">
        <f>+K53</f>
        <v>-636092.14</v>
      </c>
      <c r="M50" s="23">
        <f>+L53</f>
        <v>87751.37</v>
      </c>
      <c r="N50" s="23">
        <f>+M53</f>
        <v>-324227</v>
      </c>
      <c r="O50" s="23"/>
      <c r="P50" s="20"/>
    </row>
    <row r="51" spans="1:16" x14ac:dyDescent="0.2">
      <c r="A51" s="11" t="s">
        <v>64</v>
      </c>
      <c r="C51" s="24"/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114439</v>
      </c>
      <c r="J51" s="24">
        <v>31310</v>
      </c>
      <c r="K51" s="24"/>
      <c r="L51" s="24">
        <v>-15382</v>
      </c>
      <c r="M51" s="24"/>
      <c r="N51" s="24"/>
      <c r="O51" s="23"/>
      <c r="P51" s="20"/>
    </row>
    <row r="52" spans="1:16" x14ac:dyDescent="0.2">
      <c r="A52" s="11" t="s">
        <v>45</v>
      </c>
      <c r="C52" s="24">
        <f t="shared" ref="C52:H52" si="13">+C48-C50-C49</f>
        <v>-505076.11039999878</v>
      </c>
      <c r="D52" s="24">
        <f t="shared" si="13"/>
        <v>-95778.344800000428</v>
      </c>
      <c r="E52" s="24">
        <f t="shared" si="13"/>
        <v>189973.59159999993</v>
      </c>
      <c r="F52" s="24">
        <f t="shared" si="13"/>
        <v>215843.17079999961</v>
      </c>
      <c r="G52" s="24">
        <f t="shared" si="13"/>
        <v>904945.13360000029</v>
      </c>
      <c r="H52" s="24">
        <f t="shared" si="13"/>
        <v>986292.61640000029</v>
      </c>
      <c r="I52" s="24">
        <f t="shared" ref="I52:N52" si="14">+I48-I50-I49-I51</f>
        <v>945090.75119999959</v>
      </c>
      <c r="J52" s="24">
        <f t="shared" si="14"/>
        <v>1097320.3027999997</v>
      </c>
      <c r="K52" s="24">
        <f t="shared" si="14"/>
        <v>636033.33519999974</v>
      </c>
      <c r="L52" s="24">
        <f t="shared" si="14"/>
        <v>-76261.710799999884</v>
      </c>
      <c r="M52" s="24">
        <f t="shared" si="14"/>
        <v>330002.46440000134</v>
      </c>
      <c r="N52" s="24">
        <f t="shared" si="14"/>
        <v>207785.79079999973</v>
      </c>
      <c r="O52" s="23"/>
      <c r="P52" s="20"/>
    </row>
    <row r="53" spans="1:16" x14ac:dyDescent="0.2">
      <c r="A53" s="11" t="s">
        <v>46</v>
      </c>
      <c r="C53" s="23">
        <v>505134.15</v>
      </c>
      <c r="D53" s="23">
        <v>95778.02</v>
      </c>
      <c r="E53" s="23">
        <v>-189973.85</v>
      </c>
      <c r="F53" s="23">
        <v>-215812.2</v>
      </c>
      <c r="G53" s="23">
        <v>-904945.43</v>
      </c>
      <c r="H53" s="23">
        <v>-986342.41</v>
      </c>
      <c r="I53" s="23">
        <v>-945139.37</v>
      </c>
      <c r="J53" s="23">
        <v>-1097241.78</v>
      </c>
      <c r="K53" s="20">
        <v>-636092.14</v>
      </c>
      <c r="L53" s="20">
        <v>87751.37</v>
      </c>
      <c r="M53" s="23">
        <v>-324227</v>
      </c>
      <c r="N53" s="23">
        <v>-203410.21</v>
      </c>
      <c r="O53" s="23"/>
      <c r="P53" s="20"/>
    </row>
    <row r="54" spans="1:16" s="41" customFormat="1" x14ac:dyDescent="0.2">
      <c r="A54" s="11" t="s">
        <v>47</v>
      </c>
      <c r="C54" s="24">
        <f>C52+C53</f>
        <v>58.039600001240615</v>
      </c>
      <c r="D54" s="24">
        <f t="shared" ref="D54:K54" si="15">D52+D53</f>
        <v>-0.32480000042414758</v>
      </c>
      <c r="E54" s="24">
        <f t="shared" si="15"/>
        <v>-0.25840000007883646</v>
      </c>
      <c r="F54" s="24">
        <f t="shared" si="15"/>
        <v>30.970799999602605</v>
      </c>
      <c r="G54" s="24">
        <f t="shared" si="15"/>
        <v>-0.29639999975915998</v>
      </c>
      <c r="H54" s="24">
        <f t="shared" si="15"/>
        <v>-49.793599999742582</v>
      </c>
      <c r="I54" s="24">
        <f t="shared" si="15"/>
        <v>-48.618800000404008</v>
      </c>
      <c r="J54" s="24">
        <f t="shared" si="15"/>
        <v>78.522799999685958</v>
      </c>
      <c r="K54" s="24">
        <f t="shared" si="15"/>
        <v>-58.804800000274554</v>
      </c>
      <c r="L54" s="24">
        <f>L52+L53</f>
        <v>11489.659200000111</v>
      </c>
      <c r="M54" s="24">
        <f>M52+M53</f>
        <v>5775.4644000013359</v>
      </c>
      <c r="N54" s="24">
        <f>N52+N53</f>
        <v>4375.5807999997342</v>
      </c>
      <c r="O54" s="24"/>
      <c r="P54" s="26"/>
    </row>
    <row r="55" spans="1:16" x14ac:dyDescent="0.2">
      <c r="B55" s="11"/>
      <c r="C55" s="24">
        <f t="shared" ref="C55:K55" si="16">C54*100/15</f>
        <v>386.93066667493741</v>
      </c>
      <c r="D55" s="24">
        <f t="shared" si="16"/>
        <v>-2.1653333361609839</v>
      </c>
      <c r="E55" s="24">
        <f t="shared" si="16"/>
        <v>-1.722666667192243</v>
      </c>
      <c r="F55" s="24">
        <f t="shared" si="16"/>
        <v>206.47199999735071</v>
      </c>
      <c r="G55" s="24">
        <f t="shared" si="16"/>
        <v>-1.9759999983943999</v>
      </c>
      <c r="H55" s="24">
        <f t="shared" si="16"/>
        <v>-331.95733333161724</v>
      </c>
      <c r="I55" s="24">
        <f t="shared" si="16"/>
        <v>-324.1253333360267</v>
      </c>
      <c r="J55" s="24">
        <f t="shared" si="16"/>
        <v>523.48533333123976</v>
      </c>
      <c r="K55" s="24">
        <f t="shared" si="16"/>
        <v>-392.03200000183034</v>
      </c>
      <c r="L55" s="24">
        <f>L54*100/15</f>
        <v>76597.728000000745</v>
      </c>
      <c r="M55" s="24">
        <f>M54*100/15</f>
        <v>38503.096000008904</v>
      </c>
      <c r="N55" s="24">
        <f>N54*100/15</f>
        <v>29170.538666664896</v>
      </c>
      <c r="O55" s="23"/>
      <c r="P55" s="20"/>
    </row>
    <row r="56" spans="1:16" x14ac:dyDescent="0.2">
      <c r="C56" s="20"/>
      <c r="D56" s="23"/>
      <c r="E56" s="20"/>
      <c r="F56" s="20"/>
      <c r="G56" s="20"/>
      <c r="H56" s="20"/>
      <c r="I56" s="23"/>
      <c r="J56" s="20"/>
      <c r="K56" s="20"/>
      <c r="L56" s="23"/>
      <c r="M56" s="20"/>
      <c r="N56" s="20"/>
      <c r="O56" s="23"/>
      <c r="P56" s="20"/>
    </row>
    <row r="57" spans="1:16" x14ac:dyDescent="0.2">
      <c r="C57" s="20"/>
      <c r="D57" s="23"/>
      <c r="E57" s="20"/>
      <c r="F57" s="20"/>
      <c r="G57" s="20"/>
      <c r="H57" s="20"/>
      <c r="I57" s="23"/>
      <c r="J57" s="20"/>
      <c r="K57" s="20"/>
      <c r="L57" s="23"/>
      <c r="M57" s="20"/>
      <c r="N57" s="20"/>
      <c r="O57" s="23"/>
      <c r="P57" s="20"/>
    </row>
    <row r="58" spans="1:16" x14ac:dyDescent="0.2">
      <c r="A58" s="14"/>
      <c r="C58" s="20"/>
      <c r="D58" s="23"/>
      <c r="E58" s="20"/>
      <c r="F58" s="20"/>
      <c r="G58" s="20"/>
      <c r="H58" s="20"/>
      <c r="I58" s="23"/>
      <c r="J58" s="20"/>
      <c r="K58" s="20"/>
      <c r="L58" s="23"/>
      <c r="M58" s="20"/>
      <c r="N58" s="20"/>
      <c r="O58" s="23"/>
      <c r="P58" s="20"/>
    </row>
    <row r="59" spans="1:16" x14ac:dyDescent="0.2">
      <c r="C59" s="20"/>
      <c r="D59" s="23"/>
      <c r="E59" s="20"/>
      <c r="F59" s="20"/>
      <c r="G59" s="20"/>
      <c r="H59" s="20"/>
      <c r="I59" s="23"/>
      <c r="J59" s="20"/>
      <c r="K59" s="20"/>
      <c r="L59" s="23"/>
      <c r="M59" s="20"/>
      <c r="N59" s="20"/>
      <c r="O59" s="23"/>
      <c r="P59" s="20"/>
    </row>
    <row r="60" spans="1:16" x14ac:dyDescent="0.2">
      <c r="A60" s="15" t="s">
        <v>53</v>
      </c>
      <c r="B60" s="16"/>
      <c r="C60" s="17">
        <f>(C61*100)/16</f>
        <v>17706271.372500006</v>
      </c>
      <c r="D60" s="17">
        <f t="shared" ref="D60:N60" si="17">(D61*100)/16</f>
        <v>17860875.970000003</v>
      </c>
      <c r="E60" s="17">
        <f t="shared" si="17"/>
        <v>21206135.447500002</v>
      </c>
      <c r="F60" s="17">
        <f t="shared" si="17"/>
        <v>19538153.629999999</v>
      </c>
      <c r="G60" s="17">
        <f t="shared" si="17"/>
        <v>17487039.522500001</v>
      </c>
      <c r="H60" s="17">
        <f t="shared" si="17"/>
        <v>24896247.039999999</v>
      </c>
      <c r="I60" s="17">
        <f t="shared" si="17"/>
        <v>20434288.445</v>
      </c>
      <c r="J60" s="17">
        <f t="shared" si="17"/>
        <v>20640180.642499994</v>
      </c>
      <c r="K60" s="17">
        <f t="shared" si="17"/>
        <v>21378313.219999999</v>
      </c>
      <c r="L60" s="17">
        <f t="shared" si="17"/>
        <v>21136587.745000001</v>
      </c>
      <c r="M60" s="17">
        <f t="shared" si="17"/>
        <v>25943269.715000007</v>
      </c>
      <c r="N60" s="17">
        <f t="shared" si="17"/>
        <v>30588134.879999999</v>
      </c>
      <c r="O60" s="17">
        <f>SUM(C60:N60)</f>
        <v>258815497.62999997</v>
      </c>
      <c r="P60" s="20"/>
    </row>
    <row r="61" spans="1:16" x14ac:dyDescent="0.2">
      <c r="A61" s="15" t="s">
        <v>35</v>
      </c>
      <c r="B61" s="16"/>
      <c r="C61" s="18">
        <f>+C38</f>
        <v>2833003.4196000011</v>
      </c>
      <c r="D61" s="18">
        <f>+D38</f>
        <v>2857740.1552000004</v>
      </c>
      <c r="E61" s="18">
        <f t="shared" ref="E61:N61" si="18">+E38</f>
        <v>3392981.6716</v>
      </c>
      <c r="F61" s="18">
        <f t="shared" si="18"/>
        <v>3126104.5807999996</v>
      </c>
      <c r="G61" s="18">
        <f t="shared" si="18"/>
        <v>2797926.3236000002</v>
      </c>
      <c r="H61" s="18">
        <f t="shared" si="18"/>
        <v>3983399.5263999999</v>
      </c>
      <c r="I61" s="18">
        <f t="shared" si="18"/>
        <v>3269486.1512000002</v>
      </c>
      <c r="J61" s="18">
        <f t="shared" si="18"/>
        <v>3302428.9027999993</v>
      </c>
      <c r="K61" s="18">
        <f t="shared" si="18"/>
        <v>3420530.1151999999</v>
      </c>
      <c r="L61" s="18">
        <f t="shared" si="18"/>
        <v>3381854.0392</v>
      </c>
      <c r="M61" s="18">
        <f t="shared" si="18"/>
        <v>4150923.1544000013</v>
      </c>
      <c r="N61" s="18">
        <f t="shared" si="18"/>
        <v>4894101.5807999996</v>
      </c>
      <c r="O61" s="17">
        <f>SUM(C61:N61)</f>
        <v>41410479.620799996</v>
      </c>
      <c r="P61" s="20"/>
    </row>
    <row r="62" spans="1:16" x14ac:dyDescent="0.2">
      <c r="A62" s="15" t="s">
        <v>54</v>
      </c>
      <c r="B62" s="19">
        <v>-290700</v>
      </c>
      <c r="C62" s="18">
        <f>+C40</f>
        <v>4010732.86</v>
      </c>
      <c r="D62" s="18">
        <f>+D40</f>
        <v>2848461.41</v>
      </c>
      <c r="E62" s="18">
        <f t="shared" ref="E62:N62" si="19">+E40</f>
        <v>3218654.33</v>
      </c>
      <c r="F62" s="18">
        <f t="shared" si="19"/>
        <v>2826033.06</v>
      </c>
      <c r="G62" s="18">
        <f t="shared" si="19"/>
        <v>3160941.27</v>
      </c>
      <c r="H62" s="18">
        <f t="shared" si="19"/>
        <v>3314390.41</v>
      </c>
      <c r="I62" s="18">
        <f t="shared" si="19"/>
        <v>3155109.62</v>
      </c>
      <c r="J62" s="18">
        <f t="shared" si="19"/>
        <v>3538505.03</v>
      </c>
      <c r="K62" s="18">
        <f t="shared" si="19"/>
        <v>4155424.24</v>
      </c>
      <c r="L62" s="18">
        <f t="shared" si="19"/>
        <v>4411208.34</v>
      </c>
      <c r="M62" s="18">
        <f t="shared" si="19"/>
        <v>3838159.96</v>
      </c>
      <c r="N62" s="18">
        <f t="shared" si="19"/>
        <v>4845308.75</v>
      </c>
      <c r="O62" s="17">
        <f>SUM(C62:N62)</f>
        <v>43322929.280000009</v>
      </c>
      <c r="P62" s="20"/>
    </row>
    <row r="63" spans="1:16" x14ac:dyDescent="0.2">
      <c r="A63" s="15" t="s">
        <v>55</v>
      </c>
      <c r="B63" s="19">
        <v>-290700</v>
      </c>
      <c r="C63" s="35">
        <f>+C61-C62</f>
        <v>-1177729.4403999988</v>
      </c>
      <c r="D63" s="35">
        <f t="shared" ref="D63:N63" si="20">+D61-D62</f>
        <v>9278.7452000002377</v>
      </c>
      <c r="E63" s="35">
        <f t="shared" si="20"/>
        <v>174327.34159999993</v>
      </c>
      <c r="F63" s="35">
        <f t="shared" si="20"/>
        <v>300071.52079999959</v>
      </c>
      <c r="G63" s="35">
        <f t="shared" si="20"/>
        <v>-363014.94639999978</v>
      </c>
      <c r="H63" s="35">
        <f t="shared" si="20"/>
        <v>669009.11639999971</v>
      </c>
      <c r="I63" s="35">
        <f t="shared" si="20"/>
        <v>114376.53120000008</v>
      </c>
      <c r="J63" s="35">
        <f t="shared" si="20"/>
        <v>-236076.12720000045</v>
      </c>
      <c r="K63" s="35">
        <f t="shared" si="20"/>
        <v>-734894.12480000034</v>
      </c>
      <c r="L63" s="35">
        <f t="shared" si="20"/>
        <v>-1029354.3007999999</v>
      </c>
      <c r="M63" s="35">
        <f t="shared" si="20"/>
        <v>312763.19440000132</v>
      </c>
      <c r="N63" s="35">
        <f t="shared" si="20"/>
        <v>48792.830799999647</v>
      </c>
      <c r="O63" s="36">
        <f>SUM(C63:N63)</f>
        <v>-1912449.6591999987</v>
      </c>
      <c r="P63" s="20"/>
    </row>
    <row r="64" spans="1:16" x14ac:dyDescent="0.2">
      <c r="A64" s="15" t="s">
        <v>49</v>
      </c>
      <c r="B64" s="16"/>
      <c r="C64" s="37">
        <v>0</v>
      </c>
      <c r="D64" s="35">
        <v>-224050</v>
      </c>
      <c r="E64" s="35">
        <v>99844</v>
      </c>
      <c r="F64" s="35">
        <v>-72849</v>
      </c>
      <c r="G64" s="35">
        <v>-427958</v>
      </c>
      <c r="H64" s="35">
        <v>-168305</v>
      </c>
      <c r="I64" s="35">
        <v>-396513</v>
      </c>
      <c r="J64" s="35">
        <v>264397.02</v>
      </c>
      <c r="K64" s="35">
        <v>116236.2</v>
      </c>
      <c r="L64" s="35">
        <v>-33552</v>
      </c>
      <c r="M64" s="35">
        <v>-328308</v>
      </c>
      <c r="N64" s="35">
        <v>1469139.2</v>
      </c>
      <c r="O64" s="17">
        <f>+B64+O63-O68</f>
        <v>-1912449.6591999987</v>
      </c>
      <c r="P64" s="20"/>
    </row>
    <row r="65" spans="1:16" x14ac:dyDescent="0.2">
      <c r="A65" s="14"/>
      <c r="C65" s="20" t="s">
        <v>49</v>
      </c>
      <c r="D65" s="20" t="s">
        <v>50</v>
      </c>
      <c r="E65" s="20" t="s">
        <v>49</v>
      </c>
      <c r="F65" s="20" t="s">
        <v>50</v>
      </c>
      <c r="G65" s="20" t="s">
        <v>50</v>
      </c>
      <c r="H65" s="20" t="s">
        <v>50</v>
      </c>
      <c r="I65" s="20" t="s">
        <v>50</v>
      </c>
      <c r="J65" s="20" t="s">
        <v>51</v>
      </c>
      <c r="K65" s="20" t="s">
        <v>51</v>
      </c>
      <c r="L65" s="20" t="s">
        <v>50</v>
      </c>
      <c r="M65" s="20" t="s">
        <v>50</v>
      </c>
      <c r="N65" s="20" t="s">
        <v>51</v>
      </c>
      <c r="O65" s="23"/>
      <c r="P65" s="20"/>
    </row>
    <row r="66" spans="1:16" x14ac:dyDescent="0.2">
      <c r="A66" s="14"/>
      <c r="C66" s="20">
        <f>+C61-C62</f>
        <v>-1177729.4403999988</v>
      </c>
      <c r="D66" s="20">
        <f t="shared" ref="D66:O66" si="21">+D61-D62</f>
        <v>9278.7452000002377</v>
      </c>
      <c r="E66" s="20">
        <f t="shared" si="21"/>
        <v>174327.34159999993</v>
      </c>
      <c r="F66" s="20">
        <f t="shared" si="21"/>
        <v>300071.52079999959</v>
      </c>
      <c r="G66" s="20">
        <f t="shared" si="21"/>
        <v>-363014.94639999978</v>
      </c>
      <c r="H66" s="20">
        <f t="shared" si="21"/>
        <v>669009.11639999971</v>
      </c>
      <c r="I66" s="20">
        <f t="shared" si="21"/>
        <v>114376.53120000008</v>
      </c>
      <c r="J66" s="20">
        <f t="shared" si="21"/>
        <v>-236076.12720000045</v>
      </c>
      <c r="K66" s="20">
        <f t="shared" si="21"/>
        <v>-734894.12480000034</v>
      </c>
      <c r="L66" s="20">
        <f t="shared" si="21"/>
        <v>-1029354.3007999999</v>
      </c>
      <c r="M66" s="20">
        <f t="shared" si="21"/>
        <v>312763.19440000132</v>
      </c>
      <c r="N66" s="20">
        <f t="shared" si="21"/>
        <v>48792.830799999647</v>
      </c>
      <c r="O66" s="23">
        <f t="shared" si="21"/>
        <v>-1912449.6592000127</v>
      </c>
      <c r="P66" s="20"/>
    </row>
    <row r="67" spans="1:16" x14ac:dyDescent="0.2">
      <c r="C67" s="20">
        <f>+B64+C63</f>
        <v>-1177729.4403999988</v>
      </c>
      <c r="D67" s="20">
        <f>+C67-D63</f>
        <v>-1187008.185599999</v>
      </c>
      <c r="E67" s="20">
        <f t="shared" ref="E67:O67" si="22">+E63-E66</f>
        <v>0</v>
      </c>
      <c r="F67" s="20">
        <f t="shared" si="22"/>
        <v>0</v>
      </c>
      <c r="G67" s="20">
        <f t="shared" si="22"/>
        <v>0</v>
      </c>
      <c r="H67" s="20">
        <f t="shared" si="22"/>
        <v>0</v>
      </c>
      <c r="I67" s="20">
        <f t="shared" si="22"/>
        <v>0</v>
      </c>
      <c r="J67" s="20">
        <f t="shared" si="22"/>
        <v>0</v>
      </c>
      <c r="K67" s="20">
        <f t="shared" si="22"/>
        <v>0</v>
      </c>
      <c r="L67" s="20">
        <f t="shared" si="22"/>
        <v>0</v>
      </c>
      <c r="M67" s="20">
        <f t="shared" si="22"/>
        <v>0</v>
      </c>
      <c r="N67" s="20">
        <f t="shared" si="22"/>
        <v>0</v>
      </c>
      <c r="O67" s="23">
        <f t="shared" si="22"/>
        <v>1.3969838619232178E-8</v>
      </c>
      <c r="P67" s="20"/>
    </row>
    <row r="68" spans="1:16" x14ac:dyDescent="0.2">
      <c r="B68" s="2" t="s">
        <v>52</v>
      </c>
      <c r="C68" s="20">
        <f>+C63-C64</f>
        <v>-1177729.4403999988</v>
      </c>
      <c r="D68" s="20">
        <f>+D63-D64</f>
        <v>233328.74520000024</v>
      </c>
      <c r="E68" s="21">
        <f t="shared" ref="E68:N68" si="23">+E63-E64</f>
        <v>74483.341599999927</v>
      </c>
      <c r="F68" s="20">
        <f t="shared" si="23"/>
        <v>372920.52079999959</v>
      </c>
      <c r="G68" s="20">
        <f t="shared" si="23"/>
        <v>64943.053600000218</v>
      </c>
      <c r="H68" s="20">
        <f t="shared" si="23"/>
        <v>837314.11639999971</v>
      </c>
      <c r="I68" s="20">
        <f t="shared" si="23"/>
        <v>510889.53120000008</v>
      </c>
      <c r="J68" s="20">
        <f t="shared" si="23"/>
        <v>-500473.14720000047</v>
      </c>
      <c r="K68" s="20">
        <f t="shared" si="23"/>
        <v>-851130.32480000029</v>
      </c>
      <c r="L68" s="20">
        <f t="shared" si="23"/>
        <v>-995802.30079999985</v>
      </c>
      <c r="M68" s="20">
        <f t="shared" si="23"/>
        <v>641071.19440000132</v>
      </c>
      <c r="N68" s="22">
        <f t="shared" si="23"/>
        <v>-1420346.3692000003</v>
      </c>
      <c r="O68" s="23"/>
      <c r="P68" s="20"/>
    </row>
    <row r="69" spans="1:16" x14ac:dyDescent="0.2">
      <c r="A69" s="2" t="s">
        <v>60</v>
      </c>
      <c r="C69" s="20"/>
      <c r="D69" s="23"/>
      <c r="E69" s="20"/>
      <c r="F69" s="20"/>
      <c r="G69" s="20"/>
      <c r="H69" s="20"/>
      <c r="I69" s="23"/>
      <c r="J69" s="20"/>
      <c r="K69" s="20"/>
      <c r="L69" s="23"/>
      <c r="M69" s="20"/>
      <c r="N69" s="20"/>
      <c r="O69" s="23">
        <f>+O66-O68</f>
        <v>-1912449.6592000127</v>
      </c>
      <c r="P69" s="20"/>
    </row>
    <row r="70" spans="1:16" x14ac:dyDescent="0.2">
      <c r="C70" s="20">
        <f>+B63-C63</f>
        <v>887029.4403999988</v>
      </c>
      <c r="D70" s="23">
        <f>+C70-D63</f>
        <v>877750.69519999856</v>
      </c>
      <c r="E70" s="23">
        <f t="shared" ref="E70:N70" si="24">+D70-E63</f>
        <v>703423.35359999863</v>
      </c>
      <c r="F70" s="23">
        <f t="shared" si="24"/>
        <v>403351.83279999904</v>
      </c>
      <c r="G70" s="23">
        <f t="shared" si="24"/>
        <v>766366.77919999883</v>
      </c>
      <c r="H70" s="23">
        <f t="shared" si="24"/>
        <v>97357.662799999118</v>
      </c>
      <c r="I70" s="23">
        <f t="shared" si="24"/>
        <v>-17018.868400000967</v>
      </c>
      <c r="J70" s="23">
        <f t="shared" si="24"/>
        <v>219057.25879999949</v>
      </c>
      <c r="K70" s="23">
        <f t="shared" si="24"/>
        <v>953951.38359999983</v>
      </c>
      <c r="L70" s="23">
        <f t="shared" si="24"/>
        <v>1983305.6843999997</v>
      </c>
      <c r="M70" s="23">
        <f>+L70-M63</f>
        <v>1670542.4899999984</v>
      </c>
      <c r="N70" s="23">
        <f t="shared" si="24"/>
        <v>1621749.6591999987</v>
      </c>
      <c r="O70" s="23"/>
      <c r="P70" s="20"/>
    </row>
    <row r="71" spans="1:16" x14ac:dyDescent="0.2">
      <c r="C71" s="20"/>
      <c r="D71" s="23"/>
      <c r="E71" s="20"/>
      <c r="F71" s="20"/>
      <c r="G71" s="20"/>
      <c r="H71" s="20"/>
      <c r="I71" s="23"/>
      <c r="J71" s="20"/>
      <c r="K71" s="20"/>
      <c r="L71" s="23"/>
      <c r="M71" s="20"/>
      <c r="N71" s="20"/>
      <c r="O71" s="20"/>
      <c r="P71" s="20"/>
    </row>
    <row r="72" spans="1:16" x14ac:dyDescent="0.2">
      <c r="C72" s="20"/>
      <c r="D72" s="23"/>
      <c r="E72" s="20"/>
      <c r="F72" s="20"/>
      <c r="G72" s="20"/>
      <c r="H72" s="20"/>
      <c r="I72" s="23"/>
      <c r="J72" s="20"/>
      <c r="K72" s="20"/>
      <c r="L72" s="23"/>
      <c r="M72" s="20"/>
      <c r="N72" s="20"/>
      <c r="O72" s="20"/>
      <c r="P72" s="20"/>
    </row>
    <row r="73" spans="1:16" x14ac:dyDescent="0.2">
      <c r="C73" s="20"/>
      <c r="D73" s="23"/>
      <c r="E73" s="20"/>
      <c r="F73" s="20"/>
      <c r="G73" s="20"/>
      <c r="H73" s="20"/>
      <c r="I73" s="23"/>
      <c r="J73" s="20"/>
      <c r="K73" s="20"/>
      <c r="L73" s="23"/>
      <c r="M73" s="20"/>
      <c r="N73" s="20"/>
      <c r="O73" s="20"/>
      <c r="P73" s="20"/>
    </row>
    <row r="74" spans="1:16" x14ac:dyDescent="0.2">
      <c r="C74" s="20"/>
      <c r="D74" s="23"/>
      <c r="E74" s="20"/>
      <c r="F74" s="20"/>
      <c r="G74" s="20"/>
      <c r="H74" s="20"/>
      <c r="I74" s="23"/>
      <c r="J74" s="20"/>
      <c r="K74" s="20"/>
      <c r="L74" s="23"/>
      <c r="M74" s="20"/>
      <c r="N74" s="20"/>
      <c r="O74" s="20"/>
      <c r="P74" s="20"/>
    </row>
    <row r="75" spans="1:16" x14ac:dyDescent="0.2">
      <c r="C75" s="20"/>
      <c r="D75" s="23"/>
      <c r="E75" s="20"/>
      <c r="F75" s="20"/>
      <c r="G75" s="20"/>
      <c r="H75" s="20"/>
      <c r="I75" s="23"/>
      <c r="J75" s="20"/>
      <c r="K75" s="20"/>
      <c r="L75" s="23" t="s">
        <v>56</v>
      </c>
      <c r="M75" s="38">
        <v>8158</v>
      </c>
      <c r="N75" s="23"/>
      <c r="O75" s="20"/>
      <c r="P75" s="20"/>
    </row>
    <row r="76" spans="1:16" x14ac:dyDescent="0.2">
      <c r="C76" s="20"/>
      <c r="D76" s="23"/>
      <c r="E76" s="20"/>
      <c r="F76" s="20"/>
      <c r="G76" s="20"/>
      <c r="H76" s="20"/>
      <c r="I76" s="23"/>
      <c r="J76" s="20"/>
      <c r="K76" s="20"/>
      <c r="L76" s="23" t="s">
        <v>57</v>
      </c>
      <c r="M76" s="38">
        <v>2954508</v>
      </c>
      <c r="N76" s="23"/>
      <c r="O76" s="20"/>
      <c r="P76" s="20"/>
    </row>
    <row r="77" spans="1:16" x14ac:dyDescent="0.2">
      <c r="C77" s="20"/>
      <c r="D77" s="23"/>
      <c r="E77" s="20"/>
      <c r="F77" s="20"/>
      <c r="G77" s="20"/>
      <c r="H77" s="20"/>
      <c r="I77" s="23"/>
      <c r="J77" s="20"/>
      <c r="K77" s="20"/>
      <c r="L77" s="23" t="s">
        <v>58</v>
      </c>
      <c r="M77" s="38">
        <v>1410018</v>
      </c>
      <c r="N77" s="23">
        <f>+M77</f>
        <v>1410018</v>
      </c>
      <c r="O77" s="20"/>
      <c r="P77" s="20"/>
    </row>
    <row r="78" spans="1:16" x14ac:dyDescent="0.2">
      <c r="C78" s="20"/>
      <c r="D78" s="23"/>
      <c r="E78" s="20"/>
      <c r="F78" s="20"/>
      <c r="G78" s="20"/>
      <c r="H78" s="20"/>
      <c r="I78" s="23"/>
      <c r="J78" s="20"/>
      <c r="K78" s="20"/>
      <c r="L78" s="26">
        <v>40179</v>
      </c>
      <c r="M78" s="24">
        <f>-C63</f>
        <v>1177729.4403999988</v>
      </c>
      <c r="N78" s="24">
        <f>+N77+M78</f>
        <v>2587747.4403999988</v>
      </c>
      <c r="O78" s="20" t="s">
        <v>44</v>
      </c>
      <c r="P78" s="20"/>
    </row>
    <row r="79" spans="1:16" x14ac:dyDescent="0.2">
      <c r="C79" s="20"/>
      <c r="D79" s="23"/>
      <c r="E79" s="20"/>
      <c r="F79" s="20"/>
      <c r="G79" s="20"/>
      <c r="H79" s="20"/>
      <c r="I79" s="23"/>
      <c r="J79" s="20"/>
      <c r="K79" s="20"/>
      <c r="L79" s="26">
        <v>40210</v>
      </c>
      <c r="M79" s="24">
        <f>-D63</f>
        <v>-9278.7452000002377</v>
      </c>
      <c r="N79" s="24">
        <f>+N78+M79</f>
        <v>2578468.6951999986</v>
      </c>
      <c r="O79" s="20"/>
      <c r="P79" s="20"/>
    </row>
    <row r="80" spans="1:16" x14ac:dyDescent="0.2">
      <c r="C80" s="20"/>
      <c r="D80" s="23"/>
      <c r="E80" s="20"/>
      <c r="F80" s="20"/>
      <c r="G80" s="20"/>
      <c r="H80" s="20"/>
      <c r="I80" s="23"/>
      <c r="J80" s="20"/>
      <c r="K80" s="20"/>
      <c r="L80" s="26">
        <v>40238</v>
      </c>
      <c r="M80" s="24">
        <f>-E66</f>
        <v>-174327.34159999993</v>
      </c>
      <c r="N80" s="24">
        <f t="shared" ref="N80:N89" si="25">+N79+M80</f>
        <v>2404141.3535999986</v>
      </c>
      <c r="O80" s="20"/>
      <c r="P80" s="20"/>
    </row>
    <row r="81" spans="3:16" x14ac:dyDescent="0.2">
      <c r="C81" s="20"/>
      <c r="D81" s="23"/>
      <c r="E81" s="20"/>
      <c r="F81" s="20"/>
      <c r="G81" s="20"/>
      <c r="H81" s="20"/>
      <c r="I81" s="23"/>
      <c r="J81" s="20"/>
      <c r="K81" s="20"/>
      <c r="L81" s="26">
        <v>40269</v>
      </c>
      <c r="M81" s="23">
        <f>-F66</f>
        <v>-300071.52079999959</v>
      </c>
      <c r="N81" s="24">
        <f t="shared" si="25"/>
        <v>2104069.832799999</v>
      </c>
      <c r="O81" s="20"/>
      <c r="P81" s="20"/>
    </row>
    <row r="82" spans="3:16" x14ac:dyDescent="0.2">
      <c r="C82" s="20"/>
      <c r="D82" s="23"/>
      <c r="E82" s="20"/>
      <c r="F82" s="20"/>
      <c r="G82" s="20"/>
      <c r="H82" s="20"/>
      <c r="I82" s="23"/>
      <c r="J82" s="20"/>
      <c r="K82" s="20"/>
      <c r="L82" s="26">
        <v>40299</v>
      </c>
      <c r="M82" s="23">
        <f>-G66</f>
        <v>363014.94639999978</v>
      </c>
      <c r="N82" s="24">
        <f t="shared" si="25"/>
        <v>2467084.7791999988</v>
      </c>
      <c r="O82" s="20"/>
      <c r="P82" s="20"/>
    </row>
    <row r="83" spans="3:16" x14ac:dyDescent="0.2">
      <c r="C83" s="20"/>
      <c r="D83" s="23"/>
      <c r="E83" s="20"/>
      <c r="F83" s="20"/>
      <c r="G83" s="20"/>
      <c r="H83" s="20"/>
      <c r="I83" s="23"/>
      <c r="J83" s="20"/>
      <c r="K83" s="20"/>
      <c r="L83" s="26">
        <v>40330</v>
      </c>
      <c r="M83" s="23">
        <f>-H66</f>
        <v>-669009.11639999971</v>
      </c>
      <c r="N83" s="24">
        <f t="shared" si="25"/>
        <v>1798075.6627999991</v>
      </c>
      <c r="O83" s="20"/>
      <c r="P83" s="20"/>
    </row>
    <row r="84" spans="3:16" x14ac:dyDescent="0.2">
      <c r="C84" s="20"/>
      <c r="D84" s="23"/>
      <c r="E84" s="20"/>
      <c r="F84" s="20"/>
      <c r="G84" s="20"/>
      <c r="H84" s="20"/>
      <c r="I84" s="23"/>
      <c r="J84" s="20"/>
      <c r="K84" s="20"/>
      <c r="L84" s="26">
        <v>40360</v>
      </c>
      <c r="M84" s="23">
        <f>-I66</f>
        <v>-114376.53120000008</v>
      </c>
      <c r="N84" s="24">
        <f t="shared" si="25"/>
        <v>1683699.131599999</v>
      </c>
      <c r="O84" s="20"/>
      <c r="P84" s="20"/>
    </row>
    <row r="85" spans="3:16" x14ac:dyDescent="0.2">
      <c r="C85" s="20"/>
      <c r="D85" s="23"/>
      <c r="E85" s="20"/>
      <c r="F85" s="20"/>
      <c r="G85" s="20"/>
      <c r="H85" s="20"/>
      <c r="I85" s="23"/>
      <c r="J85" s="20"/>
      <c r="K85" s="20"/>
      <c r="L85" s="26">
        <v>40391</v>
      </c>
      <c r="M85" s="23">
        <f>-J63</f>
        <v>236076.12720000045</v>
      </c>
      <c r="N85" s="24">
        <f t="shared" si="25"/>
        <v>1919775.2587999995</v>
      </c>
      <c r="O85" s="20"/>
      <c r="P85" s="20"/>
    </row>
    <row r="86" spans="3:16" x14ac:dyDescent="0.2">
      <c r="C86" s="20"/>
      <c r="D86" s="23"/>
      <c r="E86" s="20"/>
      <c r="F86" s="20"/>
      <c r="G86" s="20"/>
      <c r="H86" s="20"/>
      <c r="I86" s="23"/>
      <c r="J86" s="20"/>
      <c r="K86" s="20"/>
      <c r="L86" s="26">
        <v>40422</v>
      </c>
      <c r="M86" s="23">
        <f>-K63</f>
        <v>734894.12480000034</v>
      </c>
      <c r="N86" s="24">
        <f t="shared" si="25"/>
        <v>2654669.3835999998</v>
      </c>
      <c r="O86" s="20"/>
      <c r="P86" s="20"/>
    </row>
    <row r="87" spans="3:16" x14ac:dyDescent="0.2">
      <c r="C87" s="20"/>
      <c r="D87" s="23"/>
      <c r="E87" s="20"/>
      <c r="F87" s="20"/>
      <c r="G87" s="20"/>
      <c r="H87" s="20"/>
      <c r="I87" s="23"/>
      <c r="J87" s="20"/>
      <c r="K87" s="20"/>
      <c r="L87" s="26">
        <v>40452</v>
      </c>
      <c r="M87" s="23">
        <f>-L63</f>
        <v>1029354.3007999999</v>
      </c>
      <c r="N87" s="24">
        <f t="shared" si="25"/>
        <v>3684023.6843999997</v>
      </c>
      <c r="O87" s="20"/>
      <c r="P87" s="20"/>
    </row>
    <row r="88" spans="3:16" x14ac:dyDescent="0.2">
      <c r="C88" s="20"/>
      <c r="D88" s="23"/>
      <c r="E88" s="20"/>
      <c r="F88" s="20"/>
      <c r="G88" s="20"/>
      <c r="H88" s="20"/>
      <c r="I88" s="23"/>
      <c r="J88" s="20"/>
      <c r="K88" s="20"/>
      <c r="L88" s="26">
        <v>40483</v>
      </c>
      <c r="M88" s="23">
        <f>-M63</f>
        <v>-312763.19440000132</v>
      </c>
      <c r="N88" s="24">
        <f t="shared" si="25"/>
        <v>3371260.4899999984</v>
      </c>
      <c r="O88" s="20"/>
      <c r="P88" s="20"/>
    </row>
    <row r="89" spans="3:16" x14ac:dyDescent="0.2">
      <c r="C89" s="20"/>
      <c r="D89" s="23"/>
      <c r="E89" s="20"/>
      <c r="F89" s="20"/>
      <c r="G89" s="20"/>
      <c r="H89" s="20"/>
      <c r="I89" s="23"/>
      <c r="J89" s="20"/>
      <c r="K89" s="20"/>
      <c r="L89" s="26">
        <v>40513</v>
      </c>
      <c r="M89" s="23">
        <f>-N63</f>
        <v>-48792.830799999647</v>
      </c>
      <c r="N89" s="34">
        <f t="shared" si="25"/>
        <v>3322467.6591999987</v>
      </c>
      <c r="O89" s="20" t="s">
        <v>59</v>
      </c>
      <c r="P89" s="20"/>
    </row>
    <row r="90" spans="3:16" x14ac:dyDescent="0.2">
      <c r="C90" s="20"/>
      <c r="D90" s="23"/>
      <c r="E90" s="20"/>
      <c r="F90" s="20"/>
      <c r="G90" s="20"/>
      <c r="H90" s="20"/>
      <c r="I90" s="23"/>
      <c r="J90" s="20"/>
      <c r="K90" s="20"/>
      <c r="L90" s="23"/>
      <c r="M90" s="23"/>
      <c r="N90" s="23"/>
      <c r="O90" s="20"/>
      <c r="P90" s="20"/>
    </row>
    <row r="91" spans="3:16" x14ac:dyDescent="0.2">
      <c r="C91" s="20"/>
      <c r="D91" s="23"/>
      <c r="E91" s="20"/>
      <c r="F91" s="20"/>
      <c r="G91" s="20"/>
      <c r="H91" s="20"/>
      <c r="I91" s="23"/>
      <c r="J91" s="20"/>
      <c r="K91" s="20"/>
      <c r="L91" s="23"/>
      <c r="M91" s="23"/>
      <c r="N91" s="23"/>
      <c r="O91" s="20"/>
      <c r="P91" s="20"/>
    </row>
    <row r="92" spans="3:16" x14ac:dyDescent="0.2">
      <c r="C92" s="20"/>
      <c r="D92" s="23"/>
      <c r="E92" s="20"/>
      <c r="F92" s="20"/>
      <c r="G92" s="20"/>
      <c r="H92" s="20"/>
      <c r="I92" s="23"/>
      <c r="J92" s="20"/>
      <c r="K92" s="20"/>
      <c r="L92" s="23"/>
      <c r="M92" s="23"/>
      <c r="N92" s="23"/>
      <c r="O92" s="20"/>
      <c r="P92" s="20"/>
    </row>
    <row r="93" spans="3:16" x14ac:dyDescent="0.2">
      <c r="C93" s="20"/>
      <c r="D93" s="23"/>
      <c r="E93" s="20"/>
      <c r="F93" s="20"/>
      <c r="G93" s="20"/>
      <c r="H93" s="20"/>
      <c r="I93" s="23"/>
      <c r="J93" s="20"/>
      <c r="K93" s="20"/>
      <c r="L93" s="23"/>
      <c r="M93" s="23"/>
      <c r="N93" s="23"/>
      <c r="O93" s="20"/>
      <c r="P93" s="20"/>
    </row>
    <row r="94" spans="3:16" x14ac:dyDescent="0.2">
      <c r="C94" s="20"/>
      <c r="D94" s="23"/>
      <c r="E94" s="20"/>
      <c r="F94" s="20"/>
      <c r="G94" s="20"/>
      <c r="H94" s="20"/>
      <c r="I94" s="23"/>
      <c r="J94" s="20"/>
      <c r="K94" s="20"/>
      <c r="L94" s="23"/>
      <c r="M94" s="20"/>
      <c r="N94" s="20"/>
      <c r="O94" s="20"/>
      <c r="P94" s="20"/>
    </row>
    <row r="95" spans="3:16" x14ac:dyDescent="0.2">
      <c r="C95" s="20"/>
      <c r="D95" s="23"/>
      <c r="E95" s="20"/>
      <c r="F95" s="20"/>
      <c r="G95" s="20"/>
      <c r="H95" s="20"/>
      <c r="I95" s="23"/>
      <c r="J95" s="20"/>
      <c r="K95" s="20"/>
      <c r="L95" s="23"/>
      <c r="M95" s="20"/>
      <c r="N95" s="20"/>
      <c r="O95" s="20"/>
      <c r="P95" s="20"/>
    </row>
  </sheetData>
  <phoneticPr fontId="0" type="noConversion"/>
  <pageMargins left="0.75" right="0.75" top="1" bottom="1" header="0" footer="0"/>
  <pageSetup scale="5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Hoja1!Área_de_impresión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Avila</dc:creator>
  <cp:lastModifiedBy>ljimenez</cp:lastModifiedBy>
  <cp:lastPrinted>2013-05-30T17:44:20Z</cp:lastPrinted>
  <dcterms:created xsi:type="dcterms:W3CDTF">2011-06-14T23:14:12Z</dcterms:created>
  <dcterms:modified xsi:type="dcterms:W3CDTF">2015-06-23T18:38:25Z</dcterms:modified>
</cp:coreProperties>
</file>